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72.16.32.30\Planeacion\PLANEACION 2023\TRANSPARENCIA 2023\Fracción IV\AVANCE MIR Y ESTADISTICAS\4TO. TRIMESTRE\"/>
    </mc:Choice>
  </mc:AlternateContent>
  <bookViews>
    <workbookView xWindow="0" yWindow="0" windowWidth="21600" windowHeight="9720"/>
  </bookViews>
  <sheets>
    <sheet name="MIR TRANSPARENCIA" sheetId="2" r:id="rId1"/>
    <sheet name="SID" sheetId="3" state="hidden" r:id="rId2"/>
    <sheet name="Estático" sheetId="5" state="hidden" r:id="rId3"/>
    <sheet name="Subida" sheetId="6" state="hidden" r:id="rId4"/>
    <sheet name="anterior" sheetId="7" state="hidden" r:id="rId5"/>
    <sheet name="ESTADÍSTICAS (DINÁMICO)" sheetId="9" state="hidden" r:id="rId6"/>
  </sheets>
  <definedNames>
    <definedName name="_xlnm._FilterDatabase" localSheetId="0" hidden="1">'MIR TRANSPARENCIA'!$A$32:$R$32</definedName>
  </definedNames>
  <calcPr calcId="152511"/>
</workbook>
</file>

<file path=xl/calcChain.xml><?xml version="1.0" encoding="utf-8"?>
<calcChain xmlns="http://schemas.openxmlformats.org/spreadsheetml/2006/main">
  <c r="I3" i="3" l="1"/>
  <c r="I2" i="3"/>
  <c r="D636" i="9"/>
  <c r="C623" i="9"/>
  <c r="J634" i="9"/>
  <c r="I621" i="9"/>
  <c r="C633" i="9"/>
  <c r="L652" i="9"/>
  <c r="B643" i="9"/>
  <c r="E600" i="9"/>
  <c r="B630" i="9"/>
  <c r="G638" i="9"/>
  <c r="H628" i="9"/>
  <c r="E632" i="9"/>
  <c r="A627" i="9"/>
  <c r="C626" i="9"/>
  <c r="B620" i="9"/>
  <c r="F587" i="9"/>
  <c r="L628" i="9"/>
  <c r="H633" i="9"/>
  <c r="E627" i="9"/>
  <c r="F627" i="9"/>
  <c r="K625" i="9"/>
  <c r="D621" i="9"/>
  <c r="I618" i="9"/>
  <c r="C586" i="9"/>
  <c r="E659" i="9"/>
  <c r="G615" i="9"/>
  <c r="L615" i="9"/>
  <c r="F583" i="9"/>
  <c r="E614" i="9"/>
  <c r="J561" i="9"/>
  <c r="J557" i="9"/>
  <c r="A557" i="9"/>
  <c r="F645" i="9"/>
  <c r="F606" i="9"/>
  <c r="L643" i="9"/>
  <c r="G660" i="9"/>
  <c r="E642" i="9"/>
  <c r="H651" i="9"/>
  <c r="F601" i="9"/>
  <c r="F657" i="9"/>
  <c r="D639" i="9"/>
  <c r="L655" i="9"/>
  <c r="J637" i="9"/>
  <c r="E654" i="9"/>
  <c r="C636" i="9"/>
  <c r="B651" i="9"/>
  <c r="D595" i="9"/>
  <c r="C656" i="9"/>
  <c r="A638" i="9"/>
  <c r="I654" i="9"/>
  <c r="G636" i="9"/>
  <c r="B653" i="9"/>
  <c r="M634" i="9"/>
  <c r="L648" i="9"/>
  <c r="A594" i="9"/>
  <c r="E647" i="9"/>
  <c r="D644" i="9"/>
  <c r="K637" i="9"/>
  <c r="D591" i="9"/>
  <c r="I631" i="9"/>
  <c r="H629" i="9"/>
  <c r="B536" i="9"/>
  <c r="C532" i="9"/>
  <c r="I658" i="9"/>
  <c r="G640" i="9"/>
  <c r="B657" i="9"/>
  <c r="M638" i="9"/>
  <c r="H655" i="9"/>
  <c r="F637" i="9"/>
  <c r="A656" i="9"/>
  <c r="G596" i="9"/>
  <c r="G652" i="9"/>
  <c r="E634" i="9"/>
  <c r="M650" i="9"/>
  <c r="K632" i="9"/>
  <c r="M661" i="9"/>
  <c r="D631" i="9"/>
  <c r="B634" i="9"/>
  <c r="F650" i="9"/>
  <c r="D651" i="9"/>
  <c r="B633" i="9"/>
  <c r="J649" i="9"/>
  <c r="H631" i="9"/>
  <c r="J660" i="9"/>
  <c r="A630" i="9"/>
  <c r="C629" i="9"/>
  <c r="D645" i="9"/>
  <c r="I627" i="9"/>
  <c r="H624" i="9"/>
  <c r="C657" i="9"/>
  <c r="C634" i="9"/>
  <c r="J645" i="9"/>
  <c r="C604" i="9"/>
  <c r="A531" i="9"/>
  <c r="A527" i="9"/>
  <c r="H635" i="9"/>
  <c r="G632" i="9"/>
  <c r="F629" i="9"/>
  <c r="E626" i="9"/>
  <c r="C628" i="9"/>
  <c r="B625" i="9"/>
  <c r="I638" i="9"/>
  <c r="E594" i="9"/>
  <c r="A649" i="9"/>
  <c r="M645" i="9"/>
  <c r="G639" i="9"/>
  <c r="J612" i="9"/>
  <c r="E633" i="9"/>
  <c r="H619" i="9"/>
  <c r="H613" i="9"/>
  <c r="K610" i="9"/>
  <c r="F624" i="9"/>
  <c r="E621" i="9"/>
  <c r="L629" i="9"/>
  <c r="H606" i="9"/>
  <c r="H616" i="9"/>
  <c r="C607" i="9"/>
  <c r="J590" i="9"/>
  <c r="A590" i="9"/>
  <c r="I607" i="9"/>
  <c r="G656" i="9"/>
  <c r="D604" i="9"/>
  <c r="F600" i="9"/>
  <c r="J602" i="9"/>
  <c r="L594" i="9"/>
  <c r="H584" i="9"/>
  <c r="L583" i="9"/>
  <c r="A651" i="9"/>
  <c r="E611" i="9"/>
  <c r="K648" i="9"/>
  <c r="K609" i="9"/>
  <c r="D647" i="9"/>
  <c r="D608" i="9"/>
  <c r="E606" i="9"/>
  <c r="G573" i="9"/>
  <c r="C644" i="9"/>
  <c r="K660" i="9"/>
  <c r="I642" i="9"/>
  <c r="D659" i="9"/>
  <c r="E661" i="9"/>
  <c r="K659" i="9"/>
  <c r="D658" i="9"/>
  <c r="E619" i="9"/>
  <c r="C655" i="9"/>
  <c r="I653" i="9"/>
  <c r="B652" i="9"/>
  <c r="I633" i="9"/>
  <c r="C600" i="9"/>
  <c r="M653" i="9"/>
  <c r="G635" i="9"/>
  <c r="F641" i="9"/>
  <c r="L650" i="9"/>
  <c r="F632" i="9"/>
  <c r="M598" i="9"/>
  <c r="A622" i="9"/>
  <c r="M651" i="9"/>
  <c r="C596" i="9"/>
  <c r="D638" i="9"/>
  <c r="J591" i="9"/>
  <c r="E537" i="9"/>
  <c r="K653" i="9"/>
  <c r="F643" i="9"/>
  <c r="C624" i="9"/>
  <c r="M647" i="9"/>
  <c r="B631" i="9"/>
  <c r="C619" i="9"/>
  <c r="L644" i="9"/>
  <c r="C620" i="9"/>
  <c r="B650" i="9"/>
  <c r="K641" i="9"/>
  <c r="L616" i="9"/>
  <c r="A613" i="9"/>
  <c r="I643" i="9"/>
  <c r="J618" i="9"/>
  <c r="J648" i="9"/>
  <c r="H640" i="9"/>
  <c r="I615" i="9"/>
  <c r="K611" i="9"/>
  <c r="K645" i="9"/>
  <c r="K595" i="9"/>
  <c r="A609" i="9"/>
  <c r="I591" i="9"/>
  <c r="H556" i="9"/>
  <c r="A596" i="9"/>
  <c r="B646" i="9"/>
  <c r="J623" i="9"/>
  <c r="F654" i="9"/>
  <c r="A643" i="9"/>
  <c r="B618" i="9"/>
  <c r="D614" i="9"/>
  <c r="M639" i="9"/>
  <c r="A615" i="9"/>
  <c r="A645" i="9"/>
  <c r="L636" i="9"/>
  <c r="M611" i="9"/>
  <c r="B608" i="9"/>
  <c r="J638" i="9"/>
  <c r="K613" i="9"/>
  <c r="K643" i="9"/>
  <c r="I635" i="9"/>
  <c r="J610" i="9"/>
  <c r="L606" i="9"/>
  <c r="B626" i="9"/>
  <c r="M584" i="9"/>
  <c r="B604" i="9"/>
  <c r="J635" i="9"/>
  <c r="F551" i="9"/>
  <c r="H587" i="9"/>
  <c r="A634" i="9"/>
  <c r="B660" i="9"/>
  <c r="C648" i="9"/>
  <c r="I626" i="9"/>
  <c r="J641" i="9"/>
  <c r="J525" i="9"/>
  <c r="G647" i="9"/>
  <c r="M659" i="9"/>
  <c r="A593" i="9"/>
  <c r="B613" i="9"/>
  <c r="M539" i="9"/>
  <c r="E576" i="9"/>
  <c r="L622" i="9"/>
  <c r="M627" i="9"/>
  <c r="M608" i="9"/>
  <c r="M606" i="9"/>
  <c r="G533" i="9"/>
  <c r="M569" i="9"/>
  <c r="J661" i="9"/>
  <c r="B637" i="9"/>
  <c r="H589" i="9"/>
  <c r="G625" i="9"/>
  <c r="B527" i="9"/>
  <c r="G563" i="9"/>
  <c r="D646" i="9"/>
  <c r="E609" i="9"/>
  <c r="B640" i="9"/>
  <c r="C603" i="9"/>
  <c r="L638" i="9"/>
  <c r="M601" i="9"/>
  <c r="C599" i="9"/>
  <c r="I582" i="9"/>
  <c r="K627" i="9"/>
  <c r="K638" i="9"/>
  <c r="J609" i="9"/>
  <c r="C577" i="9"/>
  <c r="C608" i="9"/>
  <c r="E555" i="9"/>
  <c r="E551" i="9"/>
  <c r="H550" i="9"/>
  <c r="A611" i="9"/>
  <c r="L574" i="9"/>
  <c r="H603" i="9"/>
  <c r="A654" i="9"/>
  <c r="C645" i="9"/>
  <c r="L548" i="9"/>
  <c r="A545" i="9"/>
  <c r="I657" i="9"/>
  <c r="H654" i="9"/>
  <c r="J659" i="9"/>
  <c r="F597" i="9"/>
  <c r="H653" i="9"/>
  <c r="I620" i="9"/>
  <c r="F542" i="9"/>
  <c r="I538" i="9"/>
  <c r="C641" i="9"/>
  <c r="B638" i="9"/>
  <c r="A635" i="9"/>
  <c r="M631" i="9"/>
  <c r="D653" i="9"/>
  <c r="J651" i="9"/>
  <c r="C661" i="9"/>
  <c r="B614" i="9"/>
  <c r="L649" i="9"/>
  <c r="D648" i="9"/>
  <c r="J646" i="9"/>
  <c r="C659" i="9"/>
  <c r="M617" i="9"/>
  <c r="H648" i="9"/>
  <c r="H659" i="9"/>
  <c r="J621" i="9"/>
  <c r="G645" i="9"/>
  <c r="D654" i="9"/>
  <c r="J616" i="9"/>
  <c r="C651" i="9"/>
  <c r="K654" i="9"/>
  <c r="M613" i="9"/>
  <c r="H596" i="9"/>
  <c r="C541" i="9"/>
  <c r="J615" i="9"/>
  <c r="E631" i="9"/>
  <c r="L654" i="9"/>
  <c r="F636" i="9"/>
  <c r="D628" i="9"/>
  <c r="F633" i="9"/>
  <c r="G599" i="9"/>
  <c r="C625" i="9"/>
  <c r="E660" i="9"/>
  <c r="D630" i="9"/>
  <c r="B622" i="9"/>
  <c r="J640" i="9"/>
  <c r="E593" i="9"/>
  <c r="M623" i="9"/>
  <c r="B659" i="9"/>
  <c r="A629" i="9"/>
  <c r="L620" i="9"/>
  <c r="K635" i="9"/>
  <c r="B592" i="9"/>
  <c r="J632" i="9"/>
  <c r="J624" i="9"/>
  <c r="K618" i="9"/>
  <c r="F609" i="9"/>
  <c r="K598" i="9"/>
  <c r="F572" i="9"/>
  <c r="F626" i="9"/>
  <c r="H661" i="9"/>
  <c r="G631" i="9"/>
  <c r="E623" i="9"/>
  <c r="I645" i="9"/>
  <c r="H594" i="9"/>
  <c r="D620" i="9"/>
  <c r="F655" i="9"/>
  <c r="E625" i="9"/>
  <c r="G653" i="9"/>
  <c r="A621" i="9"/>
  <c r="B615" i="9"/>
  <c r="L660" i="9"/>
  <c r="C654" i="9"/>
  <c r="B624" i="9"/>
  <c r="K649" i="9"/>
  <c r="K634" i="9"/>
  <c r="C610" i="9"/>
  <c r="G622" i="9"/>
  <c r="L612" i="9"/>
  <c r="B599" i="9"/>
  <c r="J657" i="9"/>
  <c r="D588" i="9"/>
  <c r="D567" i="9"/>
  <c r="I650" i="9"/>
  <c r="H658" i="9"/>
  <c r="G630" i="9"/>
  <c r="K655" i="9"/>
  <c r="C632" i="9"/>
  <c r="L521" i="9"/>
  <c r="E656" i="9"/>
  <c r="L596" i="9"/>
  <c r="C582" i="9"/>
  <c r="M599" i="9"/>
  <c r="B577" i="9"/>
  <c r="K555" i="9"/>
  <c r="F634" i="9"/>
  <c r="H656" i="9"/>
  <c r="L575" i="9"/>
  <c r="K612" i="9"/>
  <c r="I570" i="9"/>
  <c r="E549" i="9"/>
  <c r="H643" i="9"/>
  <c r="B627" i="9"/>
  <c r="I661" i="9"/>
  <c r="K596" i="9"/>
  <c r="C564" i="9"/>
  <c r="C658" i="9"/>
  <c r="B655" i="9"/>
  <c r="A652" i="9"/>
  <c r="D656" i="9"/>
  <c r="K650" i="9"/>
  <c r="E651" i="9"/>
  <c r="E658" i="9"/>
  <c r="G601" i="9"/>
  <c r="F642" i="9"/>
  <c r="E639" i="9"/>
  <c r="L632" i="9"/>
  <c r="M648" i="9"/>
  <c r="J626" i="9"/>
  <c r="J617" i="9"/>
  <c r="J534" i="9"/>
  <c r="M530" i="9"/>
  <c r="M655" i="9"/>
  <c r="G648" i="9"/>
  <c r="A642" i="9"/>
  <c r="E624" i="9"/>
  <c r="L635" i="9"/>
  <c r="D599" i="9"/>
  <c r="F528" i="9"/>
  <c r="E524" i="9"/>
  <c r="M626" i="9"/>
  <c r="L623" i="9"/>
  <c r="E649" i="9"/>
  <c r="C615" i="9"/>
  <c r="C643" i="9"/>
  <c r="I636" i="9"/>
  <c r="I632" i="9"/>
  <c r="H621" i="9"/>
  <c r="B628" i="9"/>
  <c r="A625" i="9"/>
  <c r="M621" i="9"/>
  <c r="I630" i="9"/>
  <c r="B629" i="9"/>
  <c r="H627" i="9"/>
  <c r="F635" i="9"/>
  <c r="G624" i="9"/>
  <c r="M622" i="9"/>
  <c r="B641" i="9"/>
  <c r="G628" i="9"/>
  <c r="D598" i="9"/>
  <c r="M642" i="9"/>
  <c r="F652" i="9"/>
  <c r="M633" i="9"/>
  <c r="L639" i="9"/>
  <c r="H623" i="9"/>
  <c r="A597" i="9"/>
  <c r="D661" i="9"/>
  <c r="F644" i="9"/>
  <c r="D594" i="9"/>
  <c r="L604" i="9"/>
  <c r="G618" i="9"/>
  <c r="I577" i="9"/>
  <c r="J625" i="9"/>
  <c r="G649" i="9"/>
  <c r="D637" i="9"/>
  <c r="I622" i="9"/>
  <c r="E603" i="9"/>
  <c r="I588" i="9"/>
  <c r="I655" i="9"/>
  <c r="E643" i="9"/>
  <c r="F618" i="9"/>
  <c r="F648" i="9"/>
  <c r="C597" i="9"/>
  <c r="G582" i="9"/>
  <c r="J650" i="9"/>
  <c r="B642" i="9"/>
  <c r="C617" i="9"/>
  <c r="C647" i="9"/>
  <c r="M595" i="9"/>
  <c r="D581" i="9"/>
  <c r="C631" i="9"/>
  <c r="C593" i="9"/>
  <c r="G578" i="9"/>
  <c r="B612" i="9"/>
  <c r="B573" i="9"/>
  <c r="M551" i="9"/>
  <c r="H660" i="9"/>
  <c r="H644" i="9"/>
  <c r="K619" i="9"/>
  <c r="I649" i="9"/>
  <c r="F598" i="9"/>
  <c r="J583" i="9"/>
  <c r="H646" i="9"/>
  <c r="F638" i="9"/>
  <c r="G613" i="9"/>
  <c r="G643" i="9"/>
  <c r="D592" i="9"/>
  <c r="G577" i="9"/>
  <c r="E645" i="9"/>
  <c r="C637" i="9"/>
  <c r="D612" i="9"/>
  <c r="D642" i="9"/>
  <c r="G661" i="9"/>
  <c r="C576" i="9"/>
  <c r="F619" i="9"/>
  <c r="L641" i="9"/>
  <c r="C573" i="9"/>
  <c r="D602" i="9"/>
  <c r="A568" i="9"/>
  <c r="J653" i="9"/>
  <c r="A639" i="9"/>
  <c r="L627" i="9"/>
  <c r="L658" i="9"/>
  <c r="D643" i="9"/>
  <c r="L618" i="9"/>
  <c r="F659" i="9"/>
  <c r="L630" i="9"/>
  <c r="I614" i="9"/>
  <c r="F646" i="9"/>
  <c r="M588" i="9"/>
  <c r="G556" i="9"/>
  <c r="G637" i="9"/>
  <c r="A648" i="9"/>
  <c r="G608" i="9"/>
  <c r="K621" i="9"/>
  <c r="G576" i="9"/>
  <c r="A550" i="9"/>
  <c r="I646" i="9"/>
  <c r="I602" i="9"/>
  <c r="E602" i="9"/>
  <c r="M630" i="9"/>
  <c r="B568" i="9"/>
  <c r="I543" i="9"/>
  <c r="K647" i="9"/>
  <c r="J644" i="9"/>
  <c r="I641" i="9"/>
  <c r="H638" i="9"/>
  <c r="F640" i="9"/>
  <c r="E637" i="9"/>
  <c r="M660" i="9"/>
  <c r="F592" i="9"/>
  <c r="E629" i="9"/>
  <c r="D626" i="9"/>
  <c r="H649" i="9"/>
  <c r="K607" i="9"/>
  <c r="M624" i="9"/>
  <c r="I609" i="9"/>
  <c r="L593" i="9"/>
  <c r="F591" i="9"/>
  <c r="H612" i="9"/>
  <c r="G609" i="9"/>
  <c r="G605" i="9"/>
  <c r="I601" i="9"/>
  <c r="M603" i="9"/>
  <c r="E597" i="9"/>
  <c r="K585" i="9"/>
  <c r="B585" i="9"/>
  <c r="B656" i="9"/>
  <c r="E638" i="9"/>
  <c r="E599" i="9"/>
  <c r="G595" i="9"/>
  <c r="K597" i="9"/>
  <c r="H601" i="9"/>
  <c r="I579" i="9"/>
  <c r="M578" i="9"/>
  <c r="I639" i="9"/>
  <c r="G593" i="9"/>
  <c r="L642" i="9"/>
  <c r="J636" i="9"/>
  <c r="B661" i="9"/>
  <c r="B658" i="9"/>
  <c r="B598" i="9"/>
  <c r="F656" i="9"/>
  <c r="L634" i="9"/>
  <c r="I623" i="9"/>
  <c r="I660" i="9"/>
  <c r="G627" i="9"/>
  <c r="M610" i="9"/>
  <c r="G651" i="9"/>
  <c r="M629" i="9"/>
  <c r="I659" i="9"/>
  <c r="J655" i="9"/>
  <c r="H622" i="9"/>
  <c r="A606" i="9"/>
  <c r="C652" i="9"/>
  <c r="H625" i="9"/>
  <c r="M594" i="9"/>
  <c r="M635" i="9"/>
  <c r="B554" i="9"/>
  <c r="F620" i="9"/>
  <c r="I656" i="9"/>
  <c r="G657" i="9"/>
  <c r="L640" i="9"/>
  <c r="I651" i="9"/>
  <c r="C650" i="9"/>
  <c r="L625" i="9"/>
  <c r="F625" i="9"/>
  <c r="H615" i="9"/>
  <c r="H626" i="9"/>
  <c r="L645" i="9"/>
  <c r="J620" i="9"/>
  <c r="M640" i="9"/>
  <c r="J597" i="9"/>
  <c r="J566" i="9"/>
  <c r="G617" i="9"/>
  <c r="F614" i="9"/>
  <c r="M607" i="9"/>
  <c r="L602" i="9"/>
  <c r="C605" i="9"/>
  <c r="K599" i="9"/>
  <c r="A587" i="9"/>
  <c r="E586" i="9"/>
  <c r="A661" i="9"/>
  <c r="D624" i="9"/>
  <c r="H600" i="9"/>
  <c r="J596" i="9"/>
  <c r="A599" i="9"/>
  <c r="F611" i="9"/>
  <c r="L580" i="9"/>
  <c r="C580" i="9"/>
  <c r="H652" i="9"/>
  <c r="H604" i="9"/>
  <c r="F594" i="9"/>
  <c r="L633" i="9"/>
  <c r="L592" i="9"/>
  <c r="A584" i="9"/>
  <c r="F574" i="9"/>
  <c r="I573" i="9"/>
  <c r="B649" i="9"/>
  <c r="K656" i="9"/>
  <c r="D627" i="9"/>
  <c r="F524" i="9"/>
  <c r="H634" i="9"/>
  <c r="I608" i="9"/>
  <c r="K617" i="9"/>
  <c r="G589" i="9"/>
  <c r="I519" i="9"/>
  <c r="H617" i="9"/>
  <c r="K581" i="9"/>
  <c r="B581" i="9"/>
  <c r="A518" i="9"/>
  <c r="G606" i="9"/>
  <c r="D580" i="9"/>
  <c r="H579" i="9"/>
  <c r="E518" i="9"/>
  <c r="J607" i="9"/>
  <c r="H580" i="9"/>
  <c r="L579" i="9"/>
  <c r="K516" i="9"/>
  <c r="I596" i="9"/>
  <c r="A579" i="9"/>
  <c r="E578" i="9"/>
  <c r="A512" i="9"/>
  <c r="B583" i="9"/>
  <c r="B574" i="9"/>
  <c r="E573" i="9"/>
  <c r="E510" i="9"/>
  <c r="E580" i="9"/>
  <c r="G572" i="9"/>
  <c r="K571" i="9"/>
  <c r="A583" i="9"/>
  <c r="G581" i="9"/>
  <c r="I512" i="9"/>
  <c r="I576" i="9"/>
  <c r="H512" i="9"/>
  <c r="G514" i="9"/>
  <c r="L451" i="9"/>
  <c r="D570" i="9"/>
  <c r="M510" i="9"/>
  <c r="L512" i="9"/>
  <c r="E450" i="9"/>
  <c r="M568" i="9"/>
  <c r="H510" i="9"/>
  <c r="G512" i="9"/>
  <c r="A450" i="9"/>
  <c r="J505" i="9"/>
  <c r="F557" i="9"/>
  <c r="L555" i="9"/>
  <c r="D506" i="9"/>
  <c r="M550" i="9"/>
  <c r="C506" i="9"/>
  <c r="M507" i="9"/>
  <c r="F445" i="9"/>
  <c r="H544" i="9"/>
  <c r="G504" i="9"/>
  <c r="F506" i="9"/>
  <c r="L443" i="9"/>
  <c r="D543" i="9"/>
  <c r="C504" i="9"/>
  <c r="B506" i="9"/>
  <c r="H443" i="9"/>
  <c r="M479" i="9"/>
  <c r="A607" i="9"/>
  <c r="F546" i="9"/>
  <c r="M597" i="9"/>
  <c r="F581" i="9"/>
  <c r="K591" i="9"/>
  <c r="A575" i="9"/>
  <c r="A604" i="9"/>
  <c r="H568" i="9"/>
  <c r="M493" i="9"/>
  <c r="B560" i="9"/>
  <c r="C556" i="9"/>
  <c r="G555" i="9"/>
  <c r="D492" i="9"/>
  <c r="F558" i="9"/>
  <c r="E641" i="9"/>
  <c r="C635" i="9"/>
  <c r="D623" i="9"/>
  <c r="L600" i="9"/>
  <c r="A655" i="9"/>
  <c r="M637" i="9"/>
  <c r="F623" i="9"/>
  <c r="K658" i="9"/>
  <c r="H630" i="9"/>
  <c r="J613" i="9"/>
  <c r="I644" i="9"/>
  <c r="A633" i="9"/>
  <c r="C616" i="9"/>
  <c r="L653" i="9"/>
  <c r="I625" i="9"/>
  <c r="K608" i="9"/>
  <c r="J606" i="9"/>
  <c r="H591" i="9"/>
  <c r="A626" i="9"/>
  <c r="E595" i="9"/>
  <c r="D605" i="9"/>
  <c r="I529" i="9"/>
  <c r="B621" i="9"/>
  <c r="M625" i="9"/>
  <c r="K605" i="9"/>
  <c r="J594" i="9"/>
  <c r="B579" i="9"/>
  <c r="H607" i="9"/>
  <c r="F569" i="9"/>
  <c r="M620" i="9"/>
  <c r="A563" i="9"/>
  <c r="E620" i="9"/>
  <c r="C638" i="9"/>
  <c r="D632" i="9"/>
  <c r="D633" i="9"/>
  <c r="C622" i="9"/>
  <c r="M562" i="9"/>
  <c r="C621" i="9"/>
  <c r="G612" i="9"/>
  <c r="M636" i="9"/>
  <c r="C594" i="9"/>
  <c r="K630" i="9"/>
  <c r="J570" i="9"/>
  <c r="I566" i="9"/>
  <c r="M565" i="9"/>
  <c r="E630" i="9"/>
  <c r="E640" i="9"/>
  <c r="E618" i="9"/>
  <c r="L585" i="9"/>
  <c r="K616" i="9"/>
  <c r="D564" i="9"/>
  <c r="E560" i="9"/>
  <c r="H559" i="9"/>
  <c r="I637" i="9"/>
  <c r="J600" i="9"/>
  <c r="C612" i="9"/>
  <c r="J579" i="9"/>
  <c r="I610" i="9"/>
  <c r="K557" i="9"/>
  <c r="A554" i="9"/>
  <c r="D553" i="9"/>
  <c r="A646" i="9"/>
  <c r="H639" i="9"/>
  <c r="I617" i="9"/>
  <c r="G520" i="9"/>
  <c r="G611" i="9"/>
  <c r="L605" i="9"/>
  <c r="E605" i="9"/>
  <c r="K588" i="9"/>
  <c r="C499" i="9"/>
  <c r="C565" i="9"/>
  <c r="E561" i="9"/>
  <c r="H560" i="9"/>
  <c r="H497" i="9"/>
  <c r="I563" i="9"/>
  <c r="I559" i="9"/>
  <c r="M558" i="9"/>
  <c r="M497" i="9"/>
  <c r="M563" i="9"/>
  <c r="A560" i="9"/>
  <c r="D559" i="9"/>
  <c r="D496" i="9"/>
  <c r="F562" i="9"/>
  <c r="E558" i="9"/>
  <c r="I557" i="9"/>
  <c r="E491" i="9"/>
  <c r="G557" i="9"/>
  <c r="I553" i="9"/>
  <c r="M552" i="9"/>
  <c r="J489" i="9"/>
  <c r="M555" i="9"/>
  <c r="A552" i="9"/>
  <c r="D551" i="9"/>
  <c r="E582" i="9"/>
  <c r="K580" i="9"/>
  <c r="M491" i="9"/>
  <c r="I513" i="9"/>
  <c r="L491" i="9"/>
  <c r="J493" i="9"/>
  <c r="E431" i="9"/>
  <c r="C507" i="9"/>
  <c r="E490" i="9"/>
  <c r="B492" i="9"/>
  <c r="J429" i="9"/>
  <c r="M505" i="9"/>
  <c r="A490" i="9"/>
  <c r="K491" i="9"/>
  <c r="F429" i="9"/>
  <c r="D443" i="9"/>
  <c r="J556" i="9"/>
  <c r="C555" i="9"/>
  <c r="G485" i="9"/>
  <c r="J487" i="9"/>
  <c r="F485" i="9"/>
  <c r="D487" i="9"/>
  <c r="D650" i="9"/>
  <c r="D484" i="9"/>
  <c r="L483" i="9"/>
  <c r="I485" i="9"/>
  <c r="F630" i="9"/>
  <c r="M483" i="9"/>
  <c r="H483" i="9"/>
  <c r="E485" i="9"/>
  <c r="I594" i="9"/>
  <c r="D616" i="9"/>
  <c r="L608" i="9"/>
  <c r="F653" i="9"/>
  <c r="D600" i="9"/>
  <c r="M652" i="9"/>
  <c r="B594" i="9"/>
  <c r="A631" i="9"/>
  <c r="I640" i="9"/>
  <c r="H536" i="9"/>
  <c r="J598" i="9"/>
  <c r="I539" i="9"/>
  <c r="I535" i="9"/>
  <c r="M534" i="9"/>
  <c r="H592" i="9"/>
  <c r="B538" i="9"/>
  <c r="A534" i="9"/>
  <c r="D535" i="9"/>
  <c r="K639" i="9"/>
  <c r="F621" i="9"/>
  <c r="A647" i="9"/>
  <c r="J652" i="9"/>
  <c r="K626" i="9"/>
  <c r="K629" i="9"/>
  <c r="L661" i="9"/>
  <c r="J628" i="9"/>
  <c r="F622" i="9"/>
  <c r="D634" i="9"/>
  <c r="H581" i="9"/>
  <c r="L624" i="9"/>
  <c r="M656" i="9"/>
  <c r="K623" i="9"/>
  <c r="J654" i="9"/>
  <c r="I628" i="9"/>
  <c r="M571" i="9"/>
  <c r="A657" i="9"/>
  <c r="L657" i="9"/>
  <c r="F560" i="9"/>
  <c r="A644" i="9"/>
  <c r="B645" i="9"/>
  <c r="I547" i="9"/>
  <c r="G650" i="9"/>
  <c r="A603" i="9"/>
  <c r="M591" i="9"/>
  <c r="L571" i="9"/>
  <c r="A632" i="9"/>
  <c r="F565" i="9"/>
  <c r="B617" i="9"/>
  <c r="A559" i="9"/>
  <c r="G633" i="9"/>
  <c r="F595" i="9"/>
  <c r="B647" i="9"/>
  <c r="B591" i="9"/>
  <c r="E588" i="9"/>
  <c r="D562" i="9"/>
  <c r="M615" i="9"/>
  <c r="A580" i="9"/>
  <c r="K604" i="9"/>
  <c r="M658" i="9"/>
  <c r="H650" i="9"/>
  <c r="B550" i="9"/>
  <c r="E546" i="9"/>
  <c r="A650" i="9"/>
  <c r="G659" i="9"/>
  <c r="A653" i="9"/>
  <c r="I598" i="9"/>
  <c r="G658" i="9"/>
  <c r="B632" i="9"/>
  <c r="J543" i="9"/>
  <c r="L539" i="9"/>
  <c r="J658" i="9"/>
  <c r="C649" i="9"/>
  <c r="J642" i="9"/>
  <c r="G592" i="9"/>
  <c r="H636" i="9"/>
  <c r="D649" i="9"/>
  <c r="F537" i="9"/>
  <c r="F533" i="9"/>
  <c r="G621" i="9"/>
  <c r="L647" i="9"/>
  <c r="K636" i="9"/>
  <c r="K661" i="9"/>
  <c r="B644" i="9"/>
  <c r="F628" i="9"/>
  <c r="E648" i="9"/>
  <c r="I611" i="9"/>
  <c r="I541" i="9"/>
  <c r="L646" i="9"/>
  <c r="J544" i="9"/>
  <c r="K540" i="9"/>
  <c r="B540" i="9"/>
  <c r="D622" i="9"/>
  <c r="B543" i="9"/>
  <c r="D539" i="9"/>
  <c r="F540" i="9"/>
  <c r="C627" i="9"/>
  <c r="F543" i="9"/>
  <c r="H539" i="9"/>
  <c r="L538" i="9"/>
  <c r="F610" i="9"/>
  <c r="K541" i="9"/>
  <c r="A538" i="9"/>
  <c r="M533" i="9"/>
  <c r="E644" i="9"/>
  <c r="B537" i="9"/>
  <c r="B533" i="9"/>
  <c r="F532" i="9"/>
  <c r="G620" i="9"/>
  <c r="F535" i="9"/>
  <c r="H531" i="9"/>
  <c r="E521" i="9"/>
  <c r="E519" i="9"/>
  <c r="H534" i="9"/>
  <c r="D589" i="9"/>
  <c r="J471" i="9"/>
  <c r="E471" i="9"/>
  <c r="D473" i="9"/>
  <c r="L576" i="9"/>
  <c r="B470" i="9"/>
  <c r="J469" i="9"/>
  <c r="H471" i="9"/>
  <c r="C574" i="9"/>
  <c r="K469" i="9"/>
  <c r="F469" i="9"/>
  <c r="D471" i="9"/>
  <c r="M541" i="9"/>
  <c r="D495" i="9"/>
  <c r="H493" i="9"/>
  <c r="D528" i="9"/>
  <c r="I555" i="9"/>
  <c r="F465" i="9"/>
  <c r="A465" i="9"/>
  <c r="L466" i="9"/>
  <c r="C549" i="9"/>
  <c r="J463" i="9"/>
  <c r="E463" i="9"/>
  <c r="D465" i="9"/>
  <c r="M547" i="9"/>
  <c r="F463" i="9"/>
  <c r="A463" i="9"/>
  <c r="M464" i="9"/>
  <c r="F478" i="9"/>
  <c r="C613" i="9"/>
  <c r="F661" i="9"/>
  <c r="M643" i="9"/>
  <c r="F604" i="9"/>
  <c r="F578" i="9"/>
  <c r="H657" i="9"/>
  <c r="L626" i="9"/>
  <c r="H547" i="9"/>
  <c r="H645" i="9"/>
  <c r="E583" i="9"/>
  <c r="J564" i="9"/>
  <c r="K633" i="9"/>
  <c r="J622" i="9"/>
  <c r="K640" i="9"/>
  <c r="L631" i="9"/>
  <c r="B648" i="9"/>
  <c r="C639" i="9"/>
  <c r="G623" i="9"/>
  <c r="F658" i="9"/>
  <c r="A641" i="9"/>
  <c r="E604" i="9"/>
  <c r="F588" i="9"/>
  <c r="I589" i="9"/>
  <c r="G583" i="9"/>
  <c r="E564" i="9"/>
  <c r="L557" i="9"/>
  <c r="I648" i="9"/>
  <c r="G566" i="9"/>
  <c r="C560" i="9"/>
  <c r="L558" i="9"/>
  <c r="F561" i="9"/>
  <c r="M540" i="9"/>
  <c r="G534" i="9"/>
  <c r="D533" i="9"/>
  <c r="B610" i="9"/>
  <c r="B582" i="9"/>
  <c r="J575" i="9"/>
  <c r="E569" i="9"/>
  <c r="A588" i="9"/>
  <c r="A576" i="9"/>
  <c r="D585" i="9"/>
  <c r="F603" i="9"/>
  <c r="E513" i="9"/>
  <c r="H585" i="9"/>
  <c r="F575" i="9"/>
  <c r="I574" i="9"/>
  <c r="I511" i="9"/>
  <c r="K582" i="9"/>
  <c r="J573" i="9"/>
  <c r="A573" i="9"/>
  <c r="L506" i="9"/>
  <c r="L572" i="9"/>
  <c r="A569" i="9"/>
  <c r="D568" i="9"/>
  <c r="D505" i="9"/>
  <c r="E571" i="9"/>
  <c r="E567" i="9"/>
  <c r="H566" i="9"/>
  <c r="I562" i="9"/>
  <c r="A561" i="9"/>
  <c r="G507" i="9"/>
  <c r="B556" i="9"/>
  <c r="F507" i="9"/>
  <c r="D509" i="9"/>
  <c r="I446" i="9"/>
  <c r="I549" i="9"/>
  <c r="L505" i="9"/>
  <c r="I507" i="9"/>
  <c r="B445" i="9"/>
  <c r="F548" i="9"/>
  <c r="G505" i="9"/>
  <c r="E507" i="9"/>
  <c r="K444" i="9"/>
  <c r="A485" i="9"/>
  <c r="A537" i="9"/>
  <c r="E535" i="9"/>
  <c r="A501" i="9"/>
  <c r="H530" i="9"/>
  <c r="M500" i="9"/>
  <c r="J502" i="9"/>
  <c r="E440" i="9"/>
  <c r="M523" i="9"/>
  <c r="F499" i="9"/>
  <c r="C501" i="9"/>
  <c r="I438" i="9"/>
  <c r="J522" i="9"/>
  <c r="B499" i="9"/>
  <c r="L500" i="9"/>
  <c r="E438" i="9"/>
  <c r="M589" i="9"/>
  <c r="B605" i="9"/>
  <c r="E542" i="9"/>
  <c r="B587" i="9"/>
  <c r="M560" i="9"/>
  <c r="M580" i="9"/>
  <c r="H554" i="9"/>
  <c r="G574" i="9"/>
  <c r="B548" i="9"/>
  <c r="J488" i="9"/>
  <c r="A555" i="9"/>
  <c r="A551" i="9"/>
  <c r="D550" i="9"/>
  <c r="B487" i="9"/>
  <c r="F553" i="9"/>
  <c r="F549" i="9"/>
  <c r="J548" i="9"/>
  <c r="F487" i="9"/>
  <c r="J553" i="9"/>
  <c r="J549" i="9"/>
  <c r="A549" i="9"/>
  <c r="K485" i="9"/>
  <c r="B552" i="9"/>
  <c r="C548" i="9"/>
  <c r="D544" i="9"/>
  <c r="H620" i="9"/>
  <c r="E547" i="9"/>
  <c r="E543" i="9"/>
  <c r="H542" i="9"/>
  <c r="J629" i="9"/>
  <c r="J545" i="9"/>
  <c r="J541" i="9"/>
  <c r="M542" i="9"/>
  <c r="E541" i="9"/>
  <c r="M544" i="9"/>
  <c r="C601" i="9"/>
  <c r="B482" i="9"/>
  <c r="I481" i="9"/>
  <c r="G483" i="9"/>
  <c r="A614" i="9"/>
  <c r="F480" i="9"/>
  <c r="A480" i="9"/>
  <c r="M481" i="9"/>
  <c r="B609" i="9"/>
  <c r="B480" i="9"/>
  <c r="I479" i="9"/>
  <c r="H481" i="9"/>
  <c r="J546" i="9"/>
  <c r="K579" i="9"/>
  <c r="D573" i="9"/>
  <c r="H538" i="9"/>
  <c r="M609" i="9"/>
  <c r="I475" i="9"/>
  <c r="D475" i="9"/>
  <c r="A477" i="9"/>
  <c r="I597" i="9"/>
  <c r="B474" i="9"/>
  <c r="I473" i="9"/>
  <c r="G475" i="9"/>
  <c r="C595" i="9"/>
  <c r="J473" i="9"/>
  <c r="E473" i="9"/>
  <c r="C475" i="9"/>
  <c r="C522" i="9"/>
  <c r="L651" i="9"/>
  <c r="G629" i="9"/>
  <c r="F529" i="9"/>
  <c r="J527" i="9"/>
  <c r="B528" i="9"/>
  <c r="F526" i="9"/>
  <c r="J627" i="9"/>
  <c r="A616" i="9"/>
  <c r="C587" i="9"/>
  <c r="I564" i="9"/>
  <c r="B539" i="9"/>
  <c r="L533" i="9"/>
  <c r="L561" i="9"/>
  <c r="M506" i="9"/>
  <c r="G500" i="9"/>
  <c r="D499" i="9"/>
  <c r="D556" i="9"/>
  <c r="J554" i="9"/>
  <c r="C536" i="9"/>
  <c r="I546" i="9"/>
  <c r="L535" i="9"/>
  <c r="C543" i="9"/>
  <c r="C481" i="9"/>
  <c r="C540" i="9"/>
  <c r="G529" i="9"/>
  <c r="L536" i="9"/>
  <c r="K474" i="9"/>
  <c r="M538" i="9"/>
  <c r="C528" i="9"/>
  <c r="G535" i="9"/>
  <c r="G473" i="9"/>
  <c r="A473" i="9"/>
  <c r="A541" i="9"/>
  <c r="H479" i="9"/>
  <c r="M477" i="9"/>
  <c r="I477" i="9"/>
  <c r="C482" i="9"/>
  <c r="A482" i="9"/>
  <c r="L485" i="9"/>
  <c r="J485" i="9"/>
  <c r="L489" i="9"/>
  <c r="I489" i="9"/>
  <c r="I493" i="9"/>
  <c r="J467" i="9"/>
  <c r="C405" i="9"/>
  <c r="L318" i="9"/>
  <c r="F395" i="9"/>
  <c r="G466" i="9"/>
  <c r="M535" i="9"/>
  <c r="H474" i="9"/>
  <c r="M472" i="9"/>
  <c r="H472" i="9"/>
  <c r="M476" i="9"/>
  <c r="K476" i="9"/>
  <c r="L480" i="9"/>
  <c r="I480" i="9"/>
  <c r="I484" i="9"/>
  <c r="G484" i="9"/>
  <c r="G488" i="9"/>
  <c r="G462" i="9"/>
  <c r="J401" i="9"/>
  <c r="G317" i="9"/>
  <c r="C394" i="9"/>
  <c r="C461" i="9"/>
  <c r="B545" i="9"/>
  <c r="D532" i="9"/>
  <c r="A586" i="9"/>
  <c r="G584" i="9"/>
  <c r="K584" i="9"/>
  <c r="D583" i="9"/>
  <c r="I578" i="9"/>
  <c r="A577" i="9"/>
  <c r="A612" i="9"/>
  <c r="E590" i="9"/>
  <c r="B589" i="9"/>
  <c r="F539" i="9"/>
  <c r="G571" i="9"/>
  <c r="A565" i="9"/>
  <c r="K563" i="9"/>
  <c r="H521" i="9"/>
  <c r="L531" i="9"/>
  <c r="E530" i="9"/>
  <c r="K499" i="9"/>
  <c r="D525" i="9"/>
  <c r="J499" i="9"/>
  <c r="G501" i="9"/>
  <c r="A439" i="9"/>
  <c r="M585" i="9"/>
  <c r="C498" i="9"/>
  <c r="M499" i="9"/>
  <c r="F437" i="9"/>
  <c r="A581" i="9"/>
  <c r="L497" i="9"/>
  <c r="I499" i="9"/>
  <c r="B437" i="9"/>
  <c r="F518" i="9"/>
  <c r="J524" i="9"/>
  <c r="L609" i="9"/>
  <c r="M604" i="9"/>
  <c r="G552" i="9"/>
  <c r="D439" i="9"/>
  <c r="D463" i="9"/>
  <c r="D440" i="9"/>
  <c r="C467" i="9"/>
  <c r="D441" i="9"/>
  <c r="B602" i="9"/>
  <c r="E653" i="9"/>
  <c r="I599" i="9"/>
  <c r="A610" i="9"/>
  <c r="E657" i="9"/>
  <c r="D655" i="9"/>
  <c r="L613" i="9"/>
  <c r="I584" i="9"/>
  <c r="J630" i="9"/>
  <c r="I619" i="9"/>
  <c r="J601" i="9"/>
  <c r="K628" i="9"/>
  <c r="G646" i="9"/>
  <c r="B636" i="9"/>
  <c r="H614" i="9"/>
  <c r="K644" i="9"/>
  <c r="A617" i="9"/>
  <c r="D660" i="9"/>
  <c r="H641" i="9"/>
  <c r="K642" i="9"/>
  <c r="J631" i="9"/>
  <c r="I613" i="9"/>
  <c r="L610" i="9"/>
  <c r="E616" i="9"/>
  <c r="M573" i="9"/>
  <c r="G567" i="9"/>
  <c r="C566" i="9"/>
  <c r="J559" i="9"/>
  <c r="E548" i="9"/>
  <c r="L541" i="9"/>
  <c r="I540" i="9"/>
  <c r="E650" i="9"/>
  <c r="A619" i="9"/>
  <c r="E628" i="9"/>
  <c r="H574" i="9"/>
  <c r="E612" i="9"/>
  <c r="C568" i="9"/>
  <c r="C606" i="9"/>
  <c r="E574" i="9"/>
  <c r="H492" i="9"/>
  <c r="J558" i="9"/>
  <c r="M554" i="9"/>
  <c r="D554" i="9"/>
  <c r="A491" i="9"/>
  <c r="C557" i="9"/>
  <c r="E553" i="9"/>
  <c r="H552" i="9"/>
  <c r="B486" i="9"/>
  <c r="F552" i="9"/>
  <c r="G548" i="9"/>
  <c r="K547" i="9"/>
  <c r="F660" i="9"/>
  <c r="J550" i="9"/>
  <c r="M546" i="9"/>
  <c r="D546" i="9"/>
  <c r="M561" i="9"/>
  <c r="D560" i="9"/>
  <c r="J486" i="9"/>
  <c r="M492" i="9"/>
  <c r="I486" i="9"/>
  <c r="H488" i="9"/>
  <c r="E426" i="9"/>
  <c r="F486" i="9"/>
  <c r="B485" i="9"/>
  <c r="M486" i="9"/>
  <c r="I424" i="9"/>
  <c r="C485" i="9"/>
  <c r="K484" i="9"/>
  <c r="H486" i="9"/>
  <c r="G644" i="9"/>
  <c r="M537" i="9"/>
  <c r="D536" i="9"/>
  <c r="H543" i="9"/>
  <c r="M618" i="9"/>
  <c r="J480" i="9"/>
  <c r="E480" i="9"/>
  <c r="D482" i="9"/>
  <c r="H599" i="9"/>
  <c r="B479" i="9"/>
  <c r="I478" i="9"/>
  <c r="H480" i="9"/>
  <c r="B597" i="9"/>
  <c r="J478" i="9"/>
  <c r="E478" i="9"/>
  <c r="D480" i="9"/>
  <c r="B526" i="9"/>
  <c r="M619" i="9"/>
  <c r="E646" i="9"/>
  <c r="D635" i="9"/>
  <c r="A618" i="9"/>
  <c r="H642" i="9"/>
  <c r="L611" i="9"/>
  <c r="C642" i="9"/>
  <c r="J605" i="9"/>
  <c r="G531" i="9"/>
  <c r="G616" i="9"/>
  <c r="F534" i="9"/>
  <c r="I530" i="9"/>
  <c r="M529" i="9"/>
  <c r="E610" i="9"/>
  <c r="L532" i="9"/>
  <c r="A529" i="9"/>
  <c r="D530" i="9"/>
  <c r="H611" i="9"/>
  <c r="C533" i="9"/>
  <c r="E529" i="9"/>
  <c r="H528" i="9"/>
  <c r="F605" i="9"/>
  <c r="I531" i="9"/>
  <c r="I527" i="9"/>
  <c r="I523" i="9"/>
  <c r="L595" i="9"/>
  <c r="J526" i="9"/>
  <c r="K522" i="9"/>
  <c r="B619" i="9"/>
  <c r="B593" i="9"/>
  <c r="B525" i="9"/>
  <c r="C521" i="9"/>
  <c r="I634" i="9"/>
  <c r="M641" i="9"/>
  <c r="D524" i="9"/>
  <c r="D540" i="9"/>
  <c r="F461" i="9"/>
  <c r="A461" i="9"/>
  <c r="M462" i="9"/>
  <c r="K533" i="9"/>
  <c r="M649" i="9"/>
  <c r="F459" i="9"/>
  <c r="D461" i="9"/>
  <c r="H532" i="9"/>
  <c r="C630" i="9"/>
  <c r="B459" i="9"/>
  <c r="M460" i="9"/>
  <c r="B463" i="9"/>
  <c r="B623" i="9"/>
  <c r="D618" i="9"/>
  <c r="D582" i="9"/>
  <c r="B595" i="9"/>
  <c r="M581" i="9"/>
  <c r="A589" i="9"/>
  <c r="C544" i="9"/>
  <c r="B586" i="9"/>
  <c r="H575" i="9"/>
  <c r="L582" i="9"/>
  <c r="F521" i="9"/>
  <c r="L584" i="9"/>
  <c r="D574" i="9"/>
  <c r="I581" i="9"/>
  <c r="J519" i="9"/>
  <c r="D519" i="9"/>
  <c r="L656" i="9"/>
  <c r="L607" i="9"/>
  <c r="E525" i="9"/>
  <c r="J523" i="9"/>
  <c r="A524" i="9"/>
  <c r="G522" i="9"/>
  <c r="G619" i="9"/>
  <c r="D613" i="9"/>
  <c r="K614" i="9"/>
  <c r="A591" i="9"/>
  <c r="K589" i="9"/>
  <c r="A532" i="9"/>
  <c r="C572" i="9"/>
  <c r="J565" i="9"/>
  <c r="G564" i="9"/>
  <c r="K498" i="9"/>
  <c r="E552" i="9"/>
  <c r="I550" i="9"/>
  <c r="M504" i="9"/>
  <c r="M545" i="9"/>
  <c r="L504" i="9"/>
  <c r="J506" i="9"/>
  <c r="C444" i="9"/>
  <c r="G539" i="9"/>
  <c r="C503" i="9"/>
  <c r="B505" i="9"/>
  <c r="I442" i="9"/>
  <c r="D538" i="9"/>
  <c r="L502" i="9"/>
  <c r="J504" i="9"/>
  <c r="E442" i="9"/>
  <c r="L474" i="9"/>
  <c r="C592" i="9"/>
  <c r="E617" i="9"/>
  <c r="L614" i="9"/>
  <c r="D563" i="9"/>
  <c r="F444" i="9"/>
  <c r="K483" i="9"/>
  <c r="E445" i="9"/>
  <c r="H487" i="9"/>
  <c r="D446" i="9"/>
  <c r="G491" i="9"/>
  <c r="D447" i="9"/>
  <c r="L440" i="9"/>
  <c r="F380" i="9"/>
  <c r="E298" i="9"/>
  <c r="L374" i="9"/>
  <c r="G440" i="9"/>
  <c r="M628" i="9"/>
  <c r="K586" i="9"/>
  <c r="E584" i="9"/>
  <c r="H562" i="9"/>
  <c r="C443" i="9"/>
  <c r="H478" i="9"/>
  <c r="B444" i="9"/>
  <c r="H482" i="9"/>
  <c r="A445" i="9"/>
  <c r="D486" i="9"/>
  <c r="M445" i="9"/>
  <c r="G439" i="9"/>
  <c r="C379" i="9"/>
  <c r="A297" i="9"/>
  <c r="H373" i="9"/>
  <c r="K578" i="9"/>
  <c r="I647" i="9"/>
  <c r="H533" i="9"/>
  <c r="C527" i="9"/>
  <c r="G528" i="9"/>
  <c r="I522" i="9"/>
  <c r="B517" i="9"/>
  <c r="H515" i="9"/>
  <c r="F525" i="9"/>
  <c r="I517" i="9"/>
  <c r="B516" i="9"/>
  <c r="K515" i="9"/>
  <c r="B578" i="9"/>
  <c r="D511" i="9"/>
  <c r="I509" i="9"/>
  <c r="E509" i="9"/>
  <c r="J532" i="9"/>
  <c r="C531" i="9"/>
  <c r="D542" i="9"/>
  <c r="A602" i="9"/>
  <c r="F479" i="9"/>
  <c r="A479" i="9"/>
  <c r="M480" i="9"/>
  <c r="J647" i="9"/>
  <c r="K477" i="9"/>
  <c r="F477" i="9"/>
  <c r="D479" i="9"/>
  <c r="L637" i="9"/>
  <c r="G477" i="9"/>
  <c r="B477" i="9"/>
  <c r="M478" i="9"/>
  <c r="I583" i="9"/>
  <c r="D603" i="9"/>
  <c r="D593" i="9"/>
  <c r="I585" i="9"/>
  <c r="F584" i="9"/>
  <c r="A418" i="9"/>
  <c r="G541" i="9"/>
  <c r="M418" i="9"/>
  <c r="L556" i="9"/>
  <c r="A658" i="9"/>
  <c r="K631" i="9"/>
  <c r="I552" i="9"/>
  <c r="I652" i="9"/>
  <c r="H610" i="9"/>
  <c r="B523" i="9"/>
  <c r="C571" i="9"/>
  <c r="D558" i="9"/>
  <c r="C640" i="9"/>
  <c r="M646" i="9"/>
  <c r="J529" i="9"/>
  <c r="E622" i="9"/>
  <c r="A659" i="9"/>
  <c r="I629" i="9"/>
  <c r="J603" i="9"/>
  <c r="J633" i="9"/>
  <c r="A636" i="9"/>
  <c r="B524" i="9"/>
  <c r="G642" i="9"/>
  <c r="F647" i="9"/>
  <c r="K622" i="9"/>
  <c r="G602" i="9"/>
  <c r="E596" i="9"/>
  <c r="L566" i="9"/>
  <c r="B512" i="9"/>
  <c r="I505" i="9"/>
  <c r="E504" i="9"/>
  <c r="D541" i="9"/>
  <c r="C486" i="9"/>
  <c r="L479" i="9"/>
  <c r="G478" i="9"/>
  <c r="K601" i="9"/>
  <c r="I595" i="9"/>
  <c r="K646" i="9"/>
  <c r="I514" i="9"/>
  <c r="J576" i="9"/>
  <c r="A513" i="9"/>
  <c r="B575" i="9"/>
  <c r="M553" i="9"/>
  <c r="K593" i="9"/>
  <c r="F538" i="9"/>
  <c r="E534" i="9"/>
  <c r="I533" i="9"/>
  <c r="F639" i="9"/>
  <c r="J536" i="9"/>
  <c r="K532" i="9"/>
  <c r="M528" i="9"/>
  <c r="I606" i="9"/>
  <c r="M531" i="9"/>
  <c r="A528" i="9"/>
  <c r="D527" i="9"/>
  <c r="M602" i="9"/>
  <c r="F530" i="9"/>
  <c r="E526" i="9"/>
  <c r="F500" i="9"/>
  <c r="L498" i="9"/>
  <c r="H529" i="9"/>
  <c r="J560" i="9"/>
  <c r="J466" i="9"/>
  <c r="E466" i="9"/>
  <c r="B468" i="9"/>
  <c r="F554" i="9"/>
  <c r="B465" i="9"/>
  <c r="I464" i="9"/>
  <c r="H466" i="9"/>
  <c r="B553" i="9"/>
  <c r="J464" i="9"/>
  <c r="E464" i="9"/>
  <c r="D466" i="9"/>
  <c r="I483" i="9"/>
  <c r="I603" i="9"/>
  <c r="G597" i="9"/>
  <c r="A523" i="9"/>
  <c r="B535" i="9"/>
  <c r="B460" i="9"/>
  <c r="J459" i="9"/>
  <c r="H461" i="9"/>
  <c r="J528" i="9"/>
  <c r="A608" i="9"/>
  <c r="C458" i="9"/>
  <c r="A640" i="9"/>
  <c r="F527" i="9"/>
  <c r="B603" i="9"/>
  <c r="L457" i="9"/>
  <c r="H605" i="9"/>
  <c r="C598" i="9"/>
  <c r="D611" i="9"/>
  <c r="L603" i="9"/>
  <c r="K592" i="9"/>
  <c r="G565" i="9"/>
  <c r="I605" i="9"/>
  <c r="B559" i="9"/>
  <c r="L589" i="9"/>
  <c r="J552" i="9"/>
  <c r="C554" i="9"/>
  <c r="J608" i="9"/>
  <c r="I592" i="9"/>
  <c r="M590" i="9"/>
  <c r="J547" i="9"/>
  <c r="M605" i="9"/>
  <c r="B590" i="9"/>
  <c r="F589" i="9"/>
  <c r="M548" i="9"/>
  <c r="D606" i="9"/>
  <c r="F590" i="9"/>
  <c r="J589" i="9"/>
  <c r="G542" i="9"/>
  <c r="G603" i="9"/>
  <c r="L588" i="9"/>
  <c r="C588" i="9"/>
  <c r="D523" i="9"/>
  <c r="M593" i="9"/>
  <c r="D584" i="9"/>
  <c r="H583" i="9"/>
  <c r="M520" i="9"/>
  <c r="J643" i="9"/>
  <c r="J582" i="9"/>
  <c r="A582" i="9"/>
  <c r="B546" i="9"/>
  <c r="F544" i="9"/>
  <c r="L525" i="9"/>
  <c r="E536" i="9"/>
  <c r="G525" i="9"/>
  <c r="M532" i="9"/>
  <c r="L470" i="9"/>
  <c r="A530" i="9"/>
  <c r="I521" i="9"/>
  <c r="G526" i="9"/>
  <c r="G464" i="9"/>
  <c r="I528" i="9"/>
  <c r="D521" i="9"/>
  <c r="C525" i="9"/>
  <c r="C463" i="9"/>
  <c r="I462" i="9"/>
  <c r="D617" i="9"/>
  <c r="B611" i="9"/>
  <c r="G516" i="9"/>
  <c r="E592" i="9"/>
  <c r="F516" i="9"/>
  <c r="C518" i="9"/>
  <c r="I455" i="9"/>
  <c r="F585" i="9"/>
  <c r="L514" i="9"/>
  <c r="I516" i="9"/>
  <c r="A454" i="9"/>
  <c r="C584" i="9"/>
  <c r="H514" i="9"/>
  <c r="E516" i="9"/>
  <c r="J453" i="9"/>
  <c r="J614" i="9"/>
  <c r="F651" i="9"/>
  <c r="D526" i="9"/>
  <c r="H524" i="9"/>
  <c r="M524" i="9"/>
  <c r="E523" i="9"/>
  <c r="J584" i="9"/>
  <c r="H578" i="9"/>
  <c r="F593" i="9"/>
  <c r="L586" i="9"/>
  <c r="J580" i="9"/>
  <c r="G579" i="9"/>
  <c r="G590" i="9"/>
  <c r="G561" i="9"/>
  <c r="B555" i="9"/>
  <c r="L553" i="9"/>
  <c r="A438" i="9"/>
  <c r="H551" i="9"/>
  <c r="M549" i="9"/>
  <c r="G655" i="9"/>
  <c r="H484" i="9"/>
  <c r="C484" i="9"/>
  <c r="M485" i="9"/>
  <c r="A637" i="9"/>
  <c r="A483" i="9"/>
  <c r="I482" i="9"/>
  <c r="F484" i="9"/>
  <c r="J639" i="9"/>
  <c r="J482" i="9"/>
  <c r="E482" i="9"/>
  <c r="B484" i="9"/>
  <c r="J592" i="9"/>
  <c r="H527" i="9"/>
  <c r="B478" i="9"/>
  <c r="H476" i="9"/>
  <c r="D476" i="9"/>
  <c r="A423" i="9"/>
  <c r="B606" i="9"/>
  <c r="A424" i="9"/>
  <c r="M424" i="9"/>
  <c r="E425" i="9"/>
  <c r="M425" i="9"/>
  <c r="B429" i="9"/>
  <c r="L426" i="9"/>
  <c r="E420" i="9"/>
  <c r="M359" i="9"/>
  <c r="G277" i="9"/>
  <c r="G354" i="9"/>
  <c r="K538" i="9"/>
  <c r="B473" i="9"/>
  <c r="F471" i="9"/>
  <c r="B471" i="9"/>
  <c r="J421" i="9"/>
  <c r="A628" i="9"/>
  <c r="I422" i="9"/>
  <c r="G634" i="9"/>
  <c r="I423" i="9"/>
  <c r="H424" i="9"/>
  <c r="A425" i="9"/>
  <c r="H425" i="9"/>
  <c r="B419" i="9"/>
  <c r="H358" i="9"/>
  <c r="C276" i="9"/>
  <c r="D424" i="9"/>
  <c r="L659" i="9"/>
  <c r="J538" i="9"/>
  <c r="L598" i="9"/>
  <c r="B596" i="9"/>
  <c r="F596" i="9"/>
  <c r="I593" i="9"/>
  <c r="L597" i="9"/>
  <c r="C590" i="9"/>
  <c r="K523" i="9"/>
  <c r="G519" i="9"/>
  <c r="L517" i="9"/>
  <c r="H517" i="9"/>
  <c r="F576" i="9"/>
  <c r="C513" i="9"/>
  <c r="G511" i="9"/>
  <c r="C511" i="9"/>
  <c r="I624" i="9"/>
  <c r="D615" i="9"/>
  <c r="C614" i="9"/>
  <c r="B530" i="9"/>
  <c r="M612" i="9"/>
  <c r="G458" i="9"/>
  <c r="D460" i="9"/>
  <c r="G523" i="9"/>
  <c r="H590" i="9"/>
  <c r="C653" i="9"/>
  <c r="A536" i="9"/>
  <c r="D619" i="9"/>
  <c r="D641" i="9"/>
  <c r="J604" i="9"/>
  <c r="C618" i="9"/>
  <c r="M570" i="9"/>
  <c r="E545" i="9"/>
  <c r="G586" i="9"/>
  <c r="K615" i="9"/>
  <c r="F607" i="9"/>
  <c r="D601" i="9"/>
  <c r="C589" i="9"/>
  <c r="I587" i="9"/>
  <c r="G546" i="9"/>
  <c r="F491" i="9"/>
  <c r="M484" i="9"/>
  <c r="J483" i="9"/>
  <c r="D522" i="9"/>
  <c r="L465" i="9"/>
  <c r="K459" i="9"/>
  <c r="E459" i="9"/>
  <c r="J619" i="9"/>
  <c r="D607" i="9"/>
  <c r="H571" i="9"/>
  <c r="A570" i="9"/>
  <c r="E570" i="9"/>
  <c r="I568" i="9"/>
  <c r="L563" i="9"/>
  <c r="E562" i="9"/>
  <c r="D502" i="9"/>
  <c r="I441" i="9"/>
  <c r="A440" i="9"/>
  <c r="I439" i="9"/>
  <c r="M495" i="9"/>
  <c r="D435" i="9"/>
  <c r="I433" i="9"/>
  <c r="E433" i="9"/>
  <c r="A598" i="9"/>
  <c r="L621" i="9"/>
  <c r="H586" i="9"/>
  <c r="C561" i="9"/>
  <c r="F550" i="9"/>
  <c r="B544" i="9"/>
  <c r="J542" i="9"/>
  <c r="F473" i="9"/>
  <c r="L475" i="9"/>
  <c r="B489" i="9"/>
  <c r="E405" i="9"/>
  <c r="A405" i="9"/>
  <c r="I470" i="9"/>
  <c r="B481" i="9"/>
  <c r="B404" i="9"/>
  <c r="K403" i="9"/>
  <c r="C585" i="9"/>
  <c r="J577" i="9"/>
  <c r="A455" i="9"/>
  <c r="I448" i="9"/>
  <c r="A526" i="9"/>
  <c r="C646" i="9"/>
  <c r="B580" i="9"/>
  <c r="E589" i="9"/>
  <c r="M574" i="9"/>
  <c r="G600" i="9"/>
  <c r="M596" i="9"/>
  <c r="F397" i="9"/>
  <c r="E398" i="9"/>
  <c r="L419" i="9"/>
  <c r="G469" i="9"/>
  <c r="E400" i="9"/>
  <c r="L551" i="9"/>
  <c r="C489" i="9"/>
  <c r="C334" i="9"/>
  <c r="H444" i="9"/>
  <c r="K546" i="9"/>
  <c r="H598" i="9"/>
  <c r="C579" i="9"/>
  <c r="I572" i="9"/>
  <c r="F571" i="9"/>
  <c r="J588" i="9"/>
  <c r="B588" i="9"/>
  <c r="B397" i="9"/>
  <c r="F460" i="9"/>
  <c r="A398" i="9"/>
  <c r="F464" i="9"/>
  <c r="A399" i="9"/>
  <c r="F531" i="9"/>
  <c r="I468" i="9"/>
  <c r="M332" i="9"/>
  <c r="F439" i="9"/>
  <c r="C526" i="9"/>
  <c r="B541" i="9"/>
  <c r="E528" i="9"/>
  <c r="I565" i="9"/>
  <c r="B564" i="9"/>
  <c r="F564" i="9"/>
  <c r="L562" i="9"/>
  <c r="M557" i="9"/>
  <c r="F556" i="9"/>
  <c r="K570" i="9"/>
  <c r="C545" i="9"/>
  <c r="A540" i="9"/>
  <c r="D477" i="9"/>
  <c r="F508" i="9"/>
  <c r="M501" i="9"/>
  <c r="J500" i="9"/>
  <c r="H500" i="9"/>
  <c r="K594" i="9"/>
  <c r="I590" i="9"/>
  <c r="H494" i="9"/>
  <c r="L529" i="9"/>
  <c r="G494" i="9"/>
  <c r="F496" i="9"/>
  <c r="A434" i="9"/>
  <c r="F517" i="9"/>
  <c r="L492" i="9"/>
  <c r="J494" i="9"/>
  <c r="E432" i="9"/>
  <c r="C516" i="9"/>
  <c r="G492" i="9"/>
  <c r="F494" i="9"/>
  <c r="A432" i="9"/>
  <c r="F453" i="9"/>
  <c r="L520" i="9"/>
  <c r="B607" i="9"/>
  <c r="C602" i="9"/>
  <c r="L559" i="9"/>
  <c r="D434" i="9"/>
  <c r="C472" i="9"/>
  <c r="C435" i="9"/>
  <c r="G487" i="9"/>
  <c r="B436" i="9"/>
  <c r="A503" i="9"/>
  <c r="A437" i="9"/>
  <c r="G430" i="9"/>
  <c r="D370" i="9"/>
  <c r="M287" i="9"/>
  <c r="I364" i="9"/>
  <c r="C430" i="9"/>
  <c r="J581" i="9"/>
  <c r="E575" i="9"/>
  <c r="A574" i="9"/>
  <c r="L510" i="9"/>
  <c r="M432" i="9"/>
  <c r="E457" i="9"/>
  <c r="M433" i="9"/>
  <c r="B467" i="9"/>
  <c r="L434" i="9"/>
  <c r="G482" i="9"/>
  <c r="K435" i="9"/>
  <c r="D429" i="9"/>
  <c r="M368" i="9"/>
  <c r="H286" i="9"/>
  <c r="F363" i="9"/>
  <c r="C660" i="9"/>
  <c r="G641" i="9"/>
  <c r="D657" i="9"/>
  <c r="E635" i="9"/>
  <c r="D640" i="9"/>
  <c r="F649" i="9"/>
  <c r="E615" i="9"/>
  <c r="F602" i="9"/>
  <c r="F599" i="9"/>
  <c r="G476" i="9"/>
  <c r="M474" i="9"/>
  <c r="I474" i="9"/>
  <c r="E514" i="9"/>
  <c r="A470" i="9"/>
  <c r="G468" i="9"/>
  <c r="C468" i="9"/>
  <c r="I510" i="9"/>
  <c r="B509" i="9"/>
  <c r="B532" i="9"/>
  <c r="A571" i="9"/>
  <c r="J501" i="9"/>
  <c r="E495" i="9"/>
  <c r="A494" i="9"/>
  <c r="J498" i="9"/>
  <c r="I506" i="9"/>
  <c r="F514" i="9"/>
  <c r="I403" i="9"/>
  <c r="F493" i="9"/>
  <c r="F501" i="9"/>
  <c r="C509" i="9"/>
  <c r="M400" i="9"/>
  <c r="A566" i="9"/>
  <c r="G510" i="9"/>
  <c r="M508" i="9"/>
  <c r="H508" i="9"/>
  <c r="B513" i="9"/>
  <c r="E449" i="9"/>
  <c r="I447" i="9"/>
  <c r="E447" i="9"/>
  <c r="C436" i="9"/>
  <c r="H450" i="9"/>
  <c r="F452" i="9"/>
  <c r="A380" i="9"/>
  <c r="A431" i="9"/>
  <c r="D449" i="9"/>
  <c r="C451" i="9"/>
  <c r="K378" i="9"/>
  <c r="E565" i="9"/>
  <c r="M489" i="9"/>
  <c r="D488" i="9"/>
  <c r="M487" i="9"/>
  <c r="E492" i="9"/>
  <c r="C492" i="9"/>
  <c r="E496" i="9"/>
  <c r="C496" i="9"/>
  <c r="C500" i="9"/>
  <c r="A500" i="9"/>
  <c r="A504" i="9"/>
  <c r="L477" i="9"/>
  <c r="F415" i="9"/>
  <c r="G321" i="9"/>
  <c r="D398" i="9"/>
  <c r="I476" i="9"/>
  <c r="B461" i="9"/>
  <c r="C420" i="9"/>
  <c r="A422" i="9"/>
  <c r="J273" i="9"/>
  <c r="B414" i="9"/>
  <c r="C491" i="9"/>
  <c r="H489" i="9"/>
  <c r="D489" i="9"/>
  <c r="H565" i="9"/>
  <c r="A442" i="9"/>
  <c r="I449" i="9"/>
  <c r="J282" i="9"/>
  <c r="E512" i="9"/>
  <c r="K436" i="9"/>
  <c r="G444" i="9"/>
  <c r="F281" i="9"/>
  <c r="M503" i="9"/>
  <c r="H467" i="9"/>
  <c r="A466" i="9"/>
  <c r="I465" i="9"/>
  <c r="A400" i="9"/>
  <c r="B472" i="9"/>
  <c r="A401" i="9"/>
  <c r="M475" i="9"/>
  <c r="A402" i="9"/>
  <c r="J479" i="9"/>
  <c r="M402" i="9"/>
  <c r="J595" i="9"/>
  <c r="J555" i="9"/>
  <c r="M614" i="9"/>
  <c r="C609" i="9"/>
  <c r="D629" i="9"/>
  <c r="D610" i="9"/>
  <c r="C520" i="9"/>
  <c r="J599" i="9"/>
  <c r="I569" i="9"/>
  <c r="A544" i="9"/>
  <c r="L573" i="9"/>
  <c r="I554" i="9"/>
  <c r="I604" i="9"/>
  <c r="G598" i="9"/>
  <c r="G588" i="9"/>
  <c r="M586" i="9"/>
  <c r="K556" i="9"/>
  <c r="E550" i="9"/>
  <c r="B549" i="9"/>
  <c r="D483" i="9"/>
  <c r="D531" i="9"/>
  <c r="I524" i="9"/>
  <c r="F523" i="9"/>
  <c r="M644" i="9"/>
  <c r="I561" i="9"/>
  <c r="K548" i="9"/>
  <c r="L570" i="9"/>
  <c r="D569" i="9"/>
  <c r="H569" i="9"/>
  <c r="M567" i="9"/>
  <c r="C563" i="9"/>
  <c r="H561" i="9"/>
  <c r="H535" i="9"/>
  <c r="D529" i="9"/>
  <c r="M527" i="9"/>
  <c r="H464" i="9"/>
  <c r="C550" i="9"/>
  <c r="G524" i="9"/>
  <c r="J521" i="9"/>
  <c r="E607" i="9"/>
  <c r="E598" i="9"/>
  <c r="E655" i="9"/>
  <c r="J587" i="9"/>
  <c r="B490" i="9"/>
  <c r="B464" i="9"/>
  <c r="F462" i="9"/>
  <c r="B462" i="9"/>
  <c r="M525" i="9"/>
  <c r="I402" i="9"/>
  <c r="G404" i="9"/>
  <c r="L399" i="9"/>
  <c r="E532" i="9"/>
  <c r="E401" i="9"/>
  <c r="D403" i="9"/>
  <c r="G398" i="9"/>
  <c r="M657" i="9"/>
  <c r="G585" i="9"/>
  <c r="J517" i="9"/>
  <c r="E511" i="9"/>
  <c r="J535" i="9"/>
  <c r="E520" i="9"/>
  <c r="H518" i="9"/>
  <c r="B458" i="9"/>
  <c r="D518" i="9"/>
  <c r="I457" i="9"/>
  <c r="G594" i="9"/>
  <c r="G559" i="9"/>
  <c r="G461" i="9"/>
  <c r="G465" i="9"/>
  <c r="E399" i="9"/>
  <c r="B469" i="9"/>
  <c r="C473" i="9"/>
  <c r="C456" i="9"/>
  <c r="K395" i="9"/>
  <c r="I313" i="9"/>
  <c r="C390" i="9"/>
  <c r="L455" i="9"/>
  <c r="A572" i="9"/>
  <c r="C517" i="9"/>
  <c r="J510" i="9"/>
  <c r="G509" i="9"/>
  <c r="L458" i="9"/>
  <c r="K606" i="9"/>
  <c r="C460" i="9"/>
  <c r="A460" i="9"/>
  <c r="C464" i="9"/>
  <c r="A464" i="9"/>
  <c r="A468" i="9"/>
  <c r="L454" i="9"/>
  <c r="H394" i="9"/>
  <c r="E312" i="9"/>
  <c r="M388" i="9"/>
  <c r="H608" i="9"/>
  <c r="J593" i="9"/>
  <c r="D504" i="9"/>
  <c r="H502" i="9"/>
  <c r="M502" i="9"/>
  <c r="E501" i="9"/>
  <c r="H496" i="9"/>
  <c r="M494" i="9"/>
  <c r="G521" i="9"/>
  <c r="C497" i="9"/>
  <c r="G495" i="9"/>
  <c r="C495" i="9"/>
  <c r="E577" i="9"/>
  <c r="I490" i="9"/>
  <c r="A489" i="9"/>
  <c r="I488" i="9"/>
  <c r="C559" i="9"/>
  <c r="L552" i="9"/>
  <c r="D537" i="9"/>
  <c r="B600" i="9"/>
  <c r="F474" i="9"/>
  <c r="A474" i="9"/>
  <c r="K475" i="9"/>
  <c r="I612" i="9"/>
  <c r="J472" i="9"/>
  <c r="E472" i="9"/>
  <c r="D474" i="9"/>
  <c r="K602" i="9"/>
  <c r="F472" i="9"/>
  <c r="A472" i="9"/>
  <c r="M473" i="9"/>
  <c r="M582" i="9"/>
  <c r="J530" i="9"/>
  <c r="M518" i="9"/>
  <c r="E517" i="9"/>
  <c r="A517" i="9"/>
  <c r="K412" i="9"/>
  <c r="I537" i="9"/>
  <c r="J413" i="9"/>
  <c r="A553" i="9"/>
  <c r="I414" i="9"/>
  <c r="E568" i="9"/>
  <c r="I415" i="9"/>
  <c r="H415" i="9"/>
  <c r="C410" i="9"/>
  <c r="H349" i="9"/>
  <c r="H267" i="9"/>
  <c r="D415" i="9"/>
  <c r="M587" i="9"/>
  <c r="M513" i="9"/>
  <c r="D512" i="9"/>
  <c r="M511" i="9"/>
  <c r="H411" i="9"/>
  <c r="M616" i="9"/>
  <c r="G412" i="9"/>
  <c r="G532" i="9"/>
  <c r="F413" i="9"/>
  <c r="L547" i="9"/>
  <c r="E414" i="9"/>
  <c r="D414" i="9"/>
  <c r="L408" i="9"/>
  <c r="E348" i="9"/>
  <c r="E266" i="9"/>
  <c r="M413" i="9"/>
  <c r="M654" i="9"/>
  <c r="H632" i="9"/>
  <c r="K549" i="9"/>
  <c r="D548" i="9"/>
  <c r="H548" i="9"/>
  <c r="A547" i="9"/>
  <c r="B542" i="9"/>
  <c r="H540" i="9"/>
  <c r="K539" i="9"/>
  <c r="D478" i="9"/>
  <c r="J476" i="9"/>
  <c r="F476" i="9"/>
  <c r="E533" i="9"/>
  <c r="M471" i="9"/>
  <c r="D470" i="9"/>
  <c r="M469" i="9"/>
  <c r="I580" i="9"/>
  <c r="L577" i="9"/>
  <c r="I556" i="9"/>
  <c r="A567" i="9"/>
  <c r="I560" i="9"/>
  <c r="E559" i="9"/>
  <c r="G493" i="9"/>
  <c r="F498" i="9"/>
  <c r="G506" i="9"/>
  <c r="C488" i="9"/>
  <c r="L486" i="9"/>
  <c r="B493" i="9"/>
  <c r="D501" i="9"/>
  <c r="B483" i="9"/>
  <c r="L481" i="9"/>
  <c r="J508" i="9"/>
  <c r="A448" i="9"/>
  <c r="E446" i="9"/>
  <c r="A446" i="9"/>
  <c r="D566" i="9"/>
  <c r="M559" i="9"/>
  <c r="H558" i="9"/>
  <c r="F495" i="9"/>
  <c r="L435" i="9"/>
  <c r="D508" i="9"/>
  <c r="L445" i="9"/>
  <c r="H445" i="9"/>
  <c r="I430" i="9"/>
  <c r="B503" i="9"/>
  <c r="I444" i="9"/>
  <c r="G454" i="9"/>
  <c r="B488" i="9"/>
  <c r="H427" i="9"/>
  <c r="A426" i="9"/>
  <c r="I425" i="9"/>
  <c r="M446" i="9"/>
  <c r="B494" i="9"/>
  <c r="M447" i="9"/>
  <c r="B498" i="9"/>
  <c r="M448" i="9"/>
  <c r="K501" i="9"/>
  <c r="M449" i="9"/>
  <c r="F443" i="9"/>
  <c r="M382" i="9"/>
  <c r="K300" i="9"/>
  <c r="G377" i="9"/>
  <c r="B443" i="9"/>
  <c r="J460" i="9"/>
  <c r="L581" i="9"/>
  <c r="M421" i="9"/>
  <c r="I421" i="9"/>
  <c r="H382" i="9"/>
  <c r="K428" i="9"/>
  <c r="D427" i="9"/>
  <c r="M426" i="9"/>
  <c r="G560" i="9"/>
  <c r="M429" i="9"/>
  <c r="M431" i="9"/>
  <c r="G359" i="9"/>
  <c r="A511" i="9"/>
  <c r="J428" i="9"/>
  <c r="H430" i="9"/>
  <c r="C358" i="9"/>
  <c r="L530" i="9"/>
  <c r="E469" i="9"/>
  <c r="K467" i="9"/>
  <c r="G467" i="9"/>
  <c r="L471" i="9"/>
  <c r="I471" i="9"/>
  <c r="J475" i="9"/>
  <c r="H475" i="9"/>
  <c r="G479" i="9"/>
  <c r="E479" i="9"/>
  <c r="F483" i="9"/>
  <c r="C459" i="9"/>
  <c r="B399" i="9"/>
  <c r="C316" i="9"/>
  <c r="L392" i="9"/>
  <c r="J458" i="9"/>
  <c r="I460" i="9"/>
  <c r="I399" i="9"/>
  <c r="I401" i="9"/>
  <c r="J449" i="9"/>
  <c r="F398" i="9"/>
  <c r="K468" i="9"/>
  <c r="A660" i="9"/>
  <c r="K590" i="9"/>
  <c r="I525" i="9"/>
  <c r="M600" i="9"/>
  <c r="F631" i="9"/>
  <c r="H593" i="9"/>
  <c r="L503" i="9"/>
  <c r="A478" i="9"/>
  <c r="H618" i="9"/>
  <c r="G569" i="9"/>
  <c r="B563" i="9"/>
  <c r="L543" i="9"/>
  <c r="G537" i="9"/>
  <c r="F566" i="9"/>
  <c r="C546" i="9"/>
  <c r="J539" i="9"/>
  <c r="G538" i="9"/>
  <c r="L540" i="9"/>
  <c r="B522" i="9"/>
  <c r="M519" i="9"/>
  <c r="H519" i="9"/>
  <c r="H647" i="9"/>
  <c r="F613" i="9"/>
  <c r="F509" i="9"/>
  <c r="K507" i="9"/>
  <c r="B508" i="9"/>
  <c r="H506" i="9"/>
  <c r="I501" i="9"/>
  <c r="B500" i="9"/>
  <c r="A542" i="9"/>
  <c r="C502" i="9"/>
  <c r="I500" i="9"/>
  <c r="E500" i="9"/>
  <c r="G614" i="9"/>
  <c r="L495" i="9"/>
  <c r="C494" i="9"/>
  <c r="L493" i="9"/>
  <c r="A595" i="9"/>
  <c r="H595" i="9"/>
  <c r="L601" i="9"/>
  <c r="L568" i="9"/>
  <c r="F488" i="9"/>
  <c r="I463" i="9"/>
  <c r="A462" i="9"/>
  <c r="I461" i="9"/>
  <c r="J477" i="9"/>
  <c r="F482" i="9"/>
  <c r="H504" i="9"/>
  <c r="F339" i="9"/>
  <c r="I472" i="9"/>
  <c r="C477" i="9"/>
  <c r="L484" i="9"/>
  <c r="C338" i="9"/>
  <c r="A623" i="9"/>
  <c r="M583" i="9"/>
  <c r="A457" i="9"/>
  <c r="I450" i="9"/>
  <c r="B534" i="9"/>
  <c r="M522" i="9"/>
  <c r="I616" i="9"/>
  <c r="H637" i="9"/>
  <c r="J611" i="9"/>
  <c r="M572" i="9"/>
  <c r="D625" i="9"/>
  <c r="A592" i="9"/>
  <c r="J461" i="9"/>
  <c r="J465" i="9"/>
  <c r="D469" i="9"/>
  <c r="M470" i="9"/>
  <c r="D442" i="9"/>
  <c r="J435" i="9"/>
  <c r="D375" i="9"/>
  <c r="A293" i="9"/>
  <c r="L369" i="9"/>
  <c r="F435" i="9"/>
  <c r="F582" i="9"/>
  <c r="B576" i="9"/>
  <c r="J574" i="9"/>
  <c r="A509" i="9"/>
  <c r="M437" i="9"/>
  <c r="L569" i="9"/>
  <c r="M438" i="9"/>
  <c r="M461" i="9"/>
  <c r="M439" i="9"/>
  <c r="M465" i="9"/>
  <c r="M440" i="9"/>
  <c r="G434" i="9"/>
  <c r="M373" i="9"/>
  <c r="K291" i="9"/>
  <c r="G368" i="9"/>
  <c r="J656" i="9"/>
  <c r="I534" i="9"/>
  <c r="F570" i="9"/>
  <c r="J568" i="9"/>
  <c r="B569" i="9"/>
  <c r="F567" i="9"/>
  <c r="J562" i="9"/>
  <c r="B561" i="9"/>
  <c r="B654" i="9"/>
  <c r="A499" i="9"/>
  <c r="F497" i="9"/>
  <c r="B497" i="9"/>
  <c r="I575" i="9"/>
  <c r="F492" i="9"/>
  <c r="L490" i="9"/>
  <c r="H490" i="9"/>
  <c r="C611" i="9"/>
  <c r="F608" i="9"/>
  <c r="D577" i="9"/>
  <c r="E587" i="9"/>
  <c r="M576" i="9"/>
  <c r="B584" i="9"/>
  <c r="H523" i="9"/>
  <c r="C581" i="9"/>
  <c r="G570" i="9"/>
  <c r="M577" i="9"/>
  <c r="M515" i="9"/>
  <c r="M579" i="9"/>
  <c r="C569" i="9"/>
  <c r="H576" i="9"/>
  <c r="J514" i="9"/>
  <c r="D514" i="9"/>
  <c r="B529" i="9"/>
  <c r="B521" i="9"/>
  <c r="C519" i="9"/>
  <c r="L518" i="9"/>
  <c r="G527" i="9"/>
  <c r="L526" i="9"/>
  <c r="L542" i="9"/>
  <c r="C542" i="9"/>
  <c r="C558" i="9"/>
  <c r="H557" i="9"/>
  <c r="H573" i="9"/>
  <c r="L508" i="9"/>
  <c r="B446" i="9"/>
  <c r="C329" i="9"/>
  <c r="B424" i="9"/>
  <c r="H507" i="9"/>
  <c r="F586" i="9"/>
  <c r="J515" i="9"/>
  <c r="C514" i="9"/>
  <c r="L513" i="9"/>
  <c r="B518" i="9"/>
  <c r="M517" i="9"/>
  <c r="L522" i="9"/>
  <c r="H522" i="9"/>
  <c r="L537" i="9"/>
  <c r="C537" i="9"/>
  <c r="C553" i="9"/>
  <c r="I503" i="9"/>
  <c r="B441" i="9"/>
  <c r="L327" i="9"/>
  <c r="A419" i="9"/>
  <c r="E502" i="9"/>
  <c r="K651" i="9"/>
  <c r="D652" i="9"/>
  <c r="A546" i="9"/>
  <c r="E544" i="9"/>
  <c r="I544" i="9"/>
  <c r="A543" i="9"/>
  <c r="E538" i="9"/>
  <c r="I536" i="9"/>
  <c r="A620" i="9"/>
  <c r="G607" i="9"/>
  <c r="A605" i="9"/>
  <c r="I542" i="9"/>
  <c r="F579" i="9"/>
  <c r="J569" i="9"/>
  <c r="F568" i="9"/>
  <c r="D609" i="9"/>
  <c r="K572" i="9"/>
  <c r="D571" i="9"/>
  <c r="A510" i="9"/>
  <c r="E556" i="9"/>
  <c r="L549" i="9"/>
  <c r="I548" i="9"/>
  <c r="A525" i="9"/>
  <c r="I502" i="9"/>
  <c r="F510" i="9"/>
  <c r="J425" i="9"/>
  <c r="J585" i="9"/>
  <c r="I497" i="9"/>
  <c r="E505" i="9"/>
  <c r="H420" i="9"/>
  <c r="C434" i="9"/>
  <c r="D561" i="9"/>
  <c r="L554" i="9"/>
  <c r="H553" i="9"/>
  <c r="D490" i="9"/>
  <c r="M509" i="9"/>
  <c r="E508" i="9"/>
  <c r="A508" i="9"/>
  <c r="H498" i="9"/>
  <c r="H449" i="9"/>
  <c r="G451" i="9"/>
  <c r="H385" i="9"/>
  <c r="D493" i="9"/>
  <c r="D448" i="9"/>
  <c r="D450" i="9"/>
  <c r="D384" i="9"/>
  <c r="M428" i="9"/>
  <c r="D498" i="9"/>
  <c r="I491" i="9"/>
  <c r="F490" i="9"/>
  <c r="L427" i="9"/>
  <c r="H426" i="9"/>
  <c r="I431" i="9"/>
  <c r="G427" i="9"/>
  <c r="H435" i="9"/>
  <c r="F428" i="9"/>
  <c r="E439" i="9"/>
  <c r="E429" i="9"/>
  <c r="L422" i="9"/>
  <c r="H362" i="9"/>
  <c r="B280" i="9"/>
  <c r="M356" i="9"/>
  <c r="K652" i="9"/>
  <c r="D419" i="9"/>
  <c r="B421" i="9"/>
  <c r="G416" i="9"/>
  <c r="G422" i="9"/>
  <c r="D503" i="9"/>
  <c r="M496" i="9"/>
  <c r="H495" i="9"/>
  <c r="A433" i="9"/>
  <c r="A498" i="9"/>
  <c r="J445" i="9"/>
  <c r="G425" i="9"/>
  <c r="C425" i="9"/>
  <c r="E448" i="9"/>
  <c r="I440" i="9"/>
  <c r="C424" i="9"/>
  <c r="E444" i="9"/>
  <c r="K565" i="9"/>
  <c r="F559" i="9"/>
  <c r="B558" i="9"/>
  <c r="G499" i="9"/>
  <c r="M441" i="9"/>
  <c r="H473" i="9"/>
  <c r="L442" i="9"/>
  <c r="E477" i="9"/>
  <c r="K443" i="9"/>
  <c r="D481" i="9"/>
  <c r="J444" i="9"/>
  <c r="C438" i="9"/>
  <c r="M377" i="9"/>
  <c r="I295" i="9"/>
  <c r="E372" i="9"/>
  <c r="L437" i="9"/>
  <c r="E460" i="9"/>
  <c r="J470" i="9"/>
  <c r="E572" i="9"/>
  <c r="C567" i="9"/>
  <c r="H377" i="9"/>
  <c r="H470" i="9"/>
  <c r="F617" i="9"/>
  <c r="E636" i="9"/>
  <c r="H609" i="9"/>
  <c r="A601" i="9"/>
  <c r="L545" i="9"/>
  <c r="A522" i="9"/>
  <c r="C575" i="9"/>
  <c r="B566" i="9"/>
  <c r="B502" i="9"/>
  <c r="J495" i="9"/>
  <c r="G562" i="9"/>
  <c r="H463" i="9"/>
  <c r="K482" i="9"/>
  <c r="C462" i="9"/>
  <c r="A449" i="9"/>
  <c r="G626" i="9"/>
  <c r="G554" i="9"/>
  <c r="K420" i="9"/>
  <c r="G272" i="9"/>
  <c r="D565" i="9"/>
  <c r="I417" i="9"/>
  <c r="H419" i="9"/>
  <c r="D271" i="9"/>
  <c r="E566" i="9"/>
  <c r="I558" i="9"/>
  <c r="M434" i="9"/>
  <c r="G428" i="9"/>
  <c r="D515" i="9"/>
  <c r="E454" i="9"/>
  <c r="K452" i="9"/>
  <c r="G452" i="9"/>
  <c r="I456" i="9"/>
  <c r="H455" i="9"/>
  <c r="H457" i="9"/>
  <c r="C385" i="9"/>
  <c r="H451" i="9"/>
  <c r="D454" i="9"/>
  <c r="D456" i="9"/>
  <c r="L383" i="9"/>
  <c r="D545" i="9"/>
  <c r="H537" i="9"/>
  <c r="A475" i="9"/>
  <c r="H468" i="9"/>
  <c r="F489" i="9"/>
  <c r="D500" i="9"/>
  <c r="B495" i="9"/>
  <c r="I567" i="9"/>
  <c r="E410" i="9"/>
  <c r="J437" i="9"/>
  <c r="I432" i="9"/>
  <c r="M566" i="9"/>
  <c r="B405" i="9"/>
  <c r="A407" i="9"/>
  <c r="G402" i="9"/>
  <c r="J462" i="9"/>
  <c r="C402" i="9"/>
  <c r="L590" i="9"/>
  <c r="I518" i="9"/>
  <c r="H505" i="9"/>
  <c r="G420" i="9"/>
  <c r="E422" i="9"/>
  <c r="L417" i="9"/>
  <c r="J454" i="9"/>
  <c r="E462" i="9"/>
  <c r="J474" i="9"/>
  <c r="C535" i="9"/>
  <c r="I467" i="9"/>
  <c r="E467" i="9"/>
  <c r="I526" i="9"/>
  <c r="I407" i="9"/>
  <c r="I409" i="9"/>
  <c r="M404" i="9"/>
  <c r="D587" i="9"/>
  <c r="E406" i="9"/>
  <c r="E408" i="9"/>
  <c r="J403" i="9"/>
  <c r="C439" i="9"/>
  <c r="A562" i="9"/>
  <c r="H555" i="9"/>
  <c r="E554" i="9"/>
  <c r="E488" i="9"/>
  <c r="J436" i="9"/>
  <c r="F513" i="9"/>
  <c r="I437" i="9"/>
  <c r="D549" i="9"/>
  <c r="H438" i="9"/>
  <c r="H460" i="9"/>
  <c r="H439" i="9"/>
  <c r="C433" i="9"/>
  <c r="J372" i="9"/>
  <c r="H290" i="9"/>
  <c r="C367" i="9"/>
  <c r="L432" i="9"/>
  <c r="D462" i="9"/>
  <c r="E470" i="9"/>
  <c r="G457" i="9"/>
  <c r="C457" i="9"/>
  <c r="K514" i="9"/>
  <c r="L523" i="9"/>
  <c r="A306" i="9"/>
  <c r="H441" i="9"/>
  <c r="D362" i="9"/>
  <c r="I274" i="9"/>
  <c r="H422" i="9"/>
  <c r="C417" i="9"/>
  <c r="J356" i="9"/>
  <c r="E274" i="9"/>
  <c r="A421" i="9"/>
  <c r="G415" i="9"/>
  <c r="C355" i="9"/>
  <c r="K272" i="9"/>
  <c r="L349" i="9"/>
  <c r="K530" i="9"/>
  <c r="A558" i="9"/>
  <c r="H588" i="9"/>
  <c r="M350" i="9"/>
  <c r="L400" i="9"/>
  <c r="E340" i="9"/>
  <c r="E498" i="9"/>
  <c r="M405" i="9"/>
  <c r="G400" i="9"/>
  <c r="A340" i="9"/>
  <c r="A493" i="9"/>
  <c r="F404" i="9"/>
  <c r="L398" i="9"/>
  <c r="G338" i="9"/>
  <c r="F467" i="9"/>
  <c r="C333" i="9"/>
  <c r="G503" i="9"/>
  <c r="E557" i="9"/>
  <c r="L587" i="9"/>
  <c r="L345" i="9"/>
  <c r="G399" i="9"/>
  <c r="B339" i="9"/>
  <c r="H477" i="9"/>
  <c r="J404" i="9"/>
  <c r="C399" i="9"/>
  <c r="K338" i="9"/>
  <c r="G472" i="9"/>
  <c r="F615" i="9"/>
  <c r="D576" i="9"/>
  <c r="C337" i="9"/>
  <c r="B456" i="9"/>
  <c r="M331" i="9"/>
  <c r="D494" i="9"/>
  <c r="L337" i="9"/>
  <c r="G337" i="9"/>
  <c r="L335" i="9"/>
  <c r="J446" i="9"/>
  <c r="E329" i="9"/>
  <c r="A386" i="9"/>
  <c r="G208" i="9"/>
  <c r="I362" i="9"/>
  <c r="H202" i="9"/>
  <c r="A361" i="9"/>
  <c r="C452" i="9"/>
  <c r="L461" i="9"/>
  <c r="D285" i="9"/>
  <c r="D472" i="9"/>
  <c r="M351" i="9"/>
  <c r="J269" i="9"/>
  <c r="H417" i="9"/>
  <c r="A412" i="9"/>
  <c r="H351" i="9"/>
  <c r="F269" i="9"/>
  <c r="M415" i="9"/>
  <c r="G410" i="9"/>
  <c r="M349" i="9"/>
  <c r="L267" i="9"/>
  <c r="J344" i="9"/>
  <c r="C538" i="9"/>
  <c r="F547" i="9"/>
  <c r="D578" i="9"/>
  <c r="G330" i="9"/>
  <c r="I504" i="9"/>
  <c r="C335" i="9"/>
  <c r="F448" i="9"/>
  <c r="C562" i="9"/>
  <c r="H499" i="9"/>
  <c r="L334" i="9"/>
  <c r="B447" i="9"/>
  <c r="G536" i="9"/>
  <c r="L473" i="9"/>
  <c r="D333" i="9"/>
  <c r="J440" i="9"/>
  <c r="B328" i="9"/>
  <c r="F505" i="9"/>
  <c r="J507" i="9"/>
  <c r="G515" i="9"/>
  <c r="D325" i="9"/>
  <c r="A484" i="9"/>
  <c r="L333" i="9"/>
  <c r="E443" i="9"/>
  <c r="H541" i="9"/>
  <c r="L478" i="9"/>
  <c r="H333" i="9"/>
  <c r="B442" i="9"/>
  <c r="H520" i="9"/>
  <c r="J457" i="9"/>
  <c r="A332" i="9"/>
  <c r="I435" i="9"/>
  <c r="J326" i="9"/>
  <c r="K404" i="9"/>
  <c r="C317" i="9"/>
  <c r="L316" i="9"/>
  <c r="D315" i="9"/>
  <c r="F426" i="9"/>
  <c r="C324" i="9"/>
  <c r="F365" i="9"/>
  <c r="D203" i="9"/>
  <c r="M341" i="9"/>
  <c r="E197" i="9"/>
  <c r="F340" i="9"/>
  <c r="J327" i="9"/>
  <c r="M419" i="9"/>
  <c r="I322" i="9"/>
  <c r="A359" i="9"/>
  <c r="I201" i="9"/>
  <c r="D411" i="9"/>
  <c r="B413" i="9"/>
  <c r="A265" i="9"/>
  <c r="H442" i="9"/>
  <c r="K346" i="9"/>
  <c r="I264" i="9"/>
  <c r="F412" i="9"/>
  <c r="L406" i="9"/>
  <c r="G346" i="9"/>
  <c r="E264" i="9"/>
  <c r="L410" i="9"/>
  <c r="D405" i="9"/>
  <c r="L344" i="9"/>
  <c r="I262" i="9"/>
  <c r="I339" i="9"/>
  <c r="A476" i="9"/>
  <c r="K554" i="9"/>
  <c r="E585" i="9"/>
  <c r="J309" i="9"/>
  <c r="B450" i="9"/>
  <c r="C330" i="9"/>
  <c r="M427" i="9"/>
  <c r="F511" i="9"/>
  <c r="J448" i="9"/>
  <c r="L329" i="9"/>
  <c r="J426" i="9"/>
  <c r="A505" i="9"/>
  <c r="F442" i="9"/>
  <c r="C328" i="9"/>
  <c r="D420" i="9"/>
  <c r="A323" i="9"/>
  <c r="M442" i="9"/>
  <c r="H509" i="9"/>
  <c r="D517" i="9"/>
  <c r="I304" i="9"/>
  <c r="L444" i="9"/>
  <c r="L328" i="9"/>
  <c r="J422" i="9"/>
  <c r="E506" i="9"/>
  <c r="I443" i="9"/>
  <c r="G328" i="9"/>
  <c r="G421" i="9"/>
  <c r="L499" i="9"/>
  <c r="C437" i="9"/>
  <c r="L326" i="9"/>
  <c r="B415" i="9"/>
  <c r="J321" i="9"/>
  <c r="J509" i="9"/>
  <c r="I296" i="9"/>
  <c r="E296" i="9"/>
  <c r="I294" i="9"/>
  <c r="K405" i="9"/>
  <c r="A319" i="9"/>
  <c r="M344" i="9"/>
  <c r="A198" i="9"/>
  <c r="H321" i="9"/>
  <c r="D192" i="9"/>
  <c r="M319" i="9"/>
  <c r="J322" i="9"/>
  <c r="F401" i="9"/>
  <c r="E317" i="9"/>
  <c r="H338" i="9"/>
  <c r="K657" i="9"/>
  <c r="F577" i="9"/>
  <c r="B616" i="9"/>
  <c r="L564" i="9"/>
  <c r="E539" i="9"/>
  <c r="B601" i="9"/>
  <c r="G575" i="9"/>
  <c r="G540" i="9"/>
  <c r="E608" i="9"/>
  <c r="K600" i="9"/>
  <c r="M526" i="9"/>
  <c r="C476" i="9"/>
  <c r="A471" i="9"/>
  <c r="J586" i="9"/>
  <c r="F520" i="9"/>
  <c r="D520" i="9"/>
  <c r="E461" i="9"/>
  <c r="J420" i="9"/>
  <c r="F420" i="9"/>
  <c r="A564" i="9"/>
  <c r="F536" i="9"/>
  <c r="G419" i="9"/>
  <c r="C419" i="9"/>
  <c r="K564" i="9"/>
  <c r="B557" i="9"/>
  <c r="I434" i="9"/>
  <c r="C428" i="9"/>
  <c r="I586" i="9"/>
  <c r="G580" i="9"/>
  <c r="D579" i="9"/>
  <c r="A516" i="9"/>
  <c r="E456" i="9"/>
  <c r="H549" i="9"/>
  <c r="B451" i="9"/>
  <c r="K450" i="9"/>
  <c r="D451" i="9"/>
  <c r="C529" i="9"/>
  <c r="L449" i="9"/>
  <c r="G449" i="9"/>
  <c r="H545" i="9"/>
  <c r="B635" i="9"/>
  <c r="L515" i="9"/>
  <c r="M458" i="9"/>
  <c r="J563" i="9"/>
  <c r="G502" i="9"/>
  <c r="G497" i="9"/>
  <c r="I508" i="9"/>
  <c r="L511" i="9"/>
  <c r="F504" i="9"/>
  <c r="E499" i="9"/>
  <c r="A488" i="9"/>
  <c r="M514" i="9"/>
  <c r="H526" i="9"/>
  <c r="L341" i="9"/>
  <c r="B562" i="9"/>
  <c r="E489" i="9"/>
  <c r="A429" i="9"/>
  <c r="K427" i="9"/>
  <c r="M467" i="9"/>
  <c r="M592" i="9"/>
  <c r="G604" i="9"/>
  <c r="E357" i="9"/>
  <c r="M422" i="9"/>
  <c r="I398" i="9"/>
  <c r="K509" i="9"/>
  <c r="A357" i="9"/>
  <c r="D467" i="9"/>
  <c r="M466" i="9"/>
  <c r="G498" i="9"/>
  <c r="M536" i="9"/>
  <c r="H567" i="9"/>
  <c r="G344" i="9"/>
  <c r="C493" i="9"/>
  <c r="M575" i="9"/>
  <c r="C547" i="9"/>
  <c r="C343" i="9"/>
  <c r="I571" i="9"/>
  <c r="C551" i="9"/>
  <c r="L544" i="9"/>
  <c r="G543" i="9"/>
  <c r="E415" i="9"/>
  <c r="J578" i="9"/>
  <c r="E416" i="9"/>
  <c r="A600" i="9"/>
  <c r="E417" i="9"/>
  <c r="E531" i="9"/>
  <c r="E418" i="9"/>
  <c r="D418" i="9"/>
  <c r="I412" i="9"/>
  <c r="D352" i="9"/>
  <c r="A270" i="9"/>
  <c r="M417" i="9"/>
  <c r="H525" i="9"/>
  <c r="K466" i="9"/>
  <c r="G474" i="9"/>
  <c r="A397" i="9"/>
  <c r="E412" i="9"/>
  <c r="A453" i="9"/>
  <c r="M454" i="9"/>
  <c r="G382" i="9"/>
  <c r="G443" i="9"/>
  <c r="G336" i="9"/>
  <c r="G453" i="9"/>
  <c r="H582" i="9"/>
  <c r="B520" i="9"/>
  <c r="C336" i="9"/>
  <c r="D452" i="9"/>
  <c r="M556" i="9"/>
  <c r="E494" i="9"/>
  <c r="G334" i="9"/>
  <c r="K445" i="9"/>
  <c r="F329" i="9"/>
  <c r="C524" i="9"/>
  <c r="A415" i="9"/>
  <c r="A417" i="9"/>
  <c r="K268" i="9"/>
  <c r="B409" i="9"/>
  <c r="L319" i="9"/>
  <c r="E396" i="9"/>
  <c r="C470" i="9"/>
  <c r="J407" i="9"/>
  <c r="G319" i="9"/>
  <c r="A396" i="9"/>
  <c r="L463" i="9"/>
  <c r="F402" i="9"/>
  <c r="L317" i="9"/>
  <c r="G394" i="9"/>
  <c r="H312" i="9"/>
  <c r="L501" i="9"/>
  <c r="A410" i="9"/>
  <c r="L411" i="9"/>
  <c r="I263" i="9"/>
  <c r="M403" i="9"/>
  <c r="G318" i="9"/>
  <c r="B395" i="9"/>
  <c r="C465" i="9"/>
  <c r="A403" i="9"/>
  <c r="C318" i="9"/>
  <c r="K394" i="9"/>
  <c r="H459" i="9"/>
  <c r="J399" i="9"/>
  <c r="G316" i="9"/>
  <c r="C393" i="9"/>
  <c r="D311" i="9"/>
  <c r="L534" i="9"/>
  <c r="A459" i="9"/>
  <c r="F457" i="9"/>
  <c r="A451" i="9"/>
  <c r="J390" i="9"/>
  <c r="I308" i="9"/>
  <c r="J303" i="9"/>
  <c r="I187" i="9"/>
  <c r="C280" i="9"/>
  <c r="M181" i="9"/>
  <c r="G278" i="9"/>
  <c r="H432" i="9"/>
  <c r="H434" i="9"/>
  <c r="C362" i="9"/>
  <c r="M436" i="9"/>
  <c r="F331" i="9"/>
  <c r="B433" i="9"/>
  <c r="H516" i="9"/>
  <c r="K453" i="9"/>
  <c r="B331" i="9"/>
  <c r="J431" i="9"/>
  <c r="B510" i="9"/>
  <c r="F447" i="9"/>
  <c r="G329" i="9"/>
  <c r="F425" i="9"/>
  <c r="D324" i="9"/>
  <c r="J531" i="9"/>
  <c r="F563" i="9"/>
  <c r="I600" i="9"/>
  <c r="C429" i="9"/>
  <c r="J396" i="9"/>
  <c r="I314" i="9"/>
  <c r="C391" i="9"/>
  <c r="L456" i="9"/>
  <c r="F396" i="9"/>
  <c r="E314" i="9"/>
  <c r="L390" i="9"/>
  <c r="C455" i="9"/>
  <c r="L394" i="9"/>
  <c r="I312" i="9"/>
  <c r="D389" i="9"/>
  <c r="G307" i="9"/>
  <c r="J503" i="9"/>
  <c r="J511" i="9"/>
  <c r="F519" i="9"/>
  <c r="J408" i="9"/>
  <c r="G395" i="9"/>
  <c r="E313" i="9"/>
  <c r="L389" i="9"/>
  <c r="G455" i="9"/>
  <c r="C395" i="9"/>
  <c r="A313" i="9"/>
  <c r="H389" i="9"/>
  <c r="L453" i="9"/>
  <c r="H393" i="9"/>
  <c r="E311" i="9"/>
  <c r="A388" i="9"/>
  <c r="D306" i="9"/>
  <c r="I406" i="9"/>
  <c r="L393" i="9"/>
  <c r="G393" i="9"/>
  <c r="L391" i="9"/>
  <c r="J385" i="9"/>
  <c r="G303" i="9"/>
  <c r="B283" i="9"/>
  <c r="I182" i="9"/>
  <c r="G260" i="9"/>
  <c r="M176" i="9"/>
  <c r="M259" i="9"/>
  <c r="C307" i="9"/>
  <c r="B384" i="9"/>
  <c r="L301" i="9"/>
  <c r="H276" i="9"/>
  <c r="B181" i="9"/>
  <c r="D597" i="9"/>
  <c r="A413" i="9"/>
  <c r="J412" i="9"/>
  <c r="H376" i="9"/>
  <c r="C326" i="9"/>
  <c r="H412" i="9"/>
  <c r="A496" i="9"/>
  <c r="F433" i="9"/>
  <c r="L325" i="9"/>
  <c r="E411" i="9"/>
  <c r="G489" i="9"/>
  <c r="A427" i="9"/>
  <c r="E324" i="9"/>
  <c r="L404" i="9"/>
  <c r="B319" i="9"/>
  <c r="H469" i="9"/>
  <c r="M456" i="9"/>
  <c r="D459" i="9"/>
  <c r="G386" i="9"/>
  <c r="H391" i="9"/>
  <c r="F309" i="9"/>
  <c r="C386" i="9"/>
  <c r="J451" i="9"/>
  <c r="D391" i="9"/>
  <c r="B309" i="9"/>
  <c r="L385" i="9"/>
  <c r="C450" i="9"/>
  <c r="I389" i="9"/>
  <c r="H307" i="9"/>
  <c r="C384" i="9"/>
  <c r="D302" i="9"/>
  <c r="E441" i="9"/>
  <c r="K451" i="9"/>
  <c r="I453" i="9"/>
  <c r="D381" i="9"/>
  <c r="D390" i="9"/>
  <c r="C308" i="9"/>
  <c r="L384" i="9"/>
  <c r="G450" i="9"/>
  <c r="M389" i="9"/>
  <c r="L307" i="9"/>
  <c r="G384" i="9"/>
  <c r="L448" i="9"/>
  <c r="F388" i="9"/>
  <c r="E306" i="9"/>
  <c r="L382" i="9"/>
  <c r="A301" i="9"/>
  <c r="H406" i="9"/>
  <c r="D373" i="9"/>
  <c r="M372" i="9"/>
  <c r="F371" i="9"/>
  <c r="H380" i="9"/>
  <c r="G298" i="9"/>
  <c r="J262" i="9"/>
  <c r="I177" i="9"/>
  <c r="B254" i="9"/>
  <c r="H171" i="9"/>
  <c r="J253" i="9"/>
  <c r="F616" i="9"/>
  <c r="I551" i="9"/>
  <c r="E613" i="9"/>
  <c r="G553" i="9"/>
  <c r="L527" i="9"/>
  <c r="D555" i="9"/>
  <c r="H572" i="9"/>
  <c r="B504" i="9"/>
  <c r="J497" i="9"/>
  <c r="M632" i="9"/>
  <c r="H465" i="9"/>
  <c r="H403" i="9"/>
  <c r="E402" i="9"/>
  <c r="E579" i="9"/>
  <c r="G460" i="9"/>
  <c r="F580" i="9"/>
  <c r="E465" i="9"/>
  <c r="C415" i="9"/>
  <c r="E601" i="9"/>
  <c r="I416" i="9"/>
  <c r="I418" i="9"/>
  <c r="L413" i="9"/>
  <c r="L599" i="9"/>
  <c r="B565" i="9"/>
  <c r="D497" i="9"/>
  <c r="J490" i="9"/>
  <c r="H597" i="9"/>
  <c r="C515" i="9"/>
  <c r="H513" i="9"/>
  <c r="D513" i="9"/>
  <c r="A519" i="9"/>
  <c r="H454" i="9"/>
  <c r="H456" i="9"/>
  <c r="H390" i="9"/>
  <c r="A514" i="9"/>
  <c r="E453" i="9"/>
  <c r="D455" i="9"/>
  <c r="E389" i="9"/>
  <c r="G654" i="9"/>
  <c r="M543" i="9"/>
  <c r="L476" i="9"/>
  <c r="F470" i="9"/>
  <c r="B572" i="9"/>
  <c r="D557" i="9"/>
  <c r="D510" i="9"/>
  <c r="C505" i="9"/>
  <c r="B507" i="9"/>
  <c r="C510" i="9"/>
  <c r="C512" i="9"/>
  <c r="A507" i="9"/>
  <c r="E486" i="9"/>
  <c r="A406" i="9"/>
  <c r="A408" i="9"/>
  <c r="C530" i="9"/>
  <c r="H602" i="9"/>
  <c r="I487" i="9"/>
  <c r="M430" i="9"/>
  <c r="I429" i="9"/>
  <c r="F466" i="9"/>
  <c r="F421" i="9"/>
  <c r="E423" i="9"/>
  <c r="L336" i="9"/>
  <c r="G587" i="9"/>
  <c r="A467" i="9"/>
  <c r="G335" i="9"/>
  <c r="C469" i="9"/>
  <c r="A469" i="9"/>
  <c r="J468" i="9"/>
  <c r="L496" i="9"/>
  <c r="I408" i="9"/>
  <c r="I410" i="9"/>
  <c r="E262" i="9"/>
  <c r="H491" i="9"/>
  <c r="E407" i="9"/>
  <c r="E409" i="9"/>
  <c r="B261" i="9"/>
  <c r="B570" i="9"/>
  <c r="G558" i="9"/>
  <c r="C552" i="9"/>
  <c r="L550" i="9"/>
  <c r="G568" i="9"/>
  <c r="L567" i="9"/>
  <c r="K583" i="9"/>
  <c r="C583" i="9"/>
  <c r="K620" i="9"/>
  <c r="L617" i="9"/>
  <c r="J397" i="9"/>
  <c r="B519" i="9"/>
  <c r="F456" i="9"/>
  <c r="J331" i="9"/>
  <c r="F434" i="9"/>
  <c r="K517" i="9"/>
  <c r="D464" i="9"/>
  <c r="I466" i="9"/>
  <c r="E474" i="9"/>
  <c r="M314" i="9"/>
  <c r="B455" i="9"/>
  <c r="G518" i="9"/>
  <c r="G448" i="9"/>
  <c r="C448" i="9"/>
  <c r="B371" i="9"/>
  <c r="L315" i="9"/>
  <c r="G392" i="9"/>
  <c r="E458" i="9"/>
  <c r="L397" i="9"/>
  <c r="H315" i="9"/>
  <c r="C392" i="9"/>
  <c r="G456" i="9"/>
  <c r="B396" i="9"/>
  <c r="A314" i="9"/>
  <c r="G390" i="9"/>
  <c r="J308" i="9"/>
  <c r="C523" i="9"/>
  <c r="F573" i="9"/>
  <c r="M416" i="9"/>
  <c r="H416" i="9"/>
  <c r="E381" i="9"/>
  <c r="D299" i="9"/>
  <c r="L375" i="9"/>
  <c r="G441" i="9"/>
  <c r="A381" i="9"/>
  <c r="M298" i="9"/>
  <c r="G375" i="9"/>
  <c r="L439" i="9"/>
  <c r="G379" i="9"/>
  <c r="E297" i="9"/>
  <c r="L373" i="9"/>
  <c r="A292" i="9"/>
  <c r="H501" i="9"/>
  <c r="J572" i="9"/>
  <c r="K411" i="9"/>
  <c r="G411" i="9"/>
  <c r="B380" i="9"/>
  <c r="A298" i="9"/>
  <c r="G374" i="9"/>
  <c r="C440" i="9"/>
  <c r="K379" i="9"/>
  <c r="I297" i="9"/>
  <c r="C374" i="9"/>
  <c r="G438" i="9"/>
  <c r="D378" i="9"/>
  <c r="A296" i="9"/>
  <c r="I372" i="9"/>
  <c r="K290" i="9"/>
  <c r="I340" i="9"/>
  <c r="G403" i="9"/>
  <c r="H577" i="9"/>
  <c r="J330" i="9"/>
  <c r="F370" i="9"/>
  <c r="B288" i="9"/>
  <c r="J249" i="9"/>
  <c r="D167" i="9"/>
  <c r="L243" i="9"/>
  <c r="I161" i="9"/>
  <c r="G243" i="9"/>
  <c r="A456" i="9"/>
  <c r="A428" i="9"/>
  <c r="J427" i="9"/>
  <c r="I436" i="9"/>
  <c r="I310" i="9"/>
  <c r="F387" i="9"/>
  <c r="M452" i="9"/>
  <c r="H392" i="9"/>
  <c r="E310" i="9"/>
  <c r="B387" i="9"/>
  <c r="F451" i="9"/>
  <c r="M390" i="9"/>
  <c r="K308" i="9"/>
  <c r="G385" i="9"/>
  <c r="H303" i="9"/>
  <c r="G530" i="9"/>
  <c r="K562" i="9"/>
  <c r="B514" i="9"/>
  <c r="J512" i="9"/>
  <c r="D376" i="9"/>
  <c r="A294" i="9"/>
  <c r="K370" i="9"/>
  <c r="E436" i="9"/>
  <c r="M375" i="9"/>
  <c r="I293" i="9"/>
  <c r="G370" i="9"/>
  <c r="K434" i="9"/>
  <c r="D374" i="9"/>
  <c r="B292" i="9"/>
  <c r="L368" i="9"/>
  <c r="L286" i="9"/>
  <c r="F503" i="9"/>
  <c r="H511" i="9"/>
  <c r="E493" i="9"/>
  <c r="A492" i="9"/>
  <c r="M374" i="9"/>
  <c r="J292" i="9"/>
  <c r="G369" i="9"/>
  <c r="B435" i="9"/>
  <c r="H374" i="9"/>
  <c r="F292" i="9"/>
  <c r="C369" i="9"/>
  <c r="G433" i="9"/>
  <c r="A373" i="9"/>
  <c r="L290" i="9"/>
  <c r="G367" i="9"/>
  <c r="G285" i="9"/>
  <c r="E503" i="9"/>
  <c r="M459" i="9"/>
  <c r="M457" i="9"/>
  <c r="M309" i="9"/>
  <c r="C365" i="9"/>
  <c r="L282" i="9"/>
  <c r="H244" i="9"/>
  <c r="E162" i="9"/>
  <c r="I238" i="9"/>
  <c r="J156" i="9"/>
  <c r="D238" i="9"/>
  <c r="G286" i="9"/>
  <c r="I363" i="9"/>
  <c r="D281" i="9"/>
  <c r="A243" i="9"/>
  <c r="K160" i="9"/>
  <c r="C412" i="9"/>
  <c r="G407" i="9"/>
  <c r="F545" i="9"/>
  <c r="C407" i="9"/>
  <c r="I305" i="9"/>
  <c r="C382" i="9"/>
  <c r="L447" i="9"/>
  <c r="G387" i="9"/>
  <c r="E305" i="9"/>
  <c r="L381" i="9"/>
  <c r="C446" i="9"/>
  <c r="M385" i="9"/>
  <c r="I303" i="9"/>
  <c r="E380" i="9"/>
  <c r="H298" i="9"/>
  <c r="E468" i="9"/>
  <c r="C570" i="9"/>
  <c r="E452" i="9"/>
  <c r="A452" i="9"/>
  <c r="C371" i="9"/>
  <c r="M288" i="9"/>
  <c r="H365" i="9"/>
  <c r="C431" i="9"/>
  <c r="L370" i="9"/>
  <c r="H288" i="9"/>
  <c r="D365" i="9"/>
  <c r="H429" i="9"/>
  <c r="D369" i="9"/>
  <c r="M286" i="9"/>
  <c r="J363" i="9"/>
  <c r="I281" i="9"/>
  <c r="A441" i="9"/>
  <c r="G513" i="9"/>
  <c r="C447" i="9"/>
  <c r="L446" i="9"/>
  <c r="M369" i="9"/>
  <c r="H287" i="9"/>
  <c r="L591" i="9"/>
  <c r="F522" i="9"/>
  <c r="B496" i="9"/>
  <c r="C404" i="9"/>
  <c r="D572" i="9"/>
  <c r="J551" i="9"/>
  <c r="G436" i="9"/>
  <c r="F515" i="9"/>
  <c r="M564" i="9"/>
  <c r="G544" i="9"/>
  <c r="E475" i="9"/>
  <c r="A324" i="9"/>
  <c r="E303" i="9"/>
  <c r="M407" i="9"/>
  <c r="A365" i="9"/>
  <c r="D423" i="9"/>
  <c r="G417" i="9"/>
  <c r="G496" i="9"/>
  <c r="D491" i="9"/>
  <c r="G551" i="9"/>
  <c r="D457" i="9"/>
  <c r="I459" i="9"/>
  <c r="D393" i="9"/>
  <c r="H462" i="9"/>
  <c r="B452" i="9"/>
  <c r="M392" i="9"/>
  <c r="D377" i="9"/>
  <c r="H375" i="9"/>
  <c r="A414" i="9"/>
  <c r="M360" i="9"/>
  <c r="H360" i="9"/>
  <c r="M358" i="9"/>
  <c r="A409" i="9"/>
  <c r="H359" i="9"/>
  <c r="D359" i="9"/>
  <c r="I357" i="9"/>
  <c r="C398" i="9"/>
  <c r="J349" i="9"/>
  <c r="C223" i="9"/>
  <c r="H367" i="9"/>
  <c r="L366" i="9"/>
  <c r="G366" i="9"/>
  <c r="M364" i="9"/>
  <c r="E451" i="9"/>
  <c r="E421" i="9"/>
  <c r="K419" i="9"/>
  <c r="H348" i="9"/>
  <c r="J430" i="9"/>
  <c r="B420" i="9"/>
  <c r="H418" i="9"/>
  <c r="E347" i="9"/>
  <c r="G397" i="9"/>
  <c r="M223" i="9"/>
  <c r="D348" i="9"/>
  <c r="D222" i="9"/>
  <c r="H440" i="9"/>
  <c r="F427" i="9"/>
  <c r="L425" i="9"/>
  <c r="B531" i="9"/>
  <c r="B411" i="9"/>
  <c r="K410" i="9"/>
  <c r="C409" i="9"/>
  <c r="H503" i="9"/>
  <c r="L409" i="9"/>
  <c r="M414" i="9"/>
  <c r="M348" i="9"/>
  <c r="E413" i="9"/>
  <c r="F347" i="9"/>
  <c r="B342" i="9"/>
  <c r="L378" i="9"/>
  <c r="M376" i="9"/>
  <c r="H339" i="9"/>
  <c r="K218" i="9"/>
  <c r="L212" i="9"/>
  <c r="B343" i="9"/>
  <c r="A379" i="9"/>
  <c r="A276" i="9"/>
  <c r="C217" i="9"/>
  <c r="C397" i="9"/>
  <c r="L516" i="9"/>
  <c r="I532" i="9"/>
  <c r="K413" i="9"/>
  <c r="B476" i="9"/>
  <c r="H341" i="9"/>
  <c r="J518" i="9"/>
  <c r="D407" i="9"/>
  <c r="L401" i="9"/>
  <c r="D341" i="9"/>
  <c r="J513" i="9"/>
  <c r="I405" i="9"/>
  <c r="C400" i="9"/>
  <c r="J339" i="9"/>
  <c r="L487" i="9"/>
  <c r="F334" i="9"/>
  <c r="A535" i="9"/>
  <c r="I492" i="9"/>
  <c r="L528" i="9"/>
  <c r="D289" i="9"/>
  <c r="G429" i="9"/>
  <c r="M324" i="9"/>
  <c r="F407" i="9"/>
  <c r="K490" i="9"/>
  <c r="D428" i="9"/>
  <c r="I324" i="9"/>
  <c r="B406" i="9"/>
  <c r="E484" i="9"/>
  <c r="K421" i="9"/>
  <c r="B323" i="9"/>
  <c r="H401" i="9"/>
  <c r="J317" i="9"/>
  <c r="D534" i="9"/>
  <c r="A447" i="9"/>
  <c r="I454" i="9"/>
  <c r="M283" i="9"/>
  <c r="F424" i="9"/>
  <c r="J323" i="9"/>
  <c r="L402" i="9"/>
  <c r="H485" i="9"/>
  <c r="B423" i="9"/>
  <c r="F323" i="9"/>
  <c r="D402" i="9"/>
  <c r="C479" i="9"/>
  <c r="J416" i="9"/>
  <c r="L321" i="9"/>
  <c r="M398" i="9"/>
  <c r="F316" i="9"/>
  <c r="J405" i="9"/>
  <c r="L275" i="9"/>
  <c r="H275" i="9"/>
  <c r="A274" i="9"/>
  <c r="M395" i="9"/>
  <c r="L313" i="9"/>
  <c r="F324" i="9"/>
  <c r="A193" i="9"/>
  <c r="L300" i="9"/>
  <c r="M186" i="9"/>
  <c r="E299" i="9"/>
  <c r="F317" i="9"/>
  <c r="F394" i="9"/>
  <c r="C312" i="9"/>
  <c r="M317" i="9"/>
  <c r="E191" i="9"/>
  <c r="F294" i="9"/>
  <c r="C348" i="9"/>
  <c r="K273" i="9"/>
  <c r="M169" i="9"/>
  <c r="B252" i="9"/>
  <c r="C299" i="9"/>
  <c r="B376" i="9"/>
  <c r="L293" i="9"/>
  <c r="G255" i="9"/>
  <c r="A173" i="9"/>
  <c r="I249" i="9"/>
  <c r="C167" i="9"/>
  <c r="D249" i="9"/>
  <c r="H297" i="9"/>
  <c r="F374" i="9"/>
  <c r="D292" i="9"/>
  <c r="F410" i="9"/>
  <c r="L418" i="9"/>
  <c r="D417" i="9"/>
  <c r="B346" i="9"/>
  <c r="B374" i="9"/>
  <c r="M291" i="9"/>
  <c r="H253" i="9"/>
  <c r="A171" i="9"/>
  <c r="I247" i="9"/>
  <c r="E165" i="9"/>
  <c r="D247" i="9"/>
  <c r="H295" i="9"/>
  <c r="H372" i="9"/>
  <c r="F290" i="9"/>
  <c r="M251" i="9"/>
  <c r="F169" i="9"/>
  <c r="A246" i="9"/>
  <c r="K163" i="9"/>
  <c r="I245" i="9"/>
  <c r="I292" i="9"/>
  <c r="J369" i="9"/>
  <c r="F287" i="9"/>
  <c r="B249" i="9"/>
  <c r="I166" i="9"/>
  <c r="D243" i="9"/>
  <c r="A161" i="9"/>
  <c r="L242" i="9"/>
  <c r="B291" i="9"/>
  <c r="B368" i="9"/>
  <c r="J285" i="9"/>
  <c r="F247" i="9"/>
  <c r="H448" i="9"/>
  <c r="G383" i="9"/>
  <c r="C383" i="9"/>
  <c r="H381" i="9"/>
  <c r="B383" i="9"/>
  <c r="M300" i="9"/>
  <c r="L272" i="9"/>
  <c r="C180" i="9"/>
  <c r="B257" i="9"/>
  <c r="D174" i="9"/>
  <c r="H256" i="9"/>
  <c r="H304" i="9"/>
  <c r="I327" i="9"/>
  <c r="F258" i="9"/>
  <c r="A165" i="9"/>
  <c r="M246" i="9"/>
  <c r="M293" i="9"/>
  <c r="A371" i="9"/>
  <c r="J288" i="9"/>
  <c r="F250" i="9"/>
  <c r="L167" i="9"/>
  <c r="G244" i="9"/>
  <c r="D162" i="9"/>
  <c r="B244" i="9"/>
  <c r="E292" i="9"/>
  <c r="F369" i="9"/>
  <c r="B287" i="9"/>
  <c r="C320" i="9"/>
  <c r="E522" i="9"/>
  <c r="E515" i="9"/>
  <c r="G325" i="9"/>
  <c r="B369" i="9"/>
  <c r="J286" i="9"/>
  <c r="F248" i="9"/>
  <c r="A166" i="9"/>
  <c r="I242" i="9"/>
  <c r="F160" i="9"/>
  <c r="D242" i="9"/>
  <c r="G290" i="9"/>
  <c r="F367" i="9"/>
  <c r="B285" i="9"/>
  <c r="J246" i="9"/>
  <c r="G164" i="9"/>
  <c r="A241" i="9"/>
  <c r="L158" i="9"/>
  <c r="H240" i="9"/>
  <c r="G287" i="9"/>
  <c r="H364" i="9"/>
  <c r="D282" i="9"/>
  <c r="M243" i="9"/>
  <c r="J161" i="9"/>
  <c r="A238" i="9"/>
  <c r="B156" i="9"/>
  <c r="H237" i="9"/>
  <c r="L285" i="9"/>
  <c r="A363" i="9"/>
  <c r="H280" i="9"/>
  <c r="F242" i="9"/>
  <c r="C442" i="9"/>
  <c r="B363" i="9"/>
  <c r="K362" i="9"/>
  <c r="C361" i="9"/>
  <c r="B378" i="9"/>
  <c r="L295" i="9"/>
  <c r="B258" i="9"/>
  <c r="A175" i="9"/>
  <c r="H251" i="9"/>
  <c r="A169" i="9"/>
  <c r="C251" i="9"/>
  <c r="G299" i="9"/>
  <c r="F376" i="9"/>
  <c r="C294" i="9"/>
  <c r="M255" i="9"/>
  <c r="E173" i="9"/>
  <c r="A250" i="9"/>
  <c r="D312" i="9"/>
  <c r="A186" i="9"/>
  <c r="M200" i="9"/>
  <c r="I354" i="9"/>
  <c r="B330" i="9"/>
  <c r="L428" i="9"/>
  <c r="K324" i="9"/>
  <c r="A368" i="9"/>
  <c r="L203" i="9"/>
  <c r="H344" i="9"/>
  <c r="M197" i="9"/>
  <c r="M342" i="9"/>
  <c r="F328" i="9"/>
  <c r="F422" i="9"/>
  <c r="D323" i="9"/>
  <c r="B491" i="9"/>
  <c r="A312" i="9"/>
  <c r="I311" i="9"/>
  <c r="A310" i="9"/>
  <c r="C421" i="9"/>
  <c r="M322" i="9"/>
  <c r="E360" i="9"/>
  <c r="A202" i="9"/>
  <c r="M336" i="9"/>
  <c r="B196" i="9"/>
  <c r="D335" i="9"/>
  <c r="F326" i="9"/>
  <c r="J414" i="9"/>
  <c r="E321" i="9"/>
  <c r="A354" i="9"/>
  <c r="E200" i="9"/>
  <c r="H330" i="9"/>
  <c r="H194" i="9"/>
  <c r="M328" i="9"/>
  <c r="I323" i="9"/>
  <c r="E403" i="9"/>
  <c r="E318" i="9"/>
  <c r="D342" i="9"/>
  <c r="F197" i="9"/>
  <c r="M318" i="9"/>
  <c r="H191" i="9"/>
  <c r="D317" i="9"/>
  <c r="B322" i="9"/>
  <c r="B400" i="9"/>
  <c r="I316" i="9"/>
  <c r="M335" i="9"/>
  <c r="I445" i="9"/>
  <c r="A348" i="9"/>
  <c r="J347" i="9"/>
  <c r="C346" i="9"/>
  <c r="B457" i="9"/>
  <c r="L331" i="9"/>
  <c r="C396" i="9"/>
  <c r="B211" i="9"/>
  <c r="K372" i="9"/>
  <c r="B205" i="9"/>
  <c r="D371" i="9"/>
  <c r="F335" i="9"/>
  <c r="J450" i="9"/>
  <c r="J291" i="9"/>
  <c r="J165" i="9"/>
  <c r="K195" i="9"/>
  <c r="M333" i="9"/>
  <c r="L324" i="9"/>
  <c r="F408" i="9"/>
  <c r="I319" i="9"/>
  <c r="G347" i="9"/>
  <c r="I198" i="9"/>
  <c r="B324" i="9"/>
  <c r="M192" i="9"/>
  <c r="H322" i="9"/>
  <c r="E323" i="9"/>
  <c r="J402" i="9"/>
  <c r="A318" i="9"/>
  <c r="M490" i="9"/>
  <c r="G291" i="9"/>
  <c r="C291" i="9"/>
  <c r="H289" i="9"/>
  <c r="B402" i="9"/>
  <c r="I317" i="9"/>
  <c r="K339" i="9"/>
  <c r="K196" i="9"/>
  <c r="D316" i="9"/>
  <c r="M190" i="9"/>
  <c r="J314" i="9"/>
  <c r="F321" i="9"/>
  <c r="J398" i="9"/>
  <c r="A316" i="9"/>
  <c r="E333" i="9"/>
  <c r="D195" i="9"/>
  <c r="K309" i="9"/>
  <c r="D189" i="9"/>
  <c r="D308" i="9"/>
  <c r="F318" i="9"/>
  <c r="E395" i="9"/>
  <c r="C313" i="9"/>
  <c r="M321" i="9"/>
  <c r="E192" i="9"/>
  <c r="F298" i="9"/>
  <c r="D186" i="9"/>
  <c r="J296" i="9"/>
  <c r="J316" i="9"/>
  <c r="J393" i="9"/>
  <c r="G311" i="9"/>
  <c r="E315" i="9"/>
  <c r="M488" i="9"/>
  <c r="G327" i="9"/>
  <c r="C327" i="9"/>
  <c r="H325" i="9"/>
  <c r="H436" i="9"/>
  <c r="I326" i="9"/>
  <c r="I375" i="9"/>
  <c r="L205" i="9"/>
  <c r="E352" i="9"/>
  <c r="M199" i="9"/>
  <c r="I350" i="9"/>
  <c r="F330" i="9"/>
  <c r="B430" i="9"/>
  <c r="B325" i="9"/>
  <c r="E369" i="9"/>
  <c r="C204" i="9"/>
  <c r="M345" i="9"/>
  <c r="D198" i="9"/>
  <c r="G340" i="9"/>
  <c r="J219" i="9"/>
  <c r="K213" i="9"/>
  <c r="B303" i="9"/>
  <c r="B317" i="9"/>
  <c r="B394" i="9"/>
  <c r="L311" i="9"/>
  <c r="H316" i="9"/>
  <c r="A191" i="9"/>
  <c r="F481" i="9"/>
  <c r="M383" i="9"/>
  <c r="H383" i="9"/>
  <c r="M381" i="9"/>
  <c r="M263" i="9"/>
  <c r="K340" i="9"/>
  <c r="K258" i="9"/>
  <c r="A220" i="9"/>
  <c r="E250" i="9"/>
  <c r="B375" i="9"/>
  <c r="I248" i="9"/>
  <c r="D372" i="9"/>
  <c r="H272" i="9"/>
  <c r="A271" i="9"/>
  <c r="E387" i="9"/>
  <c r="I361" i="9"/>
  <c r="F185" i="9"/>
  <c r="E271" i="9"/>
  <c r="K179" i="9"/>
  <c r="K269" i="9"/>
  <c r="K178" i="9"/>
  <c r="I151" i="9"/>
  <c r="E62" i="9"/>
  <c r="B150" i="9"/>
  <c r="M61" i="9"/>
  <c r="J154" i="9"/>
  <c r="B63" i="9"/>
  <c r="C30" i="9"/>
  <c r="G178" i="9"/>
  <c r="F150" i="9"/>
  <c r="A62" i="9"/>
  <c r="L148" i="9"/>
  <c r="I61" i="9"/>
  <c r="G153" i="9"/>
  <c r="K62" i="9"/>
  <c r="M28" i="9"/>
  <c r="L176" i="9"/>
  <c r="D144" i="9"/>
  <c r="G60" i="9"/>
  <c r="J142" i="9"/>
  <c r="G224" i="9"/>
  <c r="F349" i="9"/>
  <c r="L222" i="9"/>
  <c r="I346" i="9"/>
  <c r="M250" i="9"/>
  <c r="H250" i="9"/>
  <c r="J375" i="9"/>
  <c r="I325" i="9"/>
  <c r="D179" i="9"/>
  <c r="J255" i="9"/>
  <c r="D173" i="9"/>
  <c r="E255" i="9"/>
  <c r="C172" i="9"/>
  <c r="M134" i="9"/>
  <c r="C56" i="9"/>
  <c r="H134" i="9"/>
  <c r="K55" i="9"/>
  <c r="M135" i="9"/>
  <c r="M56" i="9"/>
  <c r="A15" i="9"/>
  <c r="L171" i="9"/>
  <c r="I134" i="9"/>
  <c r="L55" i="9"/>
  <c r="D134" i="9"/>
  <c r="G55" i="9"/>
  <c r="H135" i="9"/>
  <c r="I56" i="9"/>
  <c r="I14" i="9"/>
  <c r="C170" i="9"/>
  <c r="B133" i="9"/>
  <c r="E54" i="9"/>
  <c r="J132" i="9"/>
  <c r="H198" i="9"/>
  <c r="L323" i="9"/>
  <c r="A197" i="9"/>
  <c r="A321" i="9"/>
  <c r="I236" i="9"/>
  <c r="D236" i="9"/>
  <c r="J361" i="9"/>
  <c r="I289" i="9"/>
  <c r="I172" i="9"/>
  <c r="E249" i="9"/>
  <c r="L166" i="9"/>
  <c r="M248" i="9"/>
  <c r="L165" i="9"/>
  <c r="K128" i="9"/>
  <c r="A50" i="9"/>
  <c r="F128" i="9"/>
  <c r="H49" i="9"/>
  <c r="H129" i="9"/>
  <c r="K50" i="9"/>
  <c r="K8" i="9"/>
  <c r="H165" i="9"/>
  <c r="G128" i="9"/>
  <c r="I49" i="9"/>
  <c r="B128" i="9"/>
  <c r="D49" i="9"/>
  <c r="D129" i="9"/>
  <c r="G50" i="9"/>
  <c r="G8" i="9"/>
  <c r="A164" i="9"/>
  <c r="M126" i="9"/>
  <c r="A48" i="9"/>
  <c r="H126" i="9"/>
  <c r="J410" i="9"/>
  <c r="B448" i="9"/>
  <c r="D191" i="9"/>
  <c r="F73" i="9"/>
  <c r="C74" i="9"/>
  <c r="B73" i="9"/>
  <c r="L73" i="9"/>
  <c r="H71" i="9"/>
  <c r="B41" i="9"/>
  <c r="H121" i="9"/>
  <c r="D42" i="9"/>
  <c r="A624" i="9"/>
  <c r="C578" i="9"/>
  <c r="K587" i="9"/>
  <c r="E455" i="9"/>
  <c r="L354" i="9"/>
  <c r="H353" i="9"/>
  <c r="A430" i="9"/>
  <c r="B515" i="9"/>
  <c r="G308" i="9"/>
  <c r="D307" i="9"/>
  <c r="L468" i="9"/>
  <c r="K322" i="9"/>
  <c r="A302" i="9"/>
  <c r="H407" i="9"/>
  <c r="K363" i="9"/>
  <c r="M274" i="9"/>
  <c r="H564" i="9"/>
  <c r="D552" i="9"/>
  <c r="K531" i="9"/>
  <c r="I496" i="9"/>
  <c r="D575" i="9"/>
  <c r="K458" i="9"/>
  <c r="A311" i="9"/>
  <c r="G470" i="9"/>
  <c r="M453" i="9"/>
  <c r="E295" i="9"/>
  <c r="A295" i="9"/>
  <c r="E293" i="9"/>
  <c r="A416" i="9"/>
  <c r="F278" i="9"/>
  <c r="B278" i="9"/>
  <c r="G276" i="9"/>
  <c r="M410" i="9"/>
  <c r="C277" i="9"/>
  <c r="L276" i="9"/>
  <c r="D275" i="9"/>
  <c r="G610" i="9"/>
  <c r="J267" i="9"/>
  <c r="M141" i="9"/>
  <c r="D468" i="9"/>
  <c r="G432" i="9"/>
  <c r="L430" i="9"/>
  <c r="G549" i="9"/>
  <c r="C416" i="9"/>
  <c r="L415" i="9"/>
  <c r="C414" i="9"/>
  <c r="I545" i="9"/>
  <c r="L414" i="9"/>
  <c r="G414" i="9"/>
  <c r="M412" i="9"/>
  <c r="E481" i="9"/>
  <c r="K267" i="9"/>
  <c r="I142" i="9"/>
  <c r="D266" i="9"/>
  <c r="A578" i="9"/>
  <c r="F372" i="9"/>
  <c r="M366" i="9"/>
  <c r="E365" i="9"/>
  <c r="M455" i="9"/>
  <c r="H350" i="9"/>
  <c r="D350" i="9"/>
  <c r="I348" i="9"/>
  <c r="L450" i="9"/>
  <c r="D349" i="9"/>
  <c r="L429" i="9"/>
  <c r="D287" i="9"/>
  <c r="E428" i="9"/>
  <c r="H285" i="9"/>
  <c r="E280" i="9"/>
  <c r="L438" i="9"/>
  <c r="G289" i="9"/>
  <c r="I277" i="9"/>
  <c r="F157" i="9"/>
  <c r="K151" i="9"/>
  <c r="M301" i="9"/>
  <c r="F358" i="9"/>
  <c r="L255" i="9"/>
  <c r="G196" i="9"/>
  <c r="A315" i="9"/>
  <c r="J516" i="9"/>
  <c r="I498" i="9"/>
  <c r="E497" i="9"/>
  <c r="E294" i="9"/>
  <c r="C321" i="9"/>
  <c r="K397" i="9"/>
  <c r="F475" i="9"/>
  <c r="L412" i="9"/>
  <c r="L320" i="9"/>
  <c r="E397" i="9"/>
  <c r="M468" i="9"/>
  <c r="F406" i="9"/>
  <c r="C319" i="9"/>
  <c r="J395" i="9"/>
  <c r="M313" i="9"/>
  <c r="J533" i="9"/>
  <c r="F436" i="9"/>
  <c r="D438" i="9"/>
  <c r="L365" i="9"/>
  <c r="H386" i="9"/>
  <c r="E304" i="9"/>
  <c r="M380" i="9"/>
  <c r="G446" i="9"/>
  <c r="D386" i="9"/>
  <c r="A304" i="9"/>
  <c r="I380" i="9"/>
  <c r="M444" i="9"/>
  <c r="H384" i="9"/>
  <c r="E302" i="9"/>
  <c r="B379" i="9"/>
  <c r="D297" i="9"/>
  <c r="A533" i="9"/>
  <c r="D431" i="9"/>
  <c r="D433" i="9"/>
  <c r="L360" i="9"/>
  <c r="D385" i="9"/>
  <c r="A303" i="9"/>
  <c r="J379" i="9"/>
  <c r="D445" i="9"/>
  <c r="M384" i="9"/>
  <c r="I302" i="9"/>
  <c r="F379" i="9"/>
  <c r="J443" i="9"/>
  <c r="D383" i="9"/>
  <c r="B301" i="9"/>
  <c r="L377" i="9"/>
  <c r="M295" i="9"/>
  <c r="C401" i="9"/>
  <c r="M423" i="9"/>
  <c r="D422" i="9"/>
  <c r="C351" i="9"/>
  <c r="F375" i="9"/>
  <c r="C293" i="9"/>
  <c r="L254" i="9"/>
  <c r="E172" i="9"/>
  <c r="A249" i="9"/>
  <c r="H166" i="9"/>
  <c r="H248" i="9"/>
  <c r="M296" i="9"/>
  <c r="K373" i="9"/>
  <c r="I291" i="9"/>
  <c r="D253" i="9"/>
  <c r="I170" i="9"/>
  <c r="E247" i="9"/>
  <c r="C266" i="9"/>
  <c r="L231" i="9"/>
  <c r="D150" i="9"/>
  <c r="F231" i="9"/>
  <c r="E278" i="9"/>
  <c r="I355" i="9"/>
  <c r="D273" i="9"/>
  <c r="L234" i="9"/>
  <c r="B153" i="9"/>
  <c r="M228" i="9"/>
  <c r="G147" i="9"/>
  <c r="H228" i="9"/>
  <c r="J276" i="9"/>
  <c r="B354" i="9"/>
  <c r="G547" i="9"/>
  <c r="H413" i="9"/>
  <c r="D413" i="9"/>
  <c r="J411" i="9"/>
  <c r="J277" i="9"/>
  <c r="J353" i="9"/>
  <c r="F271" i="9"/>
  <c r="M232" i="9"/>
  <c r="D151" i="9"/>
  <c r="B227" i="9"/>
  <c r="I145" i="9"/>
  <c r="J226" i="9"/>
  <c r="L274" i="9"/>
  <c r="B352" i="9"/>
  <c r="L269" i="9"/>
  <c r="D231" i="9"/>
  <c r="J149" i="9"/>
  <c r="G225" i="9"/>
  <c r="B144" i="9"/>
  <c r="B225" i="9"/>
  <c r="B272" i="9"/>
  <c r="B349" i="9"/>
  <c r="B267" i="9"/>
  <c r="F228" i="9"/>
  <c r="M146" i="9"/>
  <c r="G222" i="9"/>
  <c r="E141" i="9"/>
  <c r="L352" i="9"/>
  <c r="H270" i="9"/>
  <c r="H347" i="9"/>
  <c r="G265" i="9"/>
  <c r="L226" i="9"/>
  <c r="C376" i="9"/>
  <c r="C449" i="9"/>
  <c r="G447" i="9"/>
  <c r="K299" i="9"/>
  <c r="J362" i="9"/>
  <c r="D280" i="9"/>
  <c r="B242" i="9"/>
  <c r="L159" i="9"/>
  <c r="A236" i="9"/>
  <c r="D154" i="9"/>
  <c r="I235" i="9"/>
  <c r="L283" i="9"/>
  <c r="H379" i="9"/>
  <c r="K226" i="9"/>
  <c r="E145" i="9"/>
  <c r="F226" i="9"/>
  <c r="E273" i="9"/>
  <c r="F350" i="9"/>
  <c r="E268" i="9"/>
  <c r="I229" i="9"/>
  <c r="C148" i="9"/>
  <c r="L223" i="9"/>
  <c r="H142" i="9"/>
  <c r="F223" i="9"/>
  <c r="K271" i="9"/>
  <c r="K348" i="9"/>
  <c r="J484" i="9"/>
  <c r="G463" i="9"/>
  <c r="G459" i="9"/>
  <c r="H452" i="9"/>
  <c r="G271" i="9"/>
  <c r="G348" i="9"/>
  <c r="G266" i="9"/>
  <c r="K227" i="9"/>
  <c r="E146" i="9"/>
  <c r="L221" i="9"/>
  <c r="J140" i="9"/>
  <c r="C352" i="9"/>
  <c r="M269" i="9"/>
  <c r="M346" i="9"/>
  <c r="L264" i="9"/>
  <c r="D226" i="9"/>
  <c r="K144" i="9"/>
  <c r="D220" i="9"/>
  <c r="C139" i="9"/>
  <c r="C349" i="9"/>
  <c r="C267" i="9"/>
  <c r="A344" i="9"/>
  <c r="L261" i="9"/>
  <c r="D223" i="9"/>
  <c r="A142" i="9"/>
  <c r="F217" i="9"/>
  <c r="F136" i="9"/>
  <c r="I347" i="9"/>
  <c r="H265" i="9"/>
  <c r="E342" i="9"/>
  <c r="E260" i="9"/>
  <c r="H221" i="9"/>
  <c r="L441" i="9"/>
  <c r="I428" i="9"/>
  <c r="B427" i="9"/>
  <c r="C284" i="9"/>
  <c r="G357" i="9"/>
  <c r="B275" i="9"/>
  <c r="J236" i="9"/>
  <c r="M154" i="9"/>
  <c r="L230" i="9"/>
  <c r="E149" i="9"/>
  <c r="F230" i="9"/>
  <c r="I278" i="9"/>
  <c r="M355" i="9"/>
  <c r="H273" i="9"/>
  <c r="C235" i="9"/>
  <c r="F153" i="9"/>
  <c r="D229" i="9"/>
  <c r="C389" i="9"/>
  <c r="C356" i="9"/>
  <c r="F180" i="9"/>
  <c r="D272" i="9"/>
  <c r="E309" i="9"/>
  <c r="F386" i="9"/>
  <c r="C304" i="9"/>
  <c r="I285" i="9"/>
  <c r="D183" i="9"/>
  <c r="F262" i="9"/>
  <c r="H177" i="9"/>
  <c r="L260" i="9"/>
  <c r="K307" i="9"/>
  <c r="J384" i="9"/>
  <c r="G302" i="9"/>
  <c r="M498" i="9"/>
  <c r="I388" i="9"/>
  <c r="E388" i="9"/>
  <c r="K386" i="9"/>
  <c r="F384" i="9"/>
  <c r="C302" i="9"/>
  <c r="L277" i="9"/>
  <c r="F181" i="9"/>
  <c r="L258" i="9"/>
  <c r="H175" i="9"/>
  <c r="E258" i="9"/>
  <c r="M305" i="9"/>
  <c r="J382" i="9"/>
  <c r="I300" i="9"/>
  <c r="I271" i="9"/>
  <c r="L179" i="9"/>
  <c r="I256" i="9"/>
  <c r="M173" i="9"/>
  <c r="B256" i="9"/>
  <c r="M302" i="9"/>
  <c r="M379" i="9"/>
  <c r="L297" i="9"/>
  <c r="H260" i="9"/>
  <c r="A177" i="9"/>
  <c r="G253" i="9"/>
  <c r="M170" i="9"/>
  <c r="B253" i="9"/>
  <c r="E301" i="9"/>
  <c r="F378" i="9"/>
  <c r="C296" i="9"/>
  <c r="H258" i="9"/>
  <c r="H447" i="9"/>
  <c r="A266" i="9"/>
  <c r="I265" i="9"/>
  <c r="A264" i="9"/>
  <c r="F393" i="9"/>
  <c r="C311" i="9"/>
  <c r="B314" i="9"/>
  <c r="E190" i="9"/>
  <c r="I290" i="9"/>
  <c r="F184" i="9"/>
  <c r="A289" i="9"/>
  <c r="L314" i="9"/>
  <c r="J391" i="9"/>
  <c r="J368" i="9"/>
  <c r="H335" i="9"/>
  <c r="D175" i="9"/>
  <c r="M257" i="9"/>
  <c r="D304" i="9"/>
  <c r="C381" i="9"/>
  <c r="B299" i="9"/>
  <c r="F265" i="9"/>
  <c r="E178" i="9"/>
  <c r="J254" i="9"/>
  <c r="D172" i="9"/>
  <c r="E254" i="9"/>
  <c r="H302" i="9"/>
  <c r="I379" i="9"/>
  <c r="G297" i="9"/>
  <c r="L472" i="9"/>
  <c r="C368" i="9"/>
  <c r="L367" i="9"/>
  <c r="C366" i="9"/>
  <c r="E379" i="9"/>
  <c r="C297" i="9"/>
  <c r="K259" i="9"/>
  <c r="E176" i="9"/>
  <c r="L252" i="9"/>
  <c r="D170" i="9"/>
  <c r="F252" i="9"/>
  <c r="J300" i="9"/>
  <c r="J377" i="9"/>
  <c r="G295" i="9"/>
  <c r="I257" i="9"/>
  <c r="I174" i="9"/>
  <c r="D251" i="9"/>
  <c r="J168" i="9"/>
  <c r="L250" i="9"/>
  <c r="M297" i="9"/>
  <c r="J374" i="9"/>
  <c r="H292" i="9"/>
  <c r="C254" i="9"/>
  <c r="I171" i="9"/>
  <c r="E248" i="9"/>
  <c r="M165" i="9"/>
  <c r="M247" i="9"/>
  <c r="D296" i="9"/>
  <c r="C373" i="9"/>
  <c r="A291" i="9"/>
  <c r="H252" i="9"/>
  <c r="J496" i="9"/>
  <c r="J417" i="9"/>
  <c r="F416" i="9"/>
  <c r="B410" i="9"/>
  <c r="D388" i="9"/>
  <c r="C306" i="9"/>
  <c r="F293" i="9"/>
  <c r="B185" i="9"/>
  <c r="B270" i="9"/>
  <c r="G179" i="9"/>
  <c r="H268" i="9"/>
  <c r="I309" i="9"/>
  <c r="J386" i="9"/>
  <c r="G304" i="9"/>
  <c r="A287" i="9"/>
  <c r="H183" i="9"/>
  <c r="J263" i="9"/>
  <c r="M177" i="9"/>
  <c r="F299" i="9"/>
  <c r="I178" i="9"/>
  <c r="H172" i="9"/>
  <c r="H249" i="9"/>
  <c r="H296" i="9"/>
  <c r="G373" i="9"/>
  <c r="E291" i="9"/>
  <c r="M252" i="9"/>
  <c r="E170" i="9"/>
  <c r="D426" i="9"/>
  <c r="J301" i="9"/>
  <c r="F301" i="9"/>
  <c r="L299" i="9"/>
  <c r="A411" i="9"/>
  <c r="E320" i="9"/>
  <c r="A350" i="9"/>
  <c r="E199" i="9"/>
  <c r="K167" i="9"/>
  <c r="L292" i="9"/>
  <c r="D166" i="9"/>
  <c r="B290" i="9"/>
  <c r="C221" i="9"/>
  <c r="G351" i="9"/>
  <c r="E346" i="9"/>
  <c r="J256" i="9"/>
  <c r="B165" i="9"/>
  <c r="I241" i="9"/>
  <c r="G159" i="9"/>
  <c r="D241" i="9"/>
  <c r="G158" i="9"/>
  <c r="F121" i="9"/>
  <c r="B42" i="9"/>
  <c r="A121" i="9"/>
  <c r="J41" i="9"/>
  <c r="C122" i="9"/>
  <c r="M42" i="9"/>
  <c r="F1" i="9"/>
  <c r="C158" i="9"/>
  <c r="B121" i="9"/>
  <c r="K41" i="9"/>
  <c r="J120" i="9"/>
  <c r="F41" i="9"/>
  <c r="L121" i="9"/>
  <c r="H42" i="9"/>
  <c r="B1" i="9"/>
  <c r="I156" i="9"/>
  <c r="H119" i="9"/>
  <c r="D40" i="9"/>
  <c r="C119" i="9"/>
  <c r="C143" i="9"/>
  <c r="F267" i="9"/>
  <c r="I141" i="9"/>
  <c r="G264" i="9"/>
  <c r="J209" i="9"/>
  <c r="M339" i="9"/>
  <c r="I334" i="9"/>
  <c r="J248" i="9"/>
  <c r="M158" i="9"/>
  <c r="B235" i="9"/>
  <c r="E153" i="9"/>
  <c r="J234" i="9"/>
  <c r="E152" i="9"/>
  <c r="D115" i="9"/>
  <c r="M35" i="9"/>
  <c r="L114" i="9"/>
  <c r="H35" i="9"/>
  <c r="A116" i="9"/>
  <c r="J36" i="9"/>
  <c r="C2" i="6"/>
  <c r="A152" i="9"/>
  <c r="M114" i="9"/>
  <c r="I35" i="9"/>
  <c r="H114" i="9"/>
  <c r="D35" i="9"/>
  <c r="J115" i="9"/>
  <c r="F36" i="9"/>
  <c r="D1" i="6"/>
  <c r="G150" i="9"/>
  <c r="F113" i="9"/>
  <c r="B34" i="9"/>
  <c r="A113" i="9"/>
  <c r="H345" i="9"/>
  <c r="C364" i="9"/>
  <c r="C339" i="9"/>
  <c r="I352" i="9"/>
  <c r="G195" i="9"/>
  <c r="K325" i="9"/>
  <c r="I320" i="9"/>
  <c r="J239" i="9"/>
  <c r="K152" i="9"/>
  <c r="I228" i="9"/>
  <c r="C147" i="9"/>
  <c r="D228" i="9"/>
  <c r="C146" i="9"/>
  <c r="B109" i="9"/>
  <c r="G29" i="9"/>
  <c r="J108" i="9"/>
  <c r="B29" i="9"/>
  <c r="L109" i="9"/>
  <c r="D30" i="9"/>
  <c r="E7" i="3"/>
  <c r="L145" i="9"/>
  <c r="K108" i="9"/>
  <c r="C29" i="9"/>
  <c r="F108" i="9"/>
  <c r="K28" i="9"/>
  <c r="H109" i="9"/>
  <c r="M29" i="9"/>
  <c r="A7" i="3"/>
  <c r="E144" i="9"/>
  <c r="D107" i="9"/>
  <c r="I27" i="9"/>
  <c r="L106" i="9"/>
  <c r="L524" i="9"/>
  <c r="G256" i="9"/>
  <c r="M315" i="9"/>
  <c r="I195" i="9"/>
  <c r="E75" i="9"/>
  <c r="F194" i="9"/>
  <c r="B74" i="9"/>
  <c r="K603" i="9"/>
  <c r="J567" i="9"/>
  <c r="M463" i="9"/>
  <c r="I520" i="9"/>
  <c r="J571" i="9"/>
  <c r="B639" i="9"/>
  <c r="G591" i="9"/>
  <c r="H458" i="9"/>
  <c r="B453" i="9"/>
  <c r="L546" i="9"/>
  <c r="H570" i="9"/>
  <c r="K506" i="9"/>
  <c r="A486" i="9"/>
  <c r="B356" i="9"/>
  <c r="B466" i="9"/>
  <c r="E652" i="9"/>
  <c r="E563" i="9"/>
  <c r="H410" i="9"/>
  <c r="D409" i="9"/>
  <c r="C490" i="9"/>
  <c r="F458" i="9"/>
  <c r="L462" i="9"/>
  <c r="J387" i="9"/>
  <c r="C478" i="9"/>
  <c r="B388" i="9"/>
  <c r="A372" i="9"/>
  <c r="J371" i="9"/>
  <c r="C370" i="9"/>
  <c r="F411" i="9"/>
  <c r="F355" i="9"/>
  <c r="B355" i="9"/>
  <c r="L353" i="9"/>
  <c r="C406" i="9"/>
  <c r="C354" i="9"/>
  <c r="H423" i="9"/>
  <c r="G352" i="9"/>
  <c r="A515" i="9"/>
  <c r="A229" i="9"/>
  <c r="H431" i="9"/>
  <c r="K387" i="9"/>
  <c r="B372" i="9"/>
  <c r="H370" i="9"/>
  <c r="A548" i="9"/>
  <c r="K355" i="9"/>
  <c r="G355" i="9"/>
  <c r="M353" i="9"/>
  <c r="L507" i="9"/>
  <c r="H354" i="9"/>
  <c r="D354" i="9"/>
  <c r="H352" i="9"/>
  <c r="B401" i="9"/>
  <c r="I344" i="9"/>
  <c r="B218" i="9"/>
  <c r="A343" i="9"/>
  <c r="E527" i="9"/>
  <c r="M284" i="9"/>
  <c r="H284" i="9"/>
  <c r="A283" i="9"/>
  <c r="A458" i="9"/>
  <c r="G268" i="9"/>
  <c r="C268" i="9"/>
  <c r="I266" i="9"/>
  <c r="J452" i="9"/>
  <c r="D267" i="9"/>
  <c r="G409" i="9"/>
  <c r="M266" i="9"/>
  <c r="L407" i="9"/>
  <c r="E265" i="9"/>
  <c r="A481" i="9"/>
  <c r="H378" i="9"/>
  <c r="H262" i="9"/>
  <c r="G257" i="9"/>
  <c r="J415" i="9"/>
  <c r="F409" i="9"/>
  <c r="E281" i="9"/>
  <c r="A338" i="9"/>
  <c r="E259" i="9"/>
  <c r="A176" i="9"/>
  <c r="G252" i="9"/>
  <c r="A521" i="9"/>
  <c r="M435" i="9"/>
  <c r="A539" i="9"/>
  <c r="J434" i="9"/>
  <c r="G300" i="9"/>
  <c r="C377" i="9"/>
  <c r="K442" i="9"/>
  <c r="D382" i="9"/>
  <c r="C300" i="9"/>
  <c r="L376" i="9"/>
  <c r="C441" i="9"/>
  <c r="J380" i="9"/>
  <c r="I298" i="9"/>
  <c r="C375" i="9"/>
  <c r="D293" i="9"/>
  <c r="L467" i="9"/>
  <c r="C508" i="9"/>
  <c r="L431" i="9"/>
  <c r="G431" i="9"/>
  <c r="M365" i="9"/>
  <c r="I283" i="9"/>
  <c r="G360" i="9"/>
  <c r="C426" i="9"/>
  <c r="I365" i="9"/>
  <c r="E283" i="9"/>
  <c r="C360" i="9"/>
  <c r="G424" i="9"/>
  <c r="B364" i="9"/>
  <c r="J281" i="9"/>
  <c r="G358" i="9"/>
  <c r="F276" i="9"/>
  <c r="I469" i="9"/>
  <c r="M450" i="9"/>
  <c r="K426" i="9"/>
  <c r="G426" i="9"/>
  <c r="J364" i="9"/>
  <c r="F282" i="9"/>
  <c r="C359" i="9"/>
  <c r="L424" i="9"/>
  <c r="F364" i="9"/>
  <c r="B282" i="9"/>
  <c r="L358" i="9"/>
  <c r="C423" i="9"/>
  <c r="L362" i="9"/>
  <c r="F280" i="9"/>
  <c r="D357" i="9"/>
  <c r="H546" i="9"/>
  <c r="K418" i="9"/>
  <c r="G418" i="9"/>
  <c r="L416" i="9"/>
  <c r="A279" i="9"/>
  <c r="A355" i="9"/>
  <c r="I272" i="9"/>
  <c r="D234" i="9"/>
  <c r="G152" i="9"/>
  <c r="E228" i="9"/>
  <c r="L146" i="9"/>
  <c r="M227" i="9"/>
  <c r="B276" i="9"/>
  <c r="F353" i="9"/>
  <c r="B271" i="9"/>
  <c r="H232" i="9"/>
  <c r="M150" i="9"/>
  <c r="G353" i="9"/>
  <c r="G227" i="9"/>
  <c r="E211" i="9"/>
  <c r="H395" i="9"/>
  <c r="D340" i="9"/>
  <c r="A502" i="9"/>
  <c r="A335" i="9"/>
  <c r="G437" i="9"/>
  <c r="C214" i="9"/>
  <c r="I385" i="9"/>
  <c r="F208" i="9"/>
  <c r="A384" i="9"/>
  <c r="J338" i="9"/>
  <c r="E476" i="9"/>
  <c r="F333" i="9"/>
  <c r="C487" i="9"/>
  <c r="D353" i="9"/>
  <c r="M352" i="9"/>
  <c r="D351" i="9"/>
  <c r="C471" i="9"/>
  <c r="B333" i="9"/>
  <c r="J406" i="9"/>
  <c r="E212" i="9"/>
  <c r="A378" i="9"/>
  <c r="F206" i="9"/>
  <c r="E376" i="9"/>
  <c r="J336" i="9"/>
  <c r="J455" i="9"/>
  <c r="H331" i="9"/>
  <c r="M394" i="9"/>
  <c r="K210" i="9"/>
  <c r="H371" i="9"/>
  <c r="J204" i="9"/>
  <c r="A370" i="9"/>
  <c r="K333" i="9"/>
  <c r="D444" i="9"/>
  <c r="I328" i="9"/>
  <c r="E383" i="9"/>
  <c r="L207" i="9"/>
  <c r="A360" i="9"/>
  <c r="M201" i="9"/>
  <c r="E358" i="9"/>
  <c r="D332" i="9"/>
  <c r="K437" i="9"/>
  <c r="A327" i="9"/>
  <c r="A377" i="9"/>
  <c r="E591" i="9"/>
  <c r="A389" i="9"/>
  <c r="J388" i="9"/>
  <c r="C387" i="9"/>
  <c r="D265" i="9"/>
  <c r="A342" i="9"/>
  <c r="A260" i="9"/>
  <c r="D221" i="9"/>
  <c r="J456" i="9"/>
  <c r="F215" i="9"/>
  <c r="F450" i="9"/>
  <c r="J345" i="9"/>
  <c r="L332" i="9"/>
  <c r="L206" i="9"/>
  <c r="B206" i="9"/>
  <c r="A375" i="9"/>
  <c r="B335" i="9"/>
  <c r="F449" i="9"/>
  <c r="A330" i="9"/>
  <c r="G388" i="9"/>
  <c r="C209" i="9"/>
  <c r="B365" i="9"/>
  <c r="C203" i="9"/>
  <c r="H363" i="9"/>
  <c r="G333" i="9"/>
  <c r="A443" i="9"/>
  <c r="E328" i="9"/>
  <c r="A487" i="9"/>
  <c r="I332" i="9"/>
  <c r="E332" i="9"/>
  <c r="K330" i="9"/>
  <c r="J441" i="9"/>
  <c r="A328" i="9"/>
  <c r="K380" i="9"/>
  <c r="C207" i="9"/>
  <c r="F357" i="9"/>
  <c r="D201" i="9"/>
  <c r="L355" i="9"/>
  <c r="I331" i="9"/>
  <c r="E435" i="9"/>
  <c r="E326" i="9"/>
  <c r="E374" i="9"/>
  <c r="G205" i="9"/>
  <c r="A351" i="9"/>
  <c r="H199" i="9"/>
  <c r="E349" i="9"/>
  <c r="J328" i="9"/>
  <c r="J423" i="9"/>
  <c r="H323" i="9"/>
  <c r="M362" i="9"/>
  <c r="I202" i="9"/>
  <c r="G339" i="9"/>
  <c r="J196" i="9"/>
  <c r="M337" i="9"/>
  <c r="B327" i="9"/>
  <c r="F417" i="9"/>
  <c r="A322" i="9"/>
  <c r="G356" i="9"/>
  <c r="B567" i="9"/>
  <c r="H368" i="9"/>
  <c r="D368" i="9"/>
  <c r="H366" i="9"/>
  <c r="L565" i="9"/>
  <c r="A337" i="9"/>
  <c r="I495" i="9"/>
  <c r="C216" i="9"/>
  <c r="E393" i="9"/>
  <c r="F210" i="9"/>
  <c r="I391" i="9"/>
  <c r="H340" i="9"/>
  <c r="D507" i="9"/>
  <c r="E335" i="9"/>
  <c r="J442" i="9"/>
  <c r="G214" i="9"/>
  <c r="M386" i="9"/>
  <c r="J208" i="9"/>
  <c r="B307" i="9"/>
  <c r="E242" i="9"/>
  <c r="B160" i="9"/>
  <c r="M241" i="9"/>
  <c r="L288" i="9"/>
  <c r="K365" i="9"/>
  <c r="G283" i="9"/>
  <c r="C245" i="9"/>
  <c r="M162" i="9"/>
  <c r="E239" i="9"/>
  <c r="E157" i="9"/>
  <c r="M238" i="9"/>
  <c r="C287" i="9"/>
  <c r="D364" i="9"/>
  <c r="M281" i="9"/>
  <c r="I396" i="9"/>
  <c r="C454" i="9"/>
  <c r="I452" i="9"/>
  <c r="M304" i="9"/>
  <c r="M363" i="9"/>
  <c r="H281" i="9"/>
  <c r="E243" i="9"/>
  <c r="B161" i="9"/>
  <c r="E237" i="9"/>
  <c r="G155" i="9"/>
  <c r="M236" i="9"/>
  <c r="C285" i="9"/>
  <c r="F362" i="9"/>
  <c r="M279" i="9"/>
  <c r="J241" i="9"/>
  <c r="H159" i="9"/>
  <c r="J235" i="9"/>
  <c r="M153" i="9"/>
  <c r="E235" i="9"/>
  <c r="E282" i="9"/>
  <c r="F359" i="9"/>
  <c r="A277" i="9"/>
  <c r="J238" i="9"/>
  <c r="K156" i="9"/>
  <c r="L232" i="9"/>
  <c r="C151" i="9"/>
  <c r="F232" i="9"/>
  <c r="I280" i="9"/>
  <c r="K357" i="9"/>
  <c r="F275" i="9"/>
  <c r="B237" i="9"/>
  <c r="I381" i="9"/>
  <c r="I413" i="9"/>
  <c r="B412" i="9"/>
  <c r="L340" i="9"/>
  <c r="L372" i="9"/>
  <c r="J290" i="9"/>
  <c r="D252" i="9"/>
  <c r="J169" i="9"/>
  <c r="E246" i="9"/>
  <c r="B164" i="9"/>
  <c r="M245" i="9"/>
  <c r="D294" i="9"/>
  <c r="E371" i="9"/>
  <c r="F286" i="9"/>
  <c r="A237" i="9"/>
  <c r="C155" i="9"/>
  <c r="H236" i="9"/>
  <c r="H283" i="9"/>
  <c r="J360" i="9"/>
  <c r="D278" i="9"/>
  <c r="B240" i="9"/>
  <c r="A158" i="9"/>
  <c r="C234" i="9"/>
  <c r="F152" i="9"/>
  <c r="J233" i="9"/>
  <c r="A282" i="9"/>
  <c r="B359" i="9"/>
  <c r="I276" i="9"/>
  <c r="G471" i="9"/>
  <c r="L433" i="9"/>
  <c r="C432" i="9"/>
  <c r="C288" i="9"/>
  <c r="J358" i="9"/>
  <c r="E276" i="9"/>
  <c r="B238" i="9"/>
  <c r="C156" i="9"/>
  <c r="C232" i="9"/>
  <c r="H150" i="9"/>
  <c r="J231" i="9"/>
  <c r="A280" i="9"/>
  <c r="C357" i="9"/>
  <c r="K274" i="9"/>
  <c r="F236" i="9"/>
  <c r="I154" i="9"/>
  <c r="G230" i="9"/>
  <c r="A149" i="9"/>
  <c r="B230" i="9"/>
  <c r="B277" i="9"/>
  <c r="F354" i="9"/>
  <c r="A272" i="9"/>
  <c r="H233" i="9"/>
  <c r="L151" i="9"/>
  <c r="J227" i="9"/>
  <c r="D146" i="9"/>
  <c r="E227" i="9"/>
  <c r="G275" i="9"/>
  <c r="J352" i="9"/>
  <c r="G270" i="9"/>
  <c r="M231" i="9"/>
  <c r="H299" i="9"/>
  <c r="B501" i="9"/>
  <c r="I494" i="9"/>
  <c r="F320" i="9"/>
  <c r="J367" i="9"/>
  <c r="F285" i="9"/>
  <c r="B247" i="9"/>
  <c r="K164" i="9"/>
  <c r="E241" i="9"/>
  <c r="C159" i="9"/>
  <c r="M240" i="9"/>
  <c r="C289" i="9"/>
  <c r="B366" i="9"/>
  <c r="K283" i="9"/>
  <c r="G245" i="9"/>
  <c r="D163" i="9"/>
  <c r="I239" i="9"/>
  <c r="I157" i="9"/>
  <c r="G258" i="9"/>
  <c r="B431" i="9"/>
  <c r="K147" i="9"/>
  <c r="L228" i="9"/>
  <c r="K275" i="9"/>
  <c r="B353" i="9"/>
  <c r="K270" i="9"/>
  <c r="D232" i="9"/>
  <c r="I150" i="9"/>
  <c r="B428" i="9"/>
  <c r="G378" i="9"/>
  <c r="C378" i="9"/>
  <c r="G376" i="9"/>
  <c r="K381" i="9"/>
  <c r="J299" i="9"/>
  <c r="M267" i="9"/>
  <c r="M178" i="9"/>
  <c r="M249" i="9"/>
  <c r="G254" i="9"/>
  <c r="D248" i="9"/>
  <c r="I251" i="9"/>
  <c r="B180" i="9"/>
  <c r="D310" i="9"/>
  <c r="C305" i="9"/>
  <c r="E229" i="9"/>
  <c r="F145" i="9"/>
  <c r="L220" i="9"/>
  <c r="K139" i="9"/>
  <c r="L219" i="9"/>
  <c r="K138" i="9"/>
  <c r="J101" i="9"/>
  <c r="B22" i="9"/>
  <c r="E101" i="9"/>
  <c r="J21" i="9"/>
  <c r="G102" i="9"/>
  <c r="L22" i="9"/>
  <c r="H219" i="9"/>
  <c r="G138" i="9"/>
  <c r="F101" i="9"/>
  <c r="K21" i="9"/>
  <c r="A101" i="9"/>
  <c r="F21" i="9"/>
  <c r="C102" i="9"/>
  <c r="H22" i="9"/>
  <c r="A218" i="9"/>
  <c r="M136" i="9"/>
  <c r="L99" i="9"/>
  <c r="D20" i="9"/>
  <c r="G99" i="9"/>
  <c r="B224" i="9"/>
  <c r="J228" i="9"/>
  <c r="L351" i="9"/>
  <c r="M225" i="9"/>
  <c r="F168" i="9"/>
  <c r="L298" i="9"/>
  <c r="G293" i="9"/>
  <c r="E220" i="9"/>
  <c r="F441" i="9"/>
  <c r="F214" i="9"/>
  <c r="A435" i="9"/>
  <c r="F213" i="9"/>
  <c r="E382" i="9"/>
  <c r="H95" i="9"/>
  <c r="A376" i="9"/>
  <c r="C95" i="9"/>
  <c r="D395" i="9"/>
  <c r="E96" i="9"/>
  <c r="G246" i="9"/>
  <c r="B213" i="9"/>
  <c r="E377" i="9"/>
  <c r="D95" i="9"/>
  <c r="M370" i="9"/>
  <c r="L94" i="9"/>
  <c r="A390" i="9"/>
  <c r="A96" i="9"/>
  <c r="G241" i="9"/>
  <c r="H211" i="9"/>
  <c r="I351" i="9"/>
  <c r="J93" i="9"/>
  <c r="D345" i="9"/>
  <c r="E93" i="9"/>
  <c r="B329" i="9"/>
  <c r="M202" i="9"/>
  <c r="B326" i="9"/>
  <c r="A200" i="9"/>
  <c r="L154" i="9"/>
  <c r="G284" i="9"/>
  <c r="D279" i="9"/>
  <c r="L213" i="9"/>
  <c r="E384" i="9"/>
  <c r="B208" i="9"/>
  <c r="I382" i="9"/>
  <c r="A207" i="9"/>
  <c r="G279" i="9"/>
  <c r="F89" i="9"/>
  <c r="C273" i="9"/>
  <c r="A89" i="9"/>
  <c r="G292" i="9"/>
  <c r="C90" i="9"/>
  <c r="H144" i="9"/>
  <c r="I206" i="9"/>
  <c r="F274" i="9"/>
  <c r="B89" i="9"/>
  <c r="D268" i="9"/>
  <c r="J88" i="9"/>
  <c r="E287" i="9"/>
  <c r="L89" i="9"/>
  <c r="H140" i="9"/>
  <c r="A205" i="9"/>
  <c r="M256" i="9"/>
  <c r="H87" i="9"/>
  <c r="M254" i="9"/>
  <c r="D436" i="9"/>
  <c r="I390" i="9"/>
  <c r="B197" i="9"/>
  <c r="C190" i="9"/>
  <c r="A73" i="9"/>
  <c r="L189" i="9"/>
  <c r="J72" i="9"/>
  <c r="C188" i="9"/>
  <c r="A81" i="9"/>
  <c r="A234" i="9"/>
  <c r="C82" i="9"/>
  <c r="E107" i="9"/>
  <c r="B547" i="9"/>
  <c r="L619" i="9"/>
  <c r="L519" i="9"/>
  <c r="F555" i="9"/>
  <c r="A520" i="9"/>
  <c r="D590" i="9"/>
  <c r="J537" i="9"/>
  <c r="D421" i="9"/>
  <c r="A420" i="9"/>
  <c r="J272" i="9"/>
  <c r="M289" i="9"/>
  <c r="B273" i="9"/>
  <c r="L271" i="9"/>
  <c r="A137" i="9"/>
  <c r="G361" i="9"/>
  <c r="H414" i="9"/>
  <c r="H369" i="9"/>
  <c r="D406" i="9"/>
  <c r="G233" i="9"/>
  <c r="J237" i="9"/>
  <c r="G326" i="9"/>
  <c r="I356" i="9"/>
  <c r="E356" i="9"/>
  <c r="K354" i="9"/>
  <c r="G371" i="9"/>
  <c r="C411" i="9"/>
  <c r="H409" i="9"/>
  <c r="F338" i="9"/>
  <c r="D366" i="9"/>
  <c r="M409" i="9"/>
  <c r="D408" i="9"/>
  <c r="B337" i="9"/>
  <c r="F356" i="9"/>
  <c r="H213" i="9"/>
  <c r="B338" i="9"/>
  <c r="A212" i="9"/>
  <c r="H190" i="9"/>
  <c r="G314" i="9"/>
  <c r="H187" i="9"/>
  <c r="L312" i="9"/>
  <c r="B269" i="9"/>
  <c r="I191" i="9"/>
  <c r="B316" i="9"/>
  <c r="A190" i="9"/>
  <c r="D313" i="9"/>
  <c r="A187" i="9"/>
  <c r="H311" i="9"/>
  <c r="H446" i="9"/>
  <c r="B416" i="9"/>
  <c r="K331" i="9"/>
  <c r="F440" i="9"/>
  <c r="H314" i="9"/>
  <c r="E188" i="9"/>
  <c r="M312" i="9"/>
  <c r="B438" i="9"/>
  <c r="F307" i="9"/>
  <c r="J180" i="9"/>
  <c r="L305" i="9"/>
  <c r="C179" i="9"/>
  <c r="L302" i="9"/>
  <c r="D176" i="9"/>
  <c r="D301" i="9"/>
  <c r="M285" i="9"/>
  <c r="H334" i="9"/>
  <c r="G309" i="9"/>
  <c r="D328" i="9"/>
  <c r="F297" i="9"/>
  <c r="F268" i="9"/>
  <c r="D143" i="9"/>
  <c r="L266" i="9"/>
  <c r="M393" i="9"/>
  <c r="D261" i="9"/>
  <c r="A506" i="9"/>
  <c r="J259" i="9"/>
  <c r="C445" i="9"/>
  <c r="L256" i="9"/>
  <c r="D401" i="9"/>
  <c r="D516" i="9"/>
  <c r="G406" i="9"/>
  <c r="H231" i="9"/>
  <c r="F225" i="9"/>
  <c r="F216" i="9"/>
  <c r="C340" i="9"/>
  <c r="G213" i="9"/>
  <c r="I338" i="9"/>
  <c r="K371" i="9"/>
  <c r="G217" i="9"/>
  <c r="K341" i="9"/>
  <c r="L215" i="9"/>
  <c r="A339" i="9"/>
  <c r="M212" i="9"/>
  <c r="F337" i="9"/>
  <c r="D596" i="9"/>
  <c r="D270" i="9"/>
  <c r="B145" i="9"/>
  <c r="J268" i="9"/>
  <c r="H143" i="9"/>
  <c r="B255" i="9"/>
  <c r="G332" i="9"/>
  <c r="J355" i="9"/>
  <c r="F361" i="9"/>
  <c r="D298" i="9"/>
  <c r="B140" i="9"/>
  <c r="I353" i="9"/>
  <c r="E233" i="9"/>
  <c r="G236" i="9"/>
  <c r="A232" i="9"/>
  <c r="D235" i="9"/>
  <c r="I225" i="9"/>
  <c r="F272" i="9"/>
  <c r="B389" i="9"/>
  <c r="M327" i="9"/>
  <c r="H207" i="9"/>
  <c r="L210" i="9"/>
  <c r="D206" i="9"/>
  <c r="H209" i="9"/>
  <c r="J199" i="9"/>
  <c r="B425" i="9"/>
  <c r="J332" i="9"/>
  <c r="B302" i="9"/>
  <c r="K181" i="9"/>
  <c r="L184" i="9"/>
  <c r="H180" i="9"/>
  <c r="I183" i="9"/>
  <c r="B174" i="9"/>
  <c r="I368" i="9"/>
  <c r="M195" i="9"/>
  <c r="E61" i="9"/>
  <c r="G62" i="9"/>
  <c r="I217" i="9"/>
  <c r="I136" i="9"/>
  <c r="H99" i="9"/>
  <c r="M19" i="9"/>
  <c r="J389" i="9"/>
  <c r="E366" i="9"/>
  <c r="L142" i="9"/>
  <c r="C353" i="9"/>
  <c r="L270" i="9"/>
  <c r="L347" i="9"/>
  <c r="L265" i="9"/>
  <c r="C227" i="9"/>
  <c r="J145" i="9"/>
  <c r="H421" i="9"/>
  <c r="L357" i="9"/>
  <c r="H357" i="9"/>
  <c r="A356" i="9"/>
  <c r="J376" i="9"/>
  <c r="G294" i="9"/>
  <c r="E256" i="9"/>
  <c r="I173" i="9"/>
  <c r="C229" i="9"/>
  <c r="M233" i="9"/>
  <c r="I227" i="9"/>
  <c r="M230" i="9"/>
  <c r="I169" i="9"/>
  <c r="B300" i="9"/>
  <c r="L294" i="9"/>
  <c r="M222" i="9"/>
  <c r="L469" i="9"/>
  <c r="J215" i="9"/>
  <c r="F455" i="9"/>
  <c r="I214" i="9"/>
  <c r="C413" i="9"/>
  <c r="K96" i="9"/>
  <c r="G396" i="9"/>
  <c r="F96" i="9"/>
  <c r="C480" i="9"/>
  <c r="H97" i="9"/>
  <c r="D291" i="9"/>
  <c r="E214" i="9"/>
  <c r="M397" i="9"/>
  <c r="G96" i="9"/>
  <c r="E391" i="9"/>
  <c r="B96" i="9"/>
  <c r="M443" i="9"/>
  <c r="D97" i="9"/>
  <c r="J270" i="9"/>
  <c r="K212" i="9"/>
  <c r="C372" i="9"/>
  <c r="M94" i="9"/>
  <c r="J365" i="9"/>
  <c r="H94" i="9"/>
  <c r="B334" i="9"/>
  <c r="C208" i="9"/>
  <c r="E331" i="9"/>
  <c r="C205" i="9"/>
  <c r="H158" i="9"/>
  <c r="G288" i="9"/>
  <c r="C283" i="9"/>
  <c r="C215" i="9"/>
  <c r="F389" i="9"/>
  <c r="F209" i="9"/>
  <c r="L387" i="9"/>
  <c r="E208" i="9"/>
  <c r="D300" i="9"/>
  <c r="I90" i="9"/>
  <c r="J293" i="9"/>
  <c r="D90" i="9"/>
  <c r="B313" i="9"/>
  <c r="F91" i="9"/>
  <c r="D164" i="9"/>
  <c r="A208" i="9"/>
  <c r="B295" i="9"/>
  <c r="E90" i="9"/>
  <c r="I288" i="9"/>
  <c r="M89" i="9"/>
  <c r="M307" i="9"/>
  <c r="B91" i="9"/>
  <c r="E159" i="9"/>
  <c r="E206" i="9"/>
  <c r="G269" i="9"/>
  <c r="K88" i="9"/>
  <c r="B263" i="9"/>
  <c r="F88" i="9"/>
  <c r="F308" i="9"/>
  <c r="E182" i="9"/>
  <c r="H305" i="9"/>
  <c r="H179" i="9"/>
  <c r="A145" i="9"/>
  <c r="D274" i="9"/>
  <c r="J271" i="9"/>
  <c r="L208" i="9"/>
  <c r="L363" i="9"/>
  <c r="L202" i="9"/>
  <c r="E362" i="9"/>
  <c r="L201" i="9"/>
  <c r="J243" i="9"/>
  <c r="G84" i="9"/>
  <c r="C242" i="9"/>
  <c r="B84" i="9"/>
  <c r="L246" i="9"/>
  <c r="D85" i="9"/>
  <c r="I119" i="9"/>
  <c r="G201" i="9"/>
  <c r="G242" i="9"/>
  <c r="C84" i="9"/>
  <c r="L240" i="9"/>
  <c r="K83" i="9"/>
  <c r="H245" i="9"/>
  <c r="M84" i="9"/>
  <c r="F118" i="9"/>
  <c r="L199" i="9"/>
  <c r="L235" i="9"/>
  <c r="I82" i="9"/>
  <c r="E234" i="9"/>
  <c r="B214" i="9"/>
  <c r="J245" i="9"/>
  <c r="I176" i="9"/>
  <c r="H169" i="9"/>
  <c r="E53" i="9"/>
  <c r="D169" i="9"/>
  <c r="A53" i="9"/>
  <c r="J167" i="9"/>
  <c r="B76" i="9"/>
  <c r="E213" i="9"/>
  <c r="D77" i="9"/>
  <c r="I87" i="9"/>
  <c r="L191" i="9"/>
  <c r="I203" i="9"/>
  <c r="M74" i="9"/>
  <c r="G381" i="9"/>
  <c r="F240" i="9"/>
  <c r="G234" i="9"/>
  <c r="D344" i="9"/>
  <c r="F327" i="9"/>
  <c r="J418" i="9"/>
  <c r="E322" i="9"/>
  <c r="J357" i="9"/>
  <c r="E201" i="9"/>
  <c r="E483" i="9"/>
  <c r="F403" i="9"/>
  <c r="B403" i="9"/>
  <c r="G401" i="9"/>
  <c r="M273" i="9"/>
  <c r="B351" i="9"/>
  <c r="M268" i="9"/>
  <c r="D230" i="9"/>
  <c r="C388" i="9"/>
  <c r="G486" i="9"/>
  <c r="J381" i="9"/>
  <c r="F454" i="9"/>
  <c r="E370" i="9"/>
  <c r="E353" i="9"/>
  <c r="J432" i="9"/>
  <c r="L452" i="9"/>
  <c r="L195" i="9"/>
  <c r="F312" i="9"/>
  <c r="M189" i="9"/>
  <c r="J310" i="9"/>
  <c r="L188" i="9"/>
  <c r="B192" i="9"/>
  <c r="C72" i="9"/>
  <c r="F190" i="9"/>
  <c r="K71" i="9"/>
  <c r="E195" i="9"/>
  <c r="M72" i="9"/>
  <c r="F70" i="9"/>
  <c r="G188" i="9"/>
  <c r="J190" i="9"/>
  <c r="L71" i="9"/>
  <c r="B189" i="9"/>
  <c r="G71" i="9"/>
  <c r="B194" i="9"/>
  <c r="I72" i="9"/>
  <c r="C69" i="9"/>
  <c r="L186" i="9"/>
  <c r="D184" i="9"/>
  <c r="E70" i="9"/>
  <c r="J182" i="9"/>
  <c r="E285" i="9"/>
  <c r="F390" i="9"/>
  <c r="L278" i="9"/>
  <c r="I387" i="9"/>
  <c r="H308" i="9"/>
  <c r="A307" i="9"/>
  <c r="D396" i="9"/>
  <c r="A382" i="9"/>
  <c r="E189" i="9"/>
  <c r="I286" i="9"/>
  <c r="G183" i="9"/>
  <c r="A285" i="9"/>
  <c r="G182" i="9"/>
  <c r="F166" i="9"/>
  <c r="A66" i="9"/>
  <c r="L164" i="9"/>
  <c r="I65" i="9"/>
  <c r="G169" i="9"/>
  <c r="K66" i="9"/>
  <c r="F45" i="9"/>
  <c r="C182" i="9"/>
  <c r="C165" i="9"/>
  <c r="J65" i="9"/>
  <c r="I163" i="9"/>
  <c r="E65" i="9"/>
  <c r="D168" i="9"/>
  <c r="G66" i="9"/>
  <c r="C44" i="9"/>
  <c r="I180" i="9"/>
  <c r="A159" i="9"/>
  <c r="C64" i="9"/>
  <c r="G157" i="9"/>
  <c r="A240" i="9"/>
  <c r="L364" i="9"/>
  <c r="E238" i="9"/>
  <c r="B362" i="9"/>
  <c r="A258" i="9"/>
  <c r="F257" i="9"/>
  <c r="B382" i="9"/>
  <c r="D346" i="9"/>
  <c r="M182" i="9"/>
  <c r="C261" i="9"/>
  <c r="D177" i="9"/>
  <c r="F260" i="9"/>
  <c r="C176" i="9"/>
  <c r="K141" i="9"/>
  <c r="L59" i="9"/>
  <c r="L140" i="9"/>
  <c r="G59" i="9"/>
  <c r="L144" i="9"/>
  <c r="I60" i="9"/>
  <c r="E20" i="9"/>
  <c r="L175" i="9"/>
  <c r="B141" i="9"/>
  <c r="H59" i="9"/>
  <c r="D140" i="9"/>
  <c r="C59" i="9"/>
  <c r="I143" i="9"/>
  <c r="E60" i="9"/>
  <c r="G19" i="9"/>
  <c r="C174" i="9"/>
  <c r="A138" i="9"/>
  <c r="A58" i="9"/>
  <c r="C137" i="9"/>
  <c r="C257" i="9"/>
  <c r="J334" i="9"/>
  <c r="G232" i="9"/>
  <c r="K112" i="9"/>
  <c r="H113" i="9"/>
  <c r="G112" i="9"/>
  <c r="D113" i="9"/>
  <c r="M110" i="9"/>
  <c r="G51" i="9"/>
  <c r="F131" i="9"/>
  <c r="I52" i="9"/>
  <c r="I10" i="9"/>
  <c r="C166" i="9"/>
  <c r="B129" i="9"/>
  <c r="H309" i="9"/>
  <c r="I188" i="9"/>
  <c r="L182" i="9"/>
  <c r="I254" i="9"/>
  <c r="I301" i="9"/>
  <c r="J378" i="9"/>
  <c r="G296" i="9"/>
  <c r="M258" i="9"/>
  <c r="I175" i="9"/>
  <c r="I426" i="9"/>
  <c r="G322" i="9"/>
  <c r="C322" i="9"/>
  <c r="G320" i="9"/>
  <c r="F431" i="9"/>
  <c r="F325" i="9"/>
  <c r="I370" i="9"/>
  <c r="G204" i="9"/>
  <c r="D188" i="9"/>
  <c r="G313" i="9"/>
  <c r="H186" i="9"/>
  <c r="G310" i="9"/>
  <c r="G231" i="9"/>
  <c r="B231" i="9"/>
  <c r="H356" i="9"/>
  <c r="C279" i="9"/>
  <c r="A170" i="9"/>
  <c r="I246" i="9"/>
  <c r="F164" i="9"/>
  <c r="D246" i="9"/>
  <c r="F163" i="9"/>
  <c r="E126" i="9"/>
  <c r="E47" i="9"/>
  <c r="M125" i="9"/>
  <c r="M46" i="9"/>
  <c r="B127" i="9"/>
  <c r="C48" i="9"/>
  <c r="E6" i="9"/>
  <c r="B163" i="9"/>
  <c r="A126" i="9"/>
  <c r="A47" i="9"/>
  <c r="I125" i="9"/>
  <c r="H46" i="9"/>
  <c r="K126" i="9"/>
  <c r="L47" i="9"/>
  <c r="A6" i="9"/>
  <c r="H161" i="9"/>
  <c r="G124" i="9"/>
  <c r="E45" i="9"/>
  <c r="B124" i="9"/>
  <c r="L162" i="9"/>
  <c r="J287" i="9"/>
  <c r="E161" i="9"/>
  <c r="J284" i="9"/>
  <c r="M219" i="9"/>
  <c r="C350" i="9"/>
  <c r="A345" i="9"/>
  <c r="C255" i="9"/>
  <c r="L163" i="9"/>
  <c r="E240" i="9"/>
  <c r="D158" i="9"/>
  <c r="M239" i="9"/>
  <c r="D157" i="9"/>
  <c r="C120" i="9"/>
  <c r="L40" i="9"/>
  <c r="K119" i="9"/>
  <c r="G40" i="9"/>
  <c r="M120" i="9"/>
  <c r="I41" i="9"/>
  <c r="E14" i="6"/>
  <c r="M156" i="9"/>
  <c r="L119" i="9"/>
  <c r="H40" i="9"/>
  <c r="G119" i="9"/>
  <c r="C40" i="9"/>
  <c r="I120" i="9"/>
  <c r="E41" i="9"/>
  <c r="F13" i="6"/>
  <c r="F155" i="9"/>
  <c r="E118" i="9"/>
  <c r="A39" i="9"/>
  <c r="M117" i="9"/>
  <c r="D138" i="9"/>
  <c r="C262" i="9"/>
  <c r="J136" i="9"/>
  <c r="F259" i="9"/>
  <c r="J205" i="9"/>
  <c r="B336" i="9"/>
  <c r="M330" i="9"/>
  <c r="B246" i="9"/>
  <c r="J157" i="9"/>
  <c r="L233" i="9"/>
  <c r="B152" i="9"/>
  <c r="F233" i="9"/>
  <c r="B151" i="9"/>
  <c r="A114" i="9"/>
  <c r="J34" i="9"/>
  <c r="I113" i="9"/>
  <c r="E34" i="9"/>
  <c r="K114" i="9"/>
  <c r="G35" i="9"/>
  <c r="E15" i="3"/>
  <c r="K150" i="9"/>
  <c r="J113" i="9"/>
  <c r="F34" i="9"/>
  <c r="E113" i="9"/>
  <c r="A34" i="9"/>
  <c r="G114" i="9"/>
  <c r="C35" i="9"/>
  <c r="A15" i="3"/>
  <c r="D149" i="9"/>
  <c r="C112" i="9"/>
  <c r="J32" i="9"/>
  <c r="K111" i="9"/>
  <c r="G341" i="9"/>
  <c r="F288" i="9"/>
  <c r="H398" i="9"/>
  <c r="M334" i="9"/>
  <c r="D205" i="9"/>
  <c r="M329" i="9"/>
  <c r="B200" i="9"/>
  <c r="B304" i="9"/>
  <c r="A26" i="9"/>
  <c r="K106" i="9"/>
  <c r="C27" i="9"/>
  <c r="J222" i="9"/>
  <c r="H141" i="9"/>
  <c r="K29" i="9"/>
  <c r="F502" i="9"/>
  <c r="H563" i="9"/>
  <c r="C539" i="9"/>
  <c r="E487" i="9"/>
  <c r="D410" i="9"/>
  <c r="H453" i="9"/>
  <c r="H437" i="9"/>
  <c r="M420" i="9"/>
  <c r="J419" i="9"/>
  <c r="H147" i="9"/>
  <c r="D288" i="9"/>
  <c r="H271" i="9"/>
  <c r="E270" i="9"/>
  <c r="M260" i="9"/>
  <c r="L359" i="9"/>
  <c r="F343" i="9"/>
  <c r="A364" i="9"/>
  <c r="D437" i="9"/>
  <c r="B233" i="9"/>
  <c r="L155" i="9"/>
  <c r="F468" i="9"/>
  <c r="C422" i="9"/>
  <c r="I420" i="9"/>
  <c r="F541" i="9"/>
  <c r="L405" i="9"/>
  <c r="H405" i="9"/>
  <c r="A404" i="9"/>
  <c r="J540" i="9"/>
  <c r="I404" i="9"/>
  <c r="E404" i="9"/>
  <c r="K402" i="9"/>
  <c r="L403" i="9"/>
  <c r="J491" i="9"/>
  <c r="A383" i="9"/>
  <c r="C466" i="9"/>
  <c r="I376" i="9"/>
  <c r="F313" i="9"/>
  <c r="M326" i="9"/>
  <c r="K301" i="9"/>
  <c r="A495" i="9"/>
  <c r="J394" i="9"/>
  <c r="J295" i="9"/>
  <c r="B393" i="9"/>
  <c r="E289" i="9"/>
  <c r="B390" i="9"/>
  <c r="H277" i="9"/>
  <c r="H388" i="9"/>
  <c r="M306" i="9"/>
  <c r="I321" i="9"/>
  <c r="L194" i="9"/>
  <c r="B511" i="9"/>
  <c r="F391" i="9"/>
  <c r="K282" i="9"/>
  <c r="K389" i="9"/>
  <c r="L436" i="9"/>
  <c r="J298" i="9"/>
  <c r="G273" i="9"/>
  <c r="C292" i="9"/>
  <c r="E267" i="9"/>
  <c r="G280" i="9"/>
  <c r="C259" i="9"/>
  <c r="B274" i="9"/>
  <c r="D284" i="9"/>
  <c r="H195" i="9"/>
  <c r="B320" i="9"/>
  <c r="A194" i="9"/>
  <c r="G221" i="9"/>
  <c r="E345" i="9"/>
  <c r="J218" i="9"/>
  <c r="I343" i="9"/>
  <c r="D392" i="9"/>
  <c r="H222" i="9"/>
  <c r="A347" i="9"/>
  <c r="M220" i="9"/>
  <c r="B344" i="9"/>
  <c r="C218" i="9"/>
  <c r="F342" i="9"/>
  <c r="K624" i="9"/>
  <c r="C275" i="9"/>
  <c r="A150" i="9"/>
  <c r="I273" i="9"/>
  <c r="D485" i="9"/>
  <c r="C258" i="9"/>
  <c r="I419" i="9"/>
  <c r="L482" i="9"/>
  <c r="E261" i="9"/>
  <c r="D399" i="9"/>
  <c r="G545" i="9"/>
  <c r="A392" i="9"/>
  <c r="G481" i="9"/>
  <c r="G380" i="9"/>
  <c r="I458" i="9"/>
  <c r="J439" i="9"/>
  <c r="D347" i="9"/>
  <c r="H220" i="9"/>
  <c r="I345" i="9"/>
  <c r="A219" i="9"/>
  <c r="E385" i="9"/>
  <c r="M399" i="9"/>
  <c r="A444" i="9"/>
  <c r="M278" i="9"/>
  <c r="A172" i="9"/>
  <c r="E269" i="9"/>
  <c r="D200" i="9"/>
  <c r="A82" i="9"/>
  <c r="K82" i="9"/>
  <c r="J81" i="9"/>
  <c r="G82" i="9"/>
  <c r="C80" i="9"/>
  <c r="D147" i="9"/>
  <c r="A497" i="9"/>
  <c r="M193" i="9"/>
  <c r="L75" i="9"/>
  <c r="I76" i="9"/>
  <c r="H75" i="9"/>
  <c r="E76" i="9"/>
  <c r="A74" i="9"/>
  <c r="J340" i="9"/>
  <c r="D412" i="9"/>
  <c r="D187" i="9"/>
  <c r="J69" i="9"/>
  <c r="G70" i="9"/>
  <c r="F69" i="9"/>
  <c r="C70" i="9"/>
  <c r="L67" i="9"/>
  <c r="H317" i="9"/>
  <c r="B199" i="9"/>
  <c r="B21" i="9"/>
  <c r="D22" i="9"/>
  <c r="M196" i="9"/>
  <c r="E224" i="9"/>
  <c r="L79" i="9"/>
  <c r="J409" i="9"/>
  <c r="J250" i="9"/>
  <c r="K244" i="9"/>
  <c r="K364" i="9"/>
  <c r="H332" i="9"/>
  <c r="B439" i="9"/>
  <c r="E327" i="9"/>
  <c r="E378" i="9"/>
  <c r="G206" i="9"/>
  <c r="M354" i="9"/>
  <c r="L423" i="9"/>
  <c r="G423" i="9"/>
  <c r="L421" i="9"/>
  <c r="M282" i="9"/>
  <c r="D356" i="9"/>
  <c r="L273" i="9"/>
  <c r="G235" i="9"/>
  <c r="J153" i="9"/>
  <c r="F277" i="9"/>
  <c r="C152" i="9"/>
  <c r="H274" i="9"/>
  <c r="F149" i="9"/>
  <c r="E394" i="9"/>
  <c r="G517" i="9"/>
  <c r="H261" i="9"/>
  <c r="A201" i="9"/>
  <c r="A333" i="9"/>
  <c r="C195" i="9"/>
  <c r="G331" i="9"/>
  <c r="C194" i="9"/>
  <c r="J212" i="9"/>
  <c r="B77" i="9"/>
  <c r="C211" i="9"/>
  <c r="J76" i="9"/>
  <c r="M215" i="9"/>
  <c r="L77" i="9"/>
  <c r="B90" i="9"/>
  <c r="L193" i="9"/>
  <c r="G211" i="9"/>
  <c r="K76" i="9"/>
  <c r="M209" i="9"/>
  <c r="F76" i="9"/>
  <c r="H214" i="9"/>
  <c r="H77" i="9"/>
  <c r="L88" i="9"/>
  <c r="C192" i="9"/>
  <c r="M204" i="9"/>
  <c r="D75" i="9"/>
  <c r="E203" i="9"/>
  <c r="I367" i="9"/>
  <c r="G445" i="9"/>
  <c r="E361" i="9"/>
  <c r="B434" i="9"/>
  <c r="I349" i="9"/>
  <c r="B348" i="9"/>
  <c r="I427" i="9"/>
  <c r="F432" i="9"/>
  <c r="I194" i="9"/>
  <c r="E307" i="9"/>
  <c r="H188" i="9"/>
  <c r="J305" i="9"/>
  <c r="G187" i="9"/>
  <c r="J186" i="9"/>
  <c r="M70" i="9"/>
  <c r="C185" i="9"/>
  <c r="H70" i="9"/>
  <c r="B190" i="9"/>
  <c r="J71" i="9"/>
  <c r="G65" i="9"/>
  <c r="C187" i="9"/>
  <c r="G185" i="9"/>
  <c r="I70" i="9"/>
  <c r="M183" i="9"/>
  <c r="D70" i="9"/>
  <c r="J188" i="9"/>
  <c r="F71" i="9"/>
  <c r="D64" i="9"/>
  <c r="H185" i="9"/>
  <c r="E179" i="9"/>
  <c r="B69" i="9"/>
  <c r="J177" i="9"/>
  <c r="B265" i="9"/>
  <c r="F385" i="9"/>
  <c r="B260" i="9"/>
  <c r="F382" i="9"/>
  <c r="B293" i="9"/>
  <c r="H291" i="9"/>
  <c r="F392" i="9"/>
  <c r="L371" i="9"/>
  <c r="A188" i="9"/>
  <c r="G281" i="9"/>
  <c r="D182" i="9"/>
  <c r="L279" i="9"/>
  <c r="D181" i="9"/>
  <c r="G161" i="9"/>
  <c r="K64" i="9"/>
  <c r="M159" i="9"/>
  <c r="F64" i="9"/>
  <c r="H164" i="9"/>
  <c r="H65" i="9"/>
  <c r="E40" i="9"/>
  <c r="M180" i="9"/>
  <c r="D160" i="9"/>
  <c r="G64" i="9"/>
  <c r="J158" i="9"/>
  <c r="B64" i="9"/>
  <c r="E163" i="9"/>
  <c r="D65" i="9"/>
  <c r="B39" i="9"/>
  <c r="F179" i="9"/>
  <c r="B154" i="9"/>
  <c r="M62" i="9"/>
  <c r="H152" i="9"/>
  <c r="D339" i="9"/>
  <c r="E245" i="9"/>
  <c r="C253" i="9"/>
  <c r="G132" i="9"/>
  <c r="D133" i="9"/>
  <c r="C132" i="9"/>
  <c r="M132" i="9"/>
  <c r="I130" i="9"/>
  <c r="F56" i="9"/>
  <c r="B137" i="9"/>
  <c r="H57" i="9"/>
  <c r="I15" i="9"/>
  <c r="C171" i="9"/>
  <c r="A134" i="9"/>
  <c r="D55" i="9"/>
  <c r="A320" i="9"/>
  <c r="A199" i="9"/>
  <c r="D193" i="9"/>
  <c r="B262" i="9"/>
  <c r="L306" i="9"/>
  <c r="J383" i="9"/>
  <c r="H301" i="9"/>
  <c r="E275" i="9"/>
  <c r="K180" i="9"/>
  <c r="D425" i="9"/>
  <c r="L342" i="9"/>
  <c r="G342" i="9"/>
  <c r="M340" i="9"/>
  <c r="M451" i="9"/>
  <c r="I330" i="9"/>
  <c r="A391" i="9"/>
  <c r="L209" i="9"/>
  <c r="B209" i="9"/>
  <c r="A334" i="9"/>
  <c r="F207" i="9"/>
  <c r="D331" i="9"/>
  <c r="A242" i="9"/>
  <c r="H241" i="9"/>
  <c r="J366" i="9"/>
  <c r="B305" i="9"/>
  <c r="E175" i="9"/>
  <c r="L251" i="9"/>
  <c r="E169" i="9"/>
  <c r="G251" i="9"/>
  <c r="E168" i="9"/>
  <c r="D131" i="9"/>
  <c r="G52" i="9"/>
  <c r="L130" i="9"/>
  <c r="B52" i="9"/>
  <c r="A132" i="9"/>
  <c r="D53" i="9"/>
  <c r="D11" i="9"/>
  <c r="A168" i="9"/>
  <c r="M130" i="9"/>
  <c r="C52" i="9"/>
  <c r="H130" i="9"/>
  <c r="K51" i="9"/>
  <c r="J131" i="9"/>
  <c r="M52" i="9"/>
  <c r="M10" i="9"/>
  <c r="G166" i="9"/>
  <c r="F129" i="9"/>
  <c r="I50" i="9"/>
  <c r="A129" i="9"/>
  <c r="C183" i="9"/>
  <c r="E308" i="9"/>
  <c r="I181" i="9"/>
  <c r="G305" i="9"/>
  <c r="C230" i="9"/>
  <c r="K229" i="9"/>
  <c r="E355" i="9"/>
  <c r="C269" i="9"/>
  <c r="K168" i="9"/>
  <c r="F245" i="9"/>
  <c r="C163" i="9"/>
  <c r="A245" i="9"/>
  <c r="C162" i="9"/>
  <c r="B125" i="9"/>
  <c r="A46" i="9"/>
  <c r="J124" i="9"/>
  <c r="H45" i="9"/>
  <c r="L125" i="9"/>
  <c r="L46" i="9"/>
  <c r="B5" i="9"/>
  <c r="L161" i="9"/>
  <c r="K124" i="9"/>
  <c r="I45" i="9"/>
  <c r="F124" i="9"/>
  <c r="D45" i="9"/>
  <c r="H125" i="9"/>
  <c r="G46" i="9"/>
  <c r="K4" i="9"/>
  <c r="E160" i="9"/>
  <c r="D123" i="9"/>
  <c r="B44" i="9"/>
  <c r="L122" i="9"/>
  <c r="M157" i="9"/>
  <c r="H282" i="9"/>
  <c r="F156" i="9"/>
  <c r="H279" i="9"/>
  <c r="B216" i="9"/>
  <c r="F346" i="9"/>
  <c r="B341" i="9"/>
  <c r="L253" i="9"/>
  <c r="I162" i="9"/>
  <c r="A239" i="9"/>
  <c r="A157" i="9"/>
  <c r="H238" i="9"/>
  <c r="A156" i="9"/>
  <c r="M118" i="9"/>
  <c r="I39" i="9"/>
  <c r="H118" i="9"/>
  <c r="D39" i="9"/>
  <c r="J119" i="9"/>
  <c r="F40" i="9"/>
  <c r="D11" i="6"/>
  <c r="J155" i="9"/>
  <c r="I118" i="9"/>
  <c r="E39" i="9"/>
  <c r="D118" i="9"/>
  <c r="M38" i="9"/>
  <c r="F119" i="9"/>
  <c r="B40" i="9"/>
  <c r="F10" i="6"/>
  <c r="C154" i="9"/>
  <c r="B117" i="9"/>
  <c r="K37" i="9"/>
  <c r="J116" i="9"/>
  <c r="D404" i="9"/>
  <c r="I329" i="9"/>
  <c r="L150" i="9"/>
  <c r="F33" i="9"/>
  <c r="D34" i="9"/>
  <c r="B33" i="9"/>
  <c r="M33" i="9"/>
  <c r="F31" i="9"/>
  <c r="A31" i="9"/>
  <c r="J111" i="9"/>
  <c r="D32" i="9"/>
  <c r="G10" i="3"/>
  <c r="G146" i="9"/>
  <c r="F109" i="9"/>
  <c r="I268" i="9"/>
  <c r="G148" i="9"/>
  <c r="J152" i="9"/>
  <c r="B234" i="9"/>
  <c r="A281" i="9"/>
  <c r="B358" i="9"/>
  <c r="J275" i="9"/>
  <c r="F237" i="9"/>
  <c r="H155" i="9"/>
  <c r="E434" i="9"/>
  <c r="D400" i="9"/>
  <c r="H399" i="9"/>
  <c r="M396" i="9"/>
  <c r="A387" i="9"/>
  <c r="L304" i="9"/>
  <c r="E288" i="9"/>
  <c r="L183" i="9"/>
  <c r="F304" i="9"/>
  <c r="C323" i="9"/>
  <c r="B298" i="9"/>
  <c r="F311" i="9"/>
  <c r="D190" i="9"/>
  <c r="J320" i="9"/>
  <c r="F315" i="9"/>
  <c r="K235" i="9"/>
  <c r="E150" i="9"/>
  <c r="C226" i="9"/>
  <c r="J144" i="9"/>
  <c r="J225" i="9"/>
  <c r="J143" i="9"/>
  <c r="I106" i="9"/>
  <c r="A27" i="9"/>
  <c r="D106" i="9"/>
  <c r="I26" i="9"/>
  <c r="F107" i="9"/>
  <c r="K27" i="9"/>
  <c r="B3" i="3"/>
  <c r="F143" i="9"/>
  <c r="E106" i="9"/>
  <c r="J26" i="9"/>
  <c r="M105" i="9"/>
  <c r="E26" i="9"/>
  <c r="B107" i="9"/>
  <c r="G27" i="9"/>
  <c r="B223" i="9"/>
  <c r="L141" i="9"/>
  <c r="K104" i="9"/>
  <c r="C25" i="9"/>
  <c r="F104" i="9"/>
  <c r="J244" i="9"/>
  <c r="F249" i="9"/>
  <c r="C243" i="9"/>
  <c r="F246" i="9"/>
  <c r="L178" i="9"/>
  <c r="A309" i="9"/>
  <c r="L303" i="9"/>
  <c r="B228" i="9"/>
  <c r="C144" i="9"/>
  <c r="I219" i="9"/>
  <c r="H138" i="9"/>
  <c r="I218" i="9"/>
  <c r="H137" i="9"/>
  <c r="G100" i="9"/>
  <c r="L20" i="9"/>
  <c r="B100" i="9"/>
  <c r="G20" i="9"/>
  <c r="D101" i="9"/>
  <c r="I21" i="9"/>
  <c r="E218" i="9"/>
  <c r="D137" i="9"/>
  <c r="C100" i="9"/>
  <c r="H20" i="9"/>
  <c r="K99" i="9"/>
  <c r="C20" i="9"/>
  <c r="M100" i="9"/>
  <c r="E21" i="9"/>
  <c r="I216" i="9"/>
  <c r="J135" i="9"/>
  <c r="I98" i="9"/>
  <c r="A19" i="9"/>
  <c r="D98" i="9"/>
  <c r="G349" i="9"/>
  <c r="H223" i="9"/>
  <c r="J346" i="9"/>
  <c r="I220" i="9"/>
  <c r="J164" i="9"/>
  <c r="M294" i="9"/>
  <c r="J289" i="9"/>
  <c r="B219" i="9"/>
  <c r="L420" i="9"/>
  <c r="C213" i="9"/>
  <c r="F414" i="9"/>
  <c r="C212" i="9"/>
  <c r="A362" i="9"/>
  <c r="E94" i="9"/>
  <c r="H355" i="9"/>
  <c r="M93" i="9"/>
  <c r="I374" i="9"/>
  <c r="B95" i="9"/>
  <c r="A226" i="9"/>
  <c r="L211" i="9"/>
  <c r="K356" i="9"/>
  <c r="A94" i="9"/>
  <c r="E350" i="9"/>
  <c r="I93" i="9"/>
  <c r="I369" i="9"/>
  <c r="K94" i="9"/>
  <c r="J220" i="9"/>
  <c r="E210" i="9"/>
  <c r="C331" i="9"/>
  <c r="G92" i="9"/>
  <c r="J324" i="9"/>
  <c r="B92" i="9"/>
  <c r="G215" i="9"/>
  <c r="F405" i="9"/>
  <c r="M516" i="9"/>
  <c r="A556" i="9"/>
  <c r="F612" i="9"/>
  <c r="M408" i="9"/>
  <c r="D453" i="9"/>
  <c r="A436" i="9"/>
  <c r="F419" i="9"/>
  <c r="C418" i="9"/>
  <c r="H433" i="9"/>
  <c r="L578" i="9"/>
  <c r="I515" i="9"/>
  <c r="F400" i="9"/>
  <c r="B347" i="9"/>
  <c r="M391" i="9"/>
  <c r="L386" i="9"/>
  <c r="M367" i="9"/>
  <c r="B360" i="9"/>
  <c r="A261" i="9"/>
  <c r="M512" i="9"/>
  <c r="D367" i="9"/>
  <c r="M361" i="9"/>
  <c r="D360" i="9"/>
  <c r="G435" i="9"/>
  <c r="G345" i="9"/>
  <c r="C345" i="9"/>
  <c r="G343" i="9"/>
  <c r="D430" i="9"/>
  <c r="C344" i="9"/>
  <c r="L343" i="9"/>
  <c r="C342" i="9"/>
  <c r="D358" i="9"/>
  <c r="E334" i="9"/>
  <c r="J207" i="9"/>
  <c r="K332" i="9"/>
  <c r="C271" i="9"/>
  <c r="J319" i="9"/>
  <c r="I193" i="9"/>
  <c r="B318" i="9"/>
  <c r="M270" i="9"/>
  <c r="G312" i="9"/>
  <c r="I185" i="9"/>
  <c r="L310" i="9"/>
  <c r="B184" i="9"/>
  <c r="A308" i="9"/>
  <c r="E181" i="9"/>
  <c r="G306" i="9"/>
  <c r="I306" i="9"/>
  <c r="D355" i="9"/>
  <c r="D330" i="9"/>
  <c r="E185" i="9"/>
  <c r="D309" i="9"/>
  <c r="H182" i="9"/>
  <c r="J307" i="9"/>
  <c r="F430" i="9"/>
  <c r="E186" i="9"/>
  <c r="M310" i="9"/>
  <c r="K184" i="9"/>
  <c r="B308" i="9"/>
  <c r="A182" i="9"/>
  <c r="H306" i="9"/>
  <c r="J492" i="9"/>
  <c r="F399" i="9"/>
  <c r="B311" i="9"/>
  <c r="L396" i="9"/>
  <c r="J304" i="9"/>
  <c r="F140" i="9"/>
  <c r="C263" i="9"/>
  <c r="I137" i="9"/>
  <c r="C483" i="9"/>
  <c r="H266" i="9"/>
  <c r="L560" i="9"/>
  <c r="M264" i="9"/>
  <c r="I451" i="9"/>
  <c r="M261" i="9"/>
  <c r="G405" i="9"/>
  <c r="D586" i="9"/>
  <c r="G408" i="9"/>
  <c r="F352" i="9"/>
  <c r="L225" i="9"/>
  <c r="J350" i="9"/>
  <c r="F345" i="9"/>
  <c r="F219" i="9"/>
  <c r="J343" i="9"/>
  <c r="I373" i="9"/>
  <c r="E338" i="9"/>
  <c r="I211" i="9"/>
  <c r="I336" i="9"/>
  <c r="B210" i="9"/>
  <c r="J333" i="9"/>
  <c r="B207" i="9"/>
  <c r="C332" i="9"/>
  <c r="F438" i="9"/>
  <c r="C265" i="9"/>
  <c r="G139" i="9"/>
  <c r="G263" i="9"/>
  <c r="H263" i="9"/>
  <c r="J337" i="9"/>
  <c r="J211" i="9"/>
  <c r="G442" i="9"/>
  <c r="J240" i="9"/>
  <c r="D295" i="9"/>
  <c r="A268" i="9"/>
  <c r="A352" i="9"/>
  <c r="I231" i="9"/>
  <c r="K109" i="9"/>
  <c r="E230" i="9"/>
  <c r="H108" i="9"/>
  <c r="A224" i="9"/>
  <c r="I269" i="9"/>
  <c r="B259" i="9"/>
  <c r="D326" i="9"/>
  <c r="M205" i="9"/>
  <c r="C85" i="9"/>
  <c r="H204" i="9"/>
  <c r="M83" i="9"/>
  <c r="B198" i="9"/>
  <c r="G413" i="9"/>
  <c r="M411" i="9"/>
  <c r="H300" i="9"/>
  <c r="D180" i="9"/>
  <c r="H60" i="9"/>
  <c r="A179" i="9"/>
  <c r="E59" i="9"/>
  <c r="F172" i="9"/>
  <c r="C197" i="9"/>
  <c r="F189" i="9"/>
  <c r="D152" i="9"/>
  <c r="J27" i="9"/>
  <c r="G176" i="9"/>
  <c r="A143" i="9"/>
  <c r="C60" i="9"/>
  <c r="E330" i="9"/>
  <c r="G209" i="9"/>
  <c r="G203" i="9"/>
  <c r="G282" i="9"/>
  <c r="M311" i="9"/>
  <c r="L388" i="9"/>
  <c r="K306" i="9"/>
  <c r="B296" i="9"/>
  <c r="J185" i="9"/>
  <c r="E424" i="9"/>
  <c r="G363" i="9"/>
  <c r="C363" i="9"/>
  <c r="H361" i="9"/>
  <c r="F512" i="9"/>
  <c r="I335" i="9"/>
  <c r="J447" i="9"/>
  <c r="L214" i="9"/>
  <c r="H229" i="9"/>
  <c r="J354" i="9"/>
  <c r="A228" i="9"/>
  <c r="J351" i="9"/>
  <c r="C252" i="9"/>
  <c r="K251" i="9"/>
  <c r="B377" i="9"/>
  <c r="L330" i="9"/>
  <c r="G180" i="9"/>
  <c r="H257" i="9"/>
  <c r="H174" i="9"/>
  <c r="A257" i="9"/>
  <c r="G173" i="9"/>
  <c r="K136" i="9"/>
  <c r="F57" i="9"/>
  <c r="B136" i="9"/>
  <c r="A57" i="9"/>
  <c r="E138" i="9"/>
  <c r="C58" i="9"/>
  <c r="E16" i="9"/>
  <c r="C173" i="9"/>
  <c r="C136" i="9"/>
  <c r="B57" i="9"/>
  <c r="I135" i="9"/>
  <c r="J56" i="9"/>
  <c r="J137" i="9"/>
  <c r="L57" i="9"/>
  <c r="A16" i="9"/>
  <c r="G171" i="9"/>
  <c r="E134" i="9"/>
  <c r="H55" i="9"/>
  <c r="M133" i="9"/>
  <c r="K203" i="9"/>
  <c r="A329" i="9"/>
  <c r="D202" i="9"/>
  <c r="A326" i="9"/>
  <c r="I240" i="9"/>
  <c r="D240" i="9"/>
  <c r="G365" i="9"/>
  <c r="M299" i="9"/>
  <c r="A174" i="9"/>
  <c r="I250" i="9"/>
  <c r="B168" i="9"/>
  <c r="D250" i="9"/>
  <c r="B167" i="9"/>
  <c r="A130" i="9"/>
  <c r="D51" i="9"/>
  <c r="I129" i="9"/>
  <c r="L50" i="9"/>
  <c r="K130" i="9"/>
  <c r="A52" i="9"/>
  <c r="A10" i="9"/>
  <c r="K166" i="9"/>
  <c r="J129" i="9"/>
  <c r="M50" i="9"/>
  <c r="E129" i="9"/>
  <c r="H50" i="9"/>
  <c r="G130" i="9"/>
  <c r="J51" i="9"/>
  <c r="J9" i="9"/>
  <c r="D165" i="9"/>
  <c r="C128" i="9"/>
  <c r="E49" i="9"/>
  <c r="K127" i="9"/>
  <c r="D178" i="9"/>
  <c r="C303" i="9"/>
  <c r="H176" i="9"/>
  <c r="E300" i="9"/>
  <c r="G226" i="9"/>
  <c r="B226" i="9"/>
  <c r="F351" i="9"/>
  <c r="B264" i="9"/>
  <c r="H167" i="9"/>
  <c r="C244" i="9"/>
  <c r="M161" i="9"/>
  <c r="K243" i="9"/>
  <c r="M160" i="9"/>
  <c r="L123" i="9"/>
  <c r="J44" i="9"/>
  <c r="G123" i="9"/>
  <c r="E44" i="9"/>
  <c r="I124" i="9"/>
  <c r="G45" i="9"/>
  <c r="L3" i="9"/>
  <c r="I160" i="9"/>
  <c r="H123" i="9"/>
  <c r="F44" i="9"/>
  <c r="C123" i="9"/>
  <c r="A44" i="9"/>
  <c r="E124" i="9"/>
  <c r="C45" i="9"/>
  <c r="H3" i="9"/>
  <c r="B159" i="9"/>
  <c r="A122" i="9"/>
  <c r="J42" i="9"/>
  <c r="I121" i="9"/>
  <c r="H212" i="9"/>
  <c r="J370" i="9"/>
  <c r="H170" i="9"/>
  <c r="J53" i="9"/>
  <c r="G54" i="9"/>
  <c r="F53" i="9"/>
  <c r="C54" i="9"/>
  <c r="L51" i="9"/>
  <c r="C36" i="9"/>
  <c r="I116" i="9"/>
  <c r="E37" i="9"/>
  <c r="A4" i="6"/>
  <c r="F151" i="9"/>
  <c r="E114" i="9"/>
  <c r="A35" i="9"/>
  <c r="H278" i="9"/>
  <c r="E158" i="9"/>
  <c r="H162" i="9"/>
  <c r="D239" i="9"/>
  <c r="C286" i="9"/>
  <c r="E363" i="9"/>
  <c r="M280" i="9"/>
  <c r="J242" i="9"/>
  <c r="G160" i="9"/>
  <c r="C427" i="9"/>
  <c r="C591" i="9"/>
  <c r="B571" i="9"/>
  <c r="G508" i="9"/>
  <c r="B392" i="9"/>
  <c r="L309" i="9"/>
  <c r="L308" i="9"/>
  <c r="A189" i="9"/>
  <c r="I386" i="9"/>
  <c r="B422" i="9"/>
  <c r="C380" i="9"/>
  <c r="I393" i="9"/>
  <c r="H200" i="9"/>
  <c r="A331" i="9"/>
  <c r="J325" i="9"/>
  <c r="I243" i="9"/>
  <c r="D155" i="9"/>
  <c r="C231" i="9"/>
  <c r="I149" i="9"/>
  <c r="J230" i="9"/>
  <c r="I148" i="9"/>
  <c r="H111" i="9"/>
  <c r="B32" i="9"/>
  <c r="C111" i="9"/>
  <c r="I31" i="9"/>
  <c r="E112" i="9"/>
  <c r="M32" i="9"/>
  <c r="E11" i="3"/>
  <c r="E148" i="9"/>
  <c r="D111" i="9"/>
  <c r="J31" i="9"/>
  <c r="L110" i="9"/>
  <c r="E31" i="9"/>
  <c r="A112" i="9"/>
  <c r="H32" i="9"/>
  <c r="A11" i="3"/>
  <c r="K146" i="9"/>
  <c r="J109" i="9"/>
  <c r="B30" i="9"/>
  <c r="E109" i="9"/>
  <c r="J283" i="9"/>
  <c r="F302" i="9"/>
  <c r="D277" i="9"/>
  <c r="M290" i="9"/>
  <c r="M188" i="9"/>
  <c r="F319" i="9"/>
  <c r="C314" i="9"/>
  <c r="H234" i="9"/>
  <c r="B149" i="9"/>
  <c r="L224" i="9"/>
  <c r="G143" i="9"/>
  <c r="F224" i="9"/>
  <c r="G142" i="9"/>
  <c r="F105" i="9"/>
  <c r="K25" i="9"/>
  <c r="A105" i="9"/>
  <c r="F25" i="9"/>
  <c r="C106" i="9"/>
  <c r="H26" i="9"/>
  <c r="J223" i="9"/>
  <c r="C142" i="9"/>
  <c r="B105" i="9"/>
  <c r="G25" i="9"/>
  <c r="J104" i="9"/>
  <c r="B25" i="9"/>
  <c r="L105" i="9"/>
  <c r="D26" i="9"/>
  <c r="J221" i="9"/>
  <c r="I140" i="9"/>
  <c r="H103" i="9"/>
  <c r="M23" i="9"/>
  <c r="C103" i="9"/>
  <c r="H239" i="9"/>
  <c r="D244" i="9"/>
  <c r="M237" i="9"/>
  <c r="F241" i="9"/>
  <c r="M174" i="9"/>
  <c r="D305" i="9"/>
  <c r="A300" i="9"/>
  <c r="H225" i="9"/>
  <c r="M142" i="9"/>
  <c r="F218" i="9"/>
  <c r="E137" i="9"/>
  <c r="E217" i="9"/>
  <c r="E136" i="9"/>
  <c r="D99" i="9"/>
  <c r="I19" i="9"/>
  <c r="L98" i="9"/>
  <c r="D19" i="9"/>
  <c r="A100" i="9"/>
  <c r="F20" i="9"/>
  <c r="A217" i="9"/>
  <c r="A136" i="9"/>
  <c r="M98" i="9"/>
  <c r="E19" i="9"/>
  <c r="H98" i="9"/>
  <c r="M18" i="9"/>
  <c r="J99" i="9"/>
  <c r="B20" i="9"/>
  <c r="E215" i="9"/>
  <c r="B454" i="9"/>
  <c r="F97" i="9"/>
  <c r="H428" i="9"/>
  <c r="A97" i="9"/>
  <c r="D458" i="9"/>
  <c r="L244" i="9"/>
  <c r="B232" i="9"/>
  <c r="F112" i="9"/>
  <c r="E13" i="3"/>
  <c r="B112" i="9"/>
  <c r="A13" i="3"/>
  <c r="H110" i="9"/>
  <c r="G323" i="9"/>
  <c r="A92" i="9"/>
  <c r="F174" i="9"/>
  <c r="E207" i="9"/>
  <c r="I284" i="9"/>
  <c r="J89" i="9"/>
  <c r="I307" i="9"/>
  <c r="A284" i="9"/>
  <c r="J424" i="9"/>
  <c r="J342" i="9"/>
  <c r="J260" i="9"/>
  <c r="I337" i="9"/>
  <c r="E581" i="9"/>
  <c r="L216" i="9"/>
  <c r="L395" i="9"/>
  <c r="J278" i="9"/>
  <c r="G480" i="9"/>
  <c r="C474" i="9"/>
  <c r="C315" i="9"/>
  <c r="F366" i="9"/>
  <c r="B284" i="9"/>
  <c r="K245" i="9"/>
  <c r="H163" i="9"/>
  <c r="J318" i="9"/>
  <c r="I192" i="9"/>
  <c r="K315" i="9"/>
  <c r="I189" i="9"/>
  <c r="M149" i="9"/>
  <c r="E279" i="9"/>
  <c r="C274" i="9"/>
  <c r="F211" i="9"/>
  <c r="A374" i="9"/>
  <c r="F205" i="9"/>
  <c r="G372" i="9"/>
  <c r="E204" i="9"/>
  <c r="M253" i="9"/>
  <c r="M86" i="9"/>
  <c r="E252" i="9"/>
  <c r="H86" i="9"/>
  <c r="J257" i="9"/>
  <c r="J87" i="9"/>
  <c r="G129" i="9"/>
  <c r="A204" i="9"/>
  <c r="I252" i="9"/>
  <c r="I86" i="9"/>
  <c r="B251" i="9"/>
  <c r="D86" i="9"/>
  <c r="A256" i="9"/>
  <c r="F87" i="9"/>
  <c r="D128" i="9"/>
  <c r="G202" i="9"/>
  <c r="C246" i="9"/>
  <c r="B85" i="9"/>
  <c r="I244" i="9"/>
  <c r="J84" i="9"/>
  <c r="M292" i="9"/>
  <c r="M166" i="9"/>
  <c r="C290" i="9"/>
  <c r="C164" i="9"/>
  <c r="L138" i="9"/>
  <c r="B268" i="9"/>
  <c r="K266" i="9"/>
  <c r="L204" i="9"/>
  <c r="F348" i="9"/>
  <c r="M198" i="9"/>
  <c r="L346" i="9"/>
  <c r="L197" i="9"/>
  <c r="C228" i="9"/>
  <c r="K80" i="9"/>
  <c r="I226" i="9"/>
  <c r="F80" i="9"/>
  <c r="E231" i="9"/>
  <c r="H81" i="9"/>
  <c r="L104" i="9"/>
  <c r="H197" i="9"/>
  <c r="M226" i="9"/>
  <c r="G80" i="9"/>
  <c r="E225" i="9"/>
  <c r="B80" i="9"/>
  <c r="A230" i="9"/>
  <c r="D81" i="9"/>
  <c r="I103" i="9"/>
  <c r="A196" i="9"/>
  <c r="F220" i="9"/>
  <c r="M78" i="9"/>
  <c r="L218" i="9"/>
  <c r="L143" i="9"/>
  <c r="G267" i="9"/>
  <c r="E142" i="9"/>
  <c r="H264" i="9"/>
  <c r="F446" i="9"/>
  <c r="J373" i="9"/>
  <c r="C453" i="9"/>
  <c r="L257" i="9"/>
  <c r="E198" i="9"/>
  <c r="L322" i="9"/>
  <c r="H192" i="9"/>
  <c r="D321" i="9"/>
  <c r="G191" i="9"/>
  <c r="F202" i="9"/>
  <c r="I74" i="9"/>
  <c r="J200" i="9"/>
  <c r="D74" i="9"/>
  <c r="H205" i="9"/>
  <c r="F75" i="9"/>
  <c r="D80" i="9"/>
  <c r="C191" i="9"/>
  <c r="B201" i="9"/>
  <c r="E74" i="9"/>
  <c r="F199" i="9"/>
  <c r="M73" i="9"/>
  <c r="D204" i="9"/>
  <c r="B75" i="9"/>
  <c r="A79" i="9"/>
  <c r="G189" i="9"/>
  <c r="J194" i="9"/>
  <c r="K72" i="9"/>
  <c r="B193" i="9"/>
  <c r="F344" i="9"/>
  <c r="G163" i="9"/>
  <c r="M401" i="9"/>
  <c r="E341" i="9"/>
  <c r="E354" i="9"/>
  <c r="D336" i="9"/>
  <c r="A349" i="9"/>
  <c r="F310" i="9"/>
  <c r="D66" i="9"/>
  <c r="B172" i="9"/>
  <c r="F67" i="9"/>
  <c r="B48" i="9"/>
  <c r="A585" i="9"/>
  <c r="L488" i="9"/>
  <c r="M482" i="9"/>
  <c r="G262" i="9"/>
  <c r="G362" i="9"/>
  <c r="J279" i="9"/>
  <c r="E263" i="9"/>
  <c r="A262" i="9"/>
  <c r="E427" i="9"/>
  <c r="H396" i="9"/>
  <c r="D319" i="9"/>
  <c r="C301" i="9"/>
  <c r="I200" i="9"/>
  <c r="C281" i="9"/>
  <c r="M387" i="9"/>
  <c r="F383" i="9"/>
  <c r="K314" i="9"/>
  <c r="L348" i="9"/>
  <c r="J341" i="9"/>
  <c r="E337" i="9"/>
  <c r="B248" i="9"/>
  <c r="E373" i="9"/>
  <c r="E390" i="9"/>
  <c r="B432" i="9"/>
  <c r="J266" i="9"/>
  <c r="I158" i="9"/>
  <c r="I81" i="9"/>
  <c r="K148" i="9"/>
  <c r="G75" i="9"/>
  <c r="C347" i="9"/>
  <c r="E69" i="9"/>
  <c r="D262" i="9"/>
  <c r="C16" i="6"/>
  <c r="B289" i="9"/>
  <c r="F291" i="9"/>
  <c r="F165" i="9"/>
  <c r="B279" i="9"/>
  <c r="E194" i="9"/>
  <c r="H269" i="9"/>
  <c r="B250" i="9"/>
  <c r="M235" i="9"/>
  <c r="B116" i="9"/>
  <c r="D5" i="6"/>
  <c r="K115" i="9"/>
  <c r="E4" i="6"/>
  <c r="D114" i="9"/>
  <c r="B373" i="9"/>
  <c r="B241" i="9"/>
  <c r="G229" i="9"/>
  <c r="M109" i="9"/>
  <c r="E9" i="3"/>
  <c r="I109" i="9"/>
  <c r="A9" i="3"/>
  <c r="B108" i="9"/>
  <c r="F270" i="9"/>
  <c r="D233" i="9"/>
  <c r="F222" i="9"/>
  <c r="K103" i="9"/>
  <c r="B222" i="9"/>
  <c r="G103" i="9"/>
  <c r="G220" i="9"/>
  <c r="M101" i="9"/>
  <c r="B132" i="9"/>
  <c r="D130" i="9"/>
  <c r="G212" i="9"/>
  <c r="J348" i="9"/>
  <c r="M265" i="9"/>
  <c r="G490" i="9"/>
  <c r="J335" i="9"/>
  <c r="G168" i="9"/>
  <c r="G210" i="9"/>
  <c r="G216" i="9"/>
  <c r="I209" i="9"/>
  <c r="G91" i="9"/>
  <c r="E209" i="9"/>
  <c r="C91" i="9"/>
  <c r="I207" i="9"/>
  <c r="I89" i="9"/>
  <c r="G184" i="9"/>
  <c r="C210" i="9"/>
  <c r="B203" i="9"/>
  <c r="E85" i="9"/>
  <c r="K202" i="9"/>
  <c r="A85" i="9"/>
  <c r="C201" i="9"/>
  <c r="G83" i="9"/>
  <c r="D159" i="9"/>
  <c r="H203" i="9"/>
  <c r="I196" i="9"/>
  <c r="C79" i="9"/>
  <c r="E196" i="9"/>
  <c r="L78" i="9"/>
  <c r="K194" i="9"/>
  <c r="K429" i="9"/>
  <c r="A33" i="9"/>
  <c r="C71" i="9"/>
  <c r="G186" i="9"/>
  <c r="C224" i="9"/>
  <c r="A317" i="9"/>
  <c r="E419" i="9"/>
  <c r="A346" i="9"/>
  <c r="I395" i="9"/>
  <c r="B312" i="9"/>
  <c r="L291" i="9"/>
  <c r="F171" i="9"/>
  <c r="J174" i="9"/>
  <c r="B170" i="9"/>
  <c r="F173" i="9"/>
  <c r="M163" i="9"/>
  <c r="B370" i="9"/>
  <c r="B266" i="9"/>
  <c r="F266" i="9"/>
  <c r="J146" i="9"/>
  <c r="K149" i="9"/>
  <c r="G145" i="9"/>
  <c r="H148" i="9"/>
  <c r="G140" i="9"/>
  <c r="E344" i="9"/>
  <c r="H246" i="9"/>
  <c r="F254" i="9"/>
  <c r="J133" i="9"/>
  <c r="G134" i="9"/>
  <c r="F133" i="9"/>
  <c r="C134" i="9"/>
  <c r="L131" i="9"/>
  <c r="H293" i="9"/>
  <c r="B93" i="9"/>
  <c r="K92" i="9"/>
  <c r="D91" i="9"/>
  <c r="G126" i="9"/>
  <c r="J5" i="9"/>
  <c r="M244" i="9"/>
  <c r="G141" i="9"/>
  <c r="K59" i="9"/>
  <c r="B146" i="9"/>
  <c r="M60" i="9"/>
  <c r="H21" i="9"/>
  <c r="I99" i="9"/>
  <c r="L136" i="9"/>
  <c r="E63" i="9"/>
  <c r="K38" i="9"/>
  <c r="M75" i="9"/>
  <c r="L76" i="9"/>
  <c r="C1" i="6"/>
  <c r="J3" i="9"/>
  <c r="K388" i="9"/>
  <c r="M7" i="9"/>
  <c r="C5" i="3"/>
  <c r="J232" i="9"/>
  <c r="D216" i="9"/>
  <c r="M194" i="9"/>
  <c r="I212" i="9"/>
  <c r="I205" i="9"/>
  <c r="K87" i="9"/>
  <c r="E205" i="9"/>
  <c r="G87" i="9"/>
  <c r="J203" i="9"/>
  <c r="C87" i="9"/>
  <c r="G249" i="9"/>
  <c r="L85" i="9"/>
  <c r="B122" i="9"/>
  <c r="L200" i="9"/>
  <c r="L239" i="9"/>
  <c r="H83" i="9"/>
  <c r="C238" i="9"/>
  <c r="C83" i="9"/>
  <c r="B243" i="9"/>
  <c r="E84" i="9"/>
  <c r="M115" i="9"/>
  <c r="F14" i="6"/>
  <c r="B23" i="9"/>
  <c r="E12" i="3"/>
  <c r="L132" i="9"/>
  <c r="G301" i="9"/>
  <c r="G133" i="9"/>
  <c r="K18" i="9"/>
  <c r="A55" i="9"/>
  <c r="D132" i="9"/>
  <c r="I1" i="9"/>
  <c r="K10" i="9"/>
  <c r="I255" i="9"/>
  <c r="D303" i="9"/>
  <c r="K143" i="9"/>
  <c r="I358" i="9"/>
  <c r="G238" i="9"/>
  <c r="L241" i="9"/>
  <c r="C237" i="9"/>
  <c r="G240" i="9"/>
  <c r="I230" i="9"/>
  <c r="K63" i="9"/>
  <c r="B162" i="9"/>
  <c r="M64" i="9"/>
  <c r="L37" i="9"/>
  <c r="B179" i="9"/>
  <c r="L152" i="9"/>
  <c r="I62" i="9"/>
  <c r="E151" i="9"/>
  <c r="D62" i="9"/>
  <c r="M155" i="9"/>
  <c r="F63" i="9"/>
  <c r="G31" i="9"/>
  <c r="G109" i="9"/>
  <c r="J171" i="9"/>
  <c r="K81" i="9"/>
  <c r="B49" i="9"/>
  <c r="K85" i="9"/>
  <c r="K97" i="9"/>
  <c r="D7" i="6"/>
  <c r="C6" i="9"/>
  <c r="B15" i="3"/>
  <c r="C13" i="9"/>
  <c r="C9" i="3"/>
  <c r="A341" i="9"/>
  <c r="M17" i="9"/>
  <c r="E17" i="9"/>
  <c r="H387" i="9"/>
  <c r="C403" i="9"/>
  <c r="A3" i="6"/>
  <c r="A8" i="3"/>
  <c r="M13" i="9"/>
  <c r="C21" i="9"/>
  <c r="M4" i="9"/>
  <c r="L38" i="9"/>
  <c r="H33" i="9"/>
  <c r="B31" i="9"/>
  <c r="M31" i="9"/>
  <c r="B2" i="6"/>
  <c r="M119" i="9"/>
  <c r="C198" i="9"/>
  <c r="M521" i="9"/>
  <c r="M65" i="9"/>
  <c r="E8" i="3"/>
  <c r="B202" i="9"/>
  <c r="H74" i="9"/>
  <c r="M206" i="9"/>
  <c r="J75" i="9"/>
  <c r="G81" i="9"/>
  <c r="I224" i="9"/>
  <c r="D6" i="6"/>
  <c r="A259" i="9"/>
  <c r="F98" i="9"/>
  <c r="A135" i="9"/>
  <c r="J49" i="9"/>
  <c r="E9" i="9"/>
  <c r="K19" i="9"/>
  <c r="K65" i="9"/>
  <c r="F14" i="3"/>
  <c r="C2" i="9"/>
  <c r="B157" i="9"/>
  <c r="L174" i="9"/>
  <c r="B398" i="9"/>
  <c r="E392" i="9"/>
  <c r="F295" i="9"/>
  <c r="B175" i="9"/>
  <c r="I55" i="9"/>
  <c r="J173" i="9"/>
  <c r="F54" i="9"/>
  <c r="E167" i="9"/>
  <c r="L19" i="9"/>
  <c r="I100" i="9"/>
  <c r="A21" i="9"/>
  <c r="E216" i="9"/>
  <c r="F135" i="9"/>
  <c r="E98" i="9"/>
  <c r="J18" i="9"/>
  <c r="M97" i="9"/>
  <c r="E18" i="9"/>
  <c r="B99" i="9"/>
  <c r="A394" i="9"/>
  <c r="G101" i="9"/>
  <c r="B9" i="6"/>
  <c r="K6" i="9"/>
  <c r="D12" i="6"/>
  <c r="B19" i="9"/>
  <c r="A12" i="3"/>
  <c r="G77" i="9"/>
  <c r="B114" i="9"/>
  <c r="B14" i="9"/>
  <c r="H16" i="9"/>
  <c r="J48" i="9"/>
  <c r="F234" i="9"/>
  <c r="F255" i="9"/>
  <c r="A288" i="9"/>
  <c r="I186" i="9"/>
  <c r="A180" i="9"/>
  <c r="C63" i="9"/>
  <c r="J179" i="9"/>
  <c r="L62" i="9"/>
  <c r="C178" i="9"/>
  <c r="H78" i="9"/>
  <c r="I223" i="9"/>
  <c r="J79" i="9"/>
  <c r="G97" i="9"/>
  <c r="G194" i="9"/>
  <c r="M213" i="9"/>
  <c r="F77" i="9"/>
  <c r="F212" i="9"/>
  <c r="A77" i="9"/>
  <c r="D217" i="9"/>
  <c r="C78" i="9"/>
  <c r="E91" i="9"/>
  <c r="A286" i="9"/>
  <c r="J2" i="9"/>
  <c r="G1" i="3"/>
  <c r="D108" i="9"/>
  <c r="J166" i="9"/>
  <c r="H80" i="9"/>
  <c r="K11" i="9"/>
  <c r="H29" i="9"/>
  <c r="G85" i="9"/>
  <c r="F3" i="6"/>
  <c r="I4" i="9"/>
  <c r="B345" i="9"/>
  <c r="D58" i="9"/>
  <c r="E77" i="9"/>
  <c r="C193" i="9"/>
  <c r="K75" i="9"/>
  <c r="D245" i="9"/>
  <c r="A147" i="9"/>
  <c r="I75" i="9"/>
  <c r="L177" i="9"/>
  <c r="A16" i="3"/>
  <c r="A117" i="9"/>
  <c r="D93" i="9"/>
  <c r="M90" i="9"/>
  <c r="J91" i="9"/>
  <c r="E12" i="6"/>
  <c r="J47" i="9"/>
  <c r="C19" i="9"/>
  <c r="M21" i="9"/>
  <c r="J10" i="9"/>
  <c r="C96" i="9"/>
  <c r="M6" i="9"/>
  <c r="A125" i="9"/>
  <c r="F5" i="9"/>
  <c r="I9" i="9"/>
  <c r="G9" i="3"/>
  <c r="B79" i="9"/>
  <c r="C239" i="9"/>
  <c r="J118" i="9"/>
  <c r="H400" i="9"/>
  <c r="C57" i="9"/>
  <c r="D21" i="9"/>
  <c r="G181" i="9"/>
  <c r="I69" i="9"/>
  <c r="B186" i="9"/>
  <c r="K70" i="9"/>
  <c r="K61" i="9"/>
  <c r="E143" i="9"/>
  <c r="F418" i="9"/>
  <c r="G165" i="9"/>
  <c r="J78" i="9"/>
  <c r="E115" i="9"/>
  <c r="E1" i="3"/>
  <c r="F4" i="9"/>
  <c r="H13" i="9"/>
  <c r="G18" i="9"/>
  <c r="F6" i="3"/>
  <c r="C7" i="6"/>
  <c r="C233" i="9"/>
  <c r="D139" i="9"/>
  <c r="J315" i="9"/>
  <c r="E284" i="9"/>
  <c r="H247" i="9"/>
  <c r="C127" i="9"/>
  <c r="H7" i="9"/>
  <c r="L126" i="9"/>
  <c r="D7" i="9"/>
  <c r="E125" i="9"/>
  <c r="A385" i="9"/>
  <c r="J95" i="9"/>
  <c r="C236" i="9"/>
  <c r="D211" i="9"/>
  <c r="H346" i="9"/>
  <c r="F93" i="9"/>
  <c r="B340" i="9"/>
  <c r="A93" i="9"/>
  <c r="E359" i="9"/>
  <c r="C94" i="9"/>
  <c r="H210" i="9"/>
  <c r="B62" i="9"/>
  <c r="B14" i="3"/>
  <c r="L1" i="9"/>
  <c r="K347" i="9"/>
  <c r="K5" i="9"/>
  <c r="A4" i="3"/>
  <c r="K57" i="9"/>
  <c r="F94" i="9"/>
  <c r="D9" i="6"/>
  <c r="G11" i="9"/>
  <c r="E28" i="9"/>
  <c r="B236" i="9"/>
  <c r="M172" i="9"/>
  <c r="C225" i="9"/>
  <c r="E166" i="9"/>
  <c r="J159" i="9"/>
  <c r="A43" i="9"/>
  <c r="F159" i="9"/>
  <c r="I42" i="9"/>
  <c r="L157" i="9"/>
  <c r="I73" i="9"/>
  <c r="A203" i="9"/>
  <c r="K74" i="9"/>
  <c r="K77" i="9"/>
  <c r="C189" i="9"/>
  <c r="F193" i="9"/>
  <c r="G72" i="9"/>
  <c r="J191" i="9"/>
  <c r="B72" i="9"/>
  <c r="H196" i="9"/>
  <c r="D73" i="9"/>
  <c r="I71" i="9"/>
  <c r="E183" i="9"/>
  <c r="B11" i="3"/>
  <c r="M216" i="9"/>
  <c r="H88" i="9"/>
  <c r="C125" i="9"/>
  <c r="A3" i="9"/>
  <c r="L6" i="9"/>
  <c r="C16" i="9"/>
  <c r="C43" i="9"/>
  <c r="F10" i="3"/>
  <c r="D13" i="6"/>
  <c r="L380" i="9"/>
  <c r="K140" i="9"/>
  <c r="I57" i="9"/>
  <c r="G172" i="9"/>
  <c r="B56" i="9"/>
  <c r="L84" i="9"/>
  <c r="C61" i="9"/>
  <c r="J229" i="9"/>
  <c r="F229" i="9"/>
  <c r="H255" i="9"/>
  <c r="J37" i="9"/>
  <c r="H73" i="9"/>
  <c r="D71" i="9"/>
  <c r="A72" i="9"/>
  <c r="D196" i="9"/>
  <c r="I5" i="9"/>
  <c r="D10" i="6"/>
  <c r="D15" i="6"/>
  <c r="E8" i="9"/>
  <c r="E386" i="9"/>
  <c r="G4" i="3"/>
  <c r="E105" i="9"/>
  <c r="H2" i="3"/>
  <c r="H9" i="3"/>
  <c r="B78" i="9"/>
  <c r="A95" i="9"/>
  <c r="C157" i="9"/>
  <c r="M24" i="9"/>
  <c r="D124" i="9"/>
  <c r="E22" i="9"/>
  <c r="A45" i="9"/>
  <c r="B104" i="9"/>
  <c r="G24" i="9"/>
  <c r="D105" i="9"/>
  <c r="I25" i="9"/>
  <c r="I378" i="9"/>
  <c r="K3" i="9"/>
  <c r="M12" i="9"/>
  <c r="L21" i="9"/>
  <c r="H7" i="3"/>
  <c r="F8" i="6"/>
  <c r="B102" i="9"/>
  <c r="B142" i="9"/>
  <c r="A67" i="9"/>
  <c r="E36" i="9"/>
  <c r="G73" i="9"/>
  <c r="C38" i="9"/>
  <c r="D224" i="9"/>
  <c r="H343" i="9"/>
  <c r="H324" i="9"/>
  <c r="F227" i="9"/>
  <c r="L107" i="9"/>
  <c r="I108" i="9"/>
  <c r="H107" i="9"/>
  <c r="E108" i="9"/>
  <c r="A106" i="9"/>
  <c r="D50" i="9"/>
  <c r="C130" i="9"/>
  <c r="F51" i="9"/>
  <c r="F9" i="9"/>
  <c r="M164" i="9"/>
  <c r="L127" i="9"/>
  <c r="A49" i="9"/>
  <c r="G127" i="9"/>
  <c r="H48" i="9"/>
  <c r="I128" i="9"/>
  <c r="L49" i="9"/>
  <c r="L7" i="9"/>
  <c r="E55" i="9"/>
  <c r="M91" i="9"/>
  <c r="F4" i="6"/>
  <c r="B12" i="9"/>
  <c r="L30" i="9"/>
  <c r="E3" i="9"/>
  <c r="L31" i="9"/>
  <c r="G13" i="3"/>
  <c r="F130" i="9"/>
  <c r="K260" i="9"/>
  <c r="E127" i="9"/>
  <c r="H336" i="9"/>
  <c r="F253" i="9"/>
  <c r="M308" i="9"/>
  <c r="A141" i="9"/>
  <c r="E23" i="9"/>
  <c r="B24" i="9"/>
  <c r="A23" i="9"/>
  <c r="K23" i="9"/>
  <c r="G21" i="9"/>
  <c r="G28" i="9"/>
  <c r="D109" i="9"/>
  <c r="I29" i="9"/>
  <c r="G6" i="3"/>
  <c r="A144" i="9"/>
  <c r="M106" i="9"/>
  <c r="E27" i="9"/>
  <c r="H106" i="9"/>
  <c r="C534" i="9"/>
  <c r="G391" i="9"/>
  <c r="D290" i="9"/>
  <c r="L361" i="9"/>
  <c r="F239" i="9"/>
  <c r="F279" i="9"/>
  <c r="A263" i="9"/>
  <c r="J261" i="9"/>
  <c r="F381" i="9"/>
  <c r="F303" i="9"/>
  <c r="B294" i="9"/>
  <c r="M275" i="9"/>
  <c r="C325" i="9"/>
  <c r="L494" i="9"/>
  <c r="L268" i="9"/>
  <c r="D286" i="9"/>
  <c r="M187" i="9"/>
  <c r="D394" i="9"/>
  <c r="B215" i="9"/>
  <c r="C408" i="9"/>
  <c r="D263" i="9"/>
  <c r="C256" i="9"/>
  <c r="B417" i="9"/>
  <c r="H226" i="9"/>
  <c r="L460" i="9"/>
  <c r="B169" i="9"/>
  <c r="L198" i="9"/>
  <c r="G144" i="9"/>
  <c r="G192" i="9"/>
  <c r="D334" i="9"/>
  <c r="L185" i="9"/>
  <c r="F200" i="9"/>
  <c r="E156" i="9"/>
  <c r="C168" i="9"/>
  <c r="F368" i="9"/>
  <c r="E430" i="9"/>
  <c r="D397" i="9"/>
  <c r="B148" i="9"/>
  <c r="A211" i="9"/>
  <c r="C160" i="9"/>
  <c r="H153" i="9"/>
  <c r="K36" i="9"/>
  <c r="D153" i="9"/>
  <c r="G36" i="9"/>
  <c r="J151" i="9"/>
  <c r="A366" i="9"/>
  <c r="D199" i="9"/>
  <c r="A154" i="9"/>
  <c r="F147" i="9"/>
  <c r="E30" i="9"/>
  <c r="B147" i="9"/>
  <c r="A30" i="9"/>
  <c r="H145" i="9"/>
  <c r="F263" i="9"/>
  <c r="A185" i="9"/>
  <c r="L147" i="9"/>
  <c r="D141" i="9"/>
  <c r="C24" i="9"/>
  <c r="M140" i="9"/>
  <c r="L23" i="9"/>
  <c r="F139" i="9"/>
  <c r="E336" i="9"/>
  <c r="G12" i="9"/>
  <c r="F423" i="9"/>
  <c r="A367" i="9"/>
  <c r="E325" i="9"/>
  <c r="I342" i="9"/>
  <c r="D361" i="9"/>
  <c r="I371" i="9"/>
  <c r="E339" i="9"/>
  <c r="K159" i="9"/>
  <c r="I394" i="9"/>
  <c r="M320" i="9"/>
  <c r="I333" i="9"/>
  <c r="I315" i="9"/>
  <c r="H328" i="9"/>
  <c r="A290" i="9"/>
  <c r="H313" i="9"/>
  <c r="J148" i="9"/>
  <c r="A369" i="9"/>
  <c r="L248" i="9"/>
  <c r="A252" i="9"/>
  <c r="G247" i="9"/>
  <c r="K250" i="9"/>
  <c r="C241" i="9"/>
  <c r="L287" i="9"/>
  <c r="L464" i="9"/>
  <c r="D343" i="9"/>
  <c r="A223" i="9"/>
  <c r="E226" i="9"/>
  <c r="I221" i="9"/>
  <c r="A225" i="9"/>
  <c r="D215" i="9"/>
  <c r="F204" i="9"/>
  <c r="H149" i="9"/>
  <c r="J192" i="9"/>
  <c r="A183" i="9"/>
  <c r="K323" i="9"/>
  <c r="D337" i="9"/>
  <c r="B418" i="9"/>
  <c r="L263" i="9"/>
  <c r="I299" i="9"/>
  <c r="I397" i="9"/>
  <c r="J184" i="9"/>
  <c r="D67" i="9"/>
  <c r="A68" i="9"/>
  <c r="M66" i="9"/>
  <c r="J67" i="9"/>
  <c r="F65" i="9"/>
  <c r="H243" i="9"/>
  <c r="B386" i="9"/>
  <c r="H178" i="9"/>
  <c r="B61" i="9"/>
  <c r="L61" i="9"/>
  <c r="K60" i="9"/>
  <c r="H61" i="9"/>
  <c r="D59" i="9"/>
  <c r="J217" i="9"/>
  <c r="M371" i="9"/>
  <c r="M171" i="9"/>
  <c r="M54" i="9"/>
  <c r="J55" i="9"/>
  <c r="I54" i="9"/>
  <c r="F55" i="9"/>
  <c r="B53" i="9"/>
  <c r="L217" i="9"/>
  <c r="J92" i="9"/>
  <c r="F92" i="9"/>
  <c r="L90" i="9"/>
  <c r="B87" i="9"/>
  <c r="C202" i="9"/>
  <c r="J162" i="9"/>
  <c r="L118" i="9"/>
  <c r="H39" i="9"/>
  <c r="A120" i="9"/>
  <c r="J40" i="9"/>
  <c r="C12" i="6"/>
  <c r="A20" i="9"/>
  <c r="G57" i="9"/>
  <c r="B191" i="9"/>
  <c r="G3" i="9"/>
  <c r="I12" i="9"/>
  <c r="M234" i="9"/>
  <c r="A11" i="6"/>
  <c r="F296" i="9"/>
  <c r="M95" i="9"/>
  <c r="H132" i="9"/>
  <c r="J54" i="9"/>
  <c r="B440" i="9"/>
  <c r="M323" i="9"/>
  <c r="I153" i="9"/>
  <c r="D379" i="9"/>
  <c r="D260" i="9"/>
  <c r="M271" i="9"/>
  <c r="I258" i="9"/>
  <c r="A267" i="9"/>
  <c r="F251" i="9"/>
  <c r="A65" i="9"/>
  <c r="A167" i="9"/>
  <c r="C66" i="9"/>
  <c r="L42" i="9"/>
  <c r="E180" i="9"/>
  <c r="K157" i="9"/>
  <c r="L63" i="9"/>
  <c r="D156" i="9"/>
  <c r="G63" i="9"/>
  <c r="L160" i="9"/>
  <c r="I64" i="9"/>
  <c r="I36" i="9"/>
  <c r="F114" i="9"/>
  <c r="F192" i="9"/>
  <c r="I91" i="9"/>
  <c r="B54" i="9"/>
  <c r="J90" i="9"/>
  <c r="C105" i="9"/>
  <c r="E10" i="6"/>
  <c r="F7" i="9"/>
  <c r="F7" i="6"/>
  <c r="B16" i="9"/>
  <c r="C11" i="3"/>
  <c r="J181" i="9"/>
  <c r="E177" i="9"/>
  <c r="A273" i="9"/>
  <c r="H201" i="9"/>
  <c r="D83" i="9"/>
  <c r="A84" i="9"/>
  <c r="M82" i="9"/>
  <c r="J83" i="9"/>
  <c r="F81" i="9"/>
  <c r="I43" i="9"/>
  <c r="A124" i="9"/>
  <c r="L44" i="9"/>
  <c r="D3" i="9"/>
  <c r="K158" i="9"/>
  <c r="J121" i="9"/>
  <c r="F42" i="9"/>
  <c r="E121" i="9"/>
  <c r="A42" i="9"/>
  <c r="G122" i="9"/>
  <c r="D43" i="9"/>
  <c r="J1" i="9"/>
  <c r="L29" i="9"/>
  <c r="E67" i="9"/>
  <c r="C13" i="6"/>
  <c r="M5" i="9"/>
  <c r="C15" i="9"/>
  <c r="D327" i="9"/>
  <c r="H4" i="9"/>
  <c r="G3" i="3"/>
  <c r="K105" i="9"/>
  <c r="L156" i="9"/>
  <c r="F74" i="9"/>
  <c r="B217" i="9"/>
  <c r="K137" i="9"/>
  <c r="C98" i="9"/>
  <c r="L95" i="9"/>
  <c r="I96" i="9"/>
  <c r="E4" i="9"/>
  <c r="I67" i="9"/>
  <c r="G38" i="9"/>
  <c r="H101" i="9"/>
  <c r="C7" i="3"/>
  <c r="H36" i="9"/>
  <c r="G12" i="3"/>
  <c r="D110" i="9"/>
  <c r="C10" i="3"/>
  <c r="A4" i="9"/>
  <c r="G61" i="9"/>
  <c r="L81" i="9"/>
  <c r="I392" i="9"/>
  <c r="B67" i="9"/>
  <c r="C124" i="9"/>
  <c r="I133" i="9"/>
  <c r="L54" i="9"/>
  <c r="K134" i="9"/>
  <c r="A56" i="9"/>
  <c r="A14" i="9"/>
  <c r="M79" i="9"/>
  <c r="H116" i="9"/>
  <c r="F16" i="9"/>
  <c r="F19" i="9"/>
  <c r="D56" i="9"/>
  <c r="C33" i="9"/>
  <c r="D9" i="3"/>
  <c r="B11" i="6"/>
  <c r="D209" i="9"/>
  <c r="H16" i="3"/>
  <c r="K242" i="9"/>
  <c r="I279" i="9"/>
  <c r="H326" i="9"/>
  <c r="D329" i="9"/>
  <c r="A192" i="9"/>
  <c r="M184" i="9"/>
  <c r="B68" i="9"/>
  <c r="I184" i="9"/>
  <c r="K67" i="9"/>
  <c r="B183" i="9"/>
  <c r="K79" i="9"/>
  <c r="K228" i="9"/>
  <c r="M80" i="9"/>
  <c r="F102" i="9"/>
  <c r="J195" i="9"/>
  <c r="C219" i="9"/>
  <c r="I78" i="9"/>
  <c r="H217" i="9"/>
  <c r="D78" i="9"/>
  <c r="E222" i="9"/>
  <c r="F79" i="9"/>
  <c r="D96" i="9"/>
  <c r="E368" i="9"/>
  <c r="A7" i="9"/>
  <c r="E4" i="3"/>
  <c r="C113" i="9"/>
  <c r="B187" i="9"/>
  <c r="C89" i="9"/>
  <c r="A13" i="9"/>
  <c r="K34" i="9"/>
  <c r="E95" i="9"/>
  <c r="F6" i="6"/>
  <c r="L5" i="9"/>
  <c r="M303" i="9"/>
  <c r="D380" i="9"/>
  <c r="E286" i="9"/>
  <c r="D276" i="9"/>
  <c r="H156" i="9"/>
  <c r="I159" i="9"/>
  <c r="E155" i="9"/>
  <c r="F158" i="9"/>
  <c r="C149" i="9"/>
  <c r="L58" i="9"/>
  <c r="F142" i="9"/>
  <c r="A60" i="9"/>
  <c r="L18" i="9"/>
  <c r="L173" i="9"/>
  <c r="F137" i="9"/>
  <c r="J57" i="9"/>
  <c r="H136" i="9"/>
  <c r="E57" i="9"/>
  <c r="M138" i="9"/>
  <c r="G58" i="9"/>
  <c r="I16" i="9"/>
  <c r="K89" i="9"/>
  <c r="F126" i="9"/>
  <c r="I40" i="9"/>
  <c r="I28" i="9"/>
  <c r="B66" i="9"/>
  <c r="M55" i="9"/>
  <c r="D13" i="3"/>
  <c r="D1" i="9"/>
  <c r="G250" i="9"/>
  <c r="D16" i="6"/>
  <c r="A358" i="9"/>
  <c r="E202" i="9"/>
  <c r="G174" i="9"/>
  <c r="H218" i="9"/>
  <c r="M208" i="9"/>
  <c r="B212" i="9"/>
  <c r="B14" i="6"/>
  <c r="L60" i="9"/>
  <c r="F16" i="3"/>
  <c r="B120" i="9"/>
  <c r="H6" i="3"/>
  <c r="E7" i="6"/>
  <c r="A195" i="9"/>
  <c r="A299" i="9"/>
  <c r="C169" i="9"/>
  <c r="C240" i="9"/>
  <c r="H84" i="9"/>
  <c r="K93" i="9"/>
  <c r="F62" i="9"/>
  <c r="K98" i="9"/>
  <c r="H47" i="9"/>
  <c r="G162" i="9"/>
  <c r="M45" i="9"/>
  <c r="B45" i="9"/>
  <c r="M20" i="9"/>
  <c r="H120" i="9"/>
  <c r="A78" i="9"/>
  <c r="D112" i="9"/>
  <c r="D8" i="9"/>
  <c r="C53" i="9"/>
  <c r="K219" i="9"/>
  <c r="G104" i="9"/>
  <c r="J128" i="9"/>
  <c r="M49" i="9"/>
  <c r="L129" i="9"/>
  <c r="B51" i="9"/>
  <c r="B9" i="9"/>
  <c r="D60" i="9"/>
  <c r="L96" i="9"/>
  <c r="E15" i="6"/>
  <c r="E13" i="9"/>
  <c r="A36" i="9"/>
  <c r="E7" i="9"/>
  <c r="H128" i="9"/>
  <c r="G15" i="3"/>
  <c r="G135" i="9"/>
  <c r="H342" i="9"/>
  <c r="C141" i="9"/>
  <c r="G274" i="9"/>
  <c r="H193" i="9"/>
  <c r="F235" i="9"/>
  <c r="E171" i="9"/>
  <c r="I164" i="9"/>
  <c r="D48" i="9"/>
  <c r="E164" i="9"/>
  <c r="M47" i="9"/>
  <c r="K162" i="9"/>
  <c r="L74" i="9"/>
  <c r="D208" i="9"/>
  <c r="A76" i="9"/>
  <c r="J82" i="9"/>
  <c r="G190" i="9"/>
  <c r="F198" i="9"/>
  <c r="J73" i="9"/>
  <c r="L196" i="9"/>
  <c r="E73" i="9"/>
  <c r="J201" i="9"/>
  <c r="G74" i="9"/>
  <c r="H76" i="9"/>
  <c r="M203" i="9"/>
  <c r="F15" i="3"/>
  <c r="G237" i="9"/>
  <c r="G93" i="9"/>
  <c r="B130" i="9"/>
  <c r="E24" i="9"/>
  <c r="B8" i="9"/>
  <c r="J17" i="9"/>
  <c r="G53" i="9"/>
  <c r="F12" i="3"/>
  <c r="E16" i="6"/>
  <c r="K298" i="9"/>
  <c r="C298" i="9"/>
  <c r="J224" i="9"/>
  <c r="M242" i="9"/>
  <c r="I122" i="9"/>
  <c r="F123" i="9"/>
  <c r="E122" i="9"/>
  <c r="B123" i="9"/>
  <c r="K120" i="9"/>
  <c r="M53" i="9"/>
  <c r="L133" i="9"/>
  <c r="B55" i="9"/>
  <c r="B13" i="9"/>
  <c r="I168" i="9"/>
  <c r="H131" i="9"/>
  <c r="K52" i="9"/>
  <c r="C131" i="9"/>
  <c r="F52" i="9"/>
  <c r="E132" i="9"/>
  <c r="H53" i="9"/>
  <c r="H11" i="9"/>
  <c r="B70" i="9"/>
  <c r="J106" i="9"/>
  <c r="J6" i="9"/>
  <c r="M15" i="9"/>
  <c r="B46" i="9"/>
  <c r="J15" i="9"/>
  <c r="D5" i="3"/>
  <c r="B5" i="6"/>
  <c r="M167" i="9"/>
  <c r="B7" i="3"/>
  <c r="F201" i="9"/>
  <c r="J141" i="9"/>
  <c r="I138" i="9"/>
  <c r="H139" i="9"/>
  <c r="E135" i="9"/>
  <c r="G136" i="9"/>
  <c r="G121" i="9"/>
  <c r="J45" i="9"/>
  <c r="E8" i="6"/>
  <c r="J80" i="9"/>
  <c r="F12" i="6"/>
  <c r="M152" i="9"/>
  <c r="L72" i="9"/>
  <c r="F186" i="9"/>
  <c r="J66" i="9"/>
  <c r="I83" i="9"/>
  <c r="L14" i="9"/>
  <c r="F83" i="9"/>
  <c r="M71" i="9"/>
  <c r="F373" i="9"/>
  <c r="D27" i="9"/>
  <c r="K142" i="9"/>
  <c r="J25" i="9"/>
  <c r="A5" i="9"/>
  <c r="F11" i="6"/>
  <c r="D41" i="9"/>
  <c r="M214" i="9"/>
  <c r="M218" i="9"/>
  <c r="D1" i="3"/>
  <c r="I123" i="9"/>
  <c r="M147" i="9"/>
  <c r="F243" i="9"/>
  <c r="F84" i="9"/>
  <c r="C248" i="9"/>
  <c r="H85" i="9"/>
  <c r="L120" i="9"/>
  <c r="G5" i="9"/>
  <c r="L41" i="9"/>
  <c r="E14" i="3"/>
  <c r="M139" i="9"/>
  <c r="I383" i="9"/>
  <c r="H160" i="9"/>
  <c r="G22" i="9"/>
  <c r="M59" i="9"/>
  <c r="I155" i="9"/>
  <c r="L2" i="9"/>
  <c r="A12" i="9"/>
  <c r="E277" i="9"/>
  <c r="E540" i="9"/>
  <c r="H318" i="9"/>
  <c r="E319" i="9"/>
  <c r="M145" i="9"/>
  <c r="D28" i="9"/>
  <c r="A29" i="9"/>
  <c r="M27" i="9"/>
  <c r="J28" i="9"/>
  <c r="F26" i="9"/>
  <c r="J29" i="9"/>
  <c r="G110" i="9"/>
  <c r="M30" i="9"/>
  <c r="G8" i="3"/>
  <c r="D145" i="9"/>
  <c r="C108" i="9"/>
  <c r="H28" i="9"/>
  <c r="K107" i="9"/>
  <c r="C28" i="9"/>
  <c r="M108" i="9"/>
  <c r="E29" i="9"/>
  <c r="C6" i="3"/>
  <c r="G7" i="9"/>
  <c r="L16" i="9"/>
  <c r="I59" i="9"/>
  <c r="H13" i="3"/>
  <c r="H1" i="9"/>
  <c r="L116" i="9"/>
  <c r="J202" i="9"/>
  <c r="H96" i="9"/>
  <c r="I51" i="9"/>
  <c r="D88" i="9"/>
  <c r="H14" i="3"/>
  <c r="A98" i="9"/>
  <c r="D257" i="9"/>
  <c r="H230" i="9"/>
  <c r="B221" i="9"/>
  <c r="H102" i="9"/>
  <c r="K220" i="9"/>
  <c r="D102" i="9"/>
  <c r="D219" i="9"/>
  <c r="J100" i="9"/>
  <c r="L509" i="9"/>
  <c r="B551" i="9"/>
  <c r="F273" i="9"/>
  <c r="D416" i="9"/>
  <c r="L296" i="9"/>
  <c r="K277" i="9"/>
  <c r="F261" i="9"/>
  <c r="G550" i="9"/>
  <c r="H402" i="9"/>
  <c r="A395" i="9"/>
  <c r="J312" i="9"/>
  <c r="J294" i="9"/>
  <c r="K292" i="9"/>
  <c r="G389" i="9"/>
  <c r="B385" i="9"/>
  <c r="E316" i="9"/>
  <c r="G350" i="9"/>
  <c r="E343" i="9"/>
  <c r="M338" i="9"/>
  <c r="C270" i="9"/>
  <c r="B426" i="9"/>
  <c r="K396" i="9"/>
  <c r="M378" i="9"/>
  <c r="L350" i="9"/>
  <c r="E375" i="9"/>
  <c r="C206" i="9"/>
  <c r="E81" i="9"/>
  <c r="I199" i="9"/>
  <c r="C75" i="9"/>
  <c r="E193" i="9"/>
  <c r="A69" i="9"/>
  <c r="J187" i="9"/>
  <c r="D119" i="9"/>
  <c r="G167" i="9"/>
  <c r="B286" i="9"/>
  <c r="B281" i="9"/>
  <c r="B315" i="9"/>
  <c r="E272" i="9"/>
  <c r="C341" i="9"/>
  <c r="E236" i="9"/>
  <c r="G116" i="9"/>
  <c r="D117" i="9"/>
  <c r="C116" i="9"/>
  <c r="M116" i="9"/>
  <c r="I114" i="9"/>
  <c r="I384" i="9"/>
  <c r="J329" i="9"/>
  <c r="L229" i="9"/>
  <c r="E110" i="9"/>
  <c r="B111" i="9"/>
  <c r="A110" i="9"/>
  <c r="K110" i="9"/>
  <c r="G108" i="9"/>
  <c r="L281" i="9"/>
  <c r="G315" i="9"/>
  <c r="G223" i="9"/>
  <c r="C104" i="9"/>
  <c r="M104" i="9"/>
  <c r="L103" i="9"/>
  <c r="I104" i="9"/>
  <c r="E102" i="9"/>
  <c r="B310" i="9"/>
  <c r="K131" i="9"/>
  <c r="M96" i="9"/>
  <c r="I94" i="9"/>
  <c r="M137" i="9"/>
  <c r="I260" i="9"/>
  <c r="H408" i="9"/>
  <c r="F289" i="9"/>
  <c r="D213" i="9"/>
  <c r="L289" i="9"/>
  <c r="J210" i="9"/>
  <c r="L91" i="9"/>
  <c r="I92" i="9"/>
  <c r="H91" i="9"/>
  <c r="E92" i="9"/>
  <c r="A90" i="9"/>
  <c r="E187" i="9"/>
  <c r="A278" i="9"/>
  <c r="B204" i="9"/>
  <c r="J85" i="9"/>
  <c r="G86" i="9"/>
  <c r="F85" i="9"/>
  <c r="C86" i="9"/>
  <c r="L83" i="9"/>
  <c r="A162" i="9"/>
  <c r="D264" i="9"/>
  <c r="I197" i="9"/>
  <c r="H79" i="9"/>
  <c r="E80" i="9"/>
  <c r="D79" i="9"/>
  <c r="A80" i="9"/>
  <c r="J77" i="9"/>
  <c r="G156" i="9"/>
  <c r="I32" i="9"/>
  <c r="E72" i="9"/>
  <c r="B361" i="9"/>
  <c r="F322" i="9"/>
  <c r="C196" i="9"/>
  <c r="I411" i="9"/>
  <c r="D225" i="9"/>
  <c r="J392" i="9"/>
  <c r="D387" i="9"/>
  <c r="E290" i="9"/>
  <c r="K169" i="9"/>
  <c r="J50" i="9"/>
  <c r="H168" i="9"/>
  <c r="F49" i="9"/>
  <c r="F162" i="9"/>
  <c r="B367" i="9"/>
  <c r="E351" i="9"/>
  <c r="J264" i="9"/>
  <c r="C145" i="9"/>
  <c r="D25" i="9"/>
  <c r="M143" i="9"/>
  <c r="A24" i="9"/>
  <c r="I139" i="9"/>
  <c r="F341" i="9"/>
  <c r="H320" i="9"/>
  <c r="A254" i="9"/>
  <c r="E133" i="9"/>
  <c r="J13" i="9"/>
  <c r="A133" i="9"/>
  <c r="F13" i="9"/>
  <c r="G131" i="9"/>
  <c r="M211" i="9"/>
  <c r="L93" i="9"/>
  <c r="H93" i="9"/>
  <c r="D46" i="9"/>
  <c r="G47" i="9"/>
  <c r="H181" i="9"/>
  <c r="A70" i="9"/>
  <c r="C99" i="9"/>
  <c r="H19" i="9"/>
  <c r="E100" i="9"/>
  <c r="J20" i="9"/>
  <c r="B110" i="9"/>
  <c r="B12" i="6"/>
  <c r="A8" i="9"/>
  <c r="L4" i="9"/>
  <c r="J35" i="9"/>
  <c r="A14" i="3"/>
  <c r="F82" i="9"/>
  <c r="A119" i="9"/>
  <c r="J19" i="9"/>
  <c r="D18" i="9"/>
  <c r="K53" i="9"/>
  <c r="A153" i="9"/>
  <c r="F161" i="9"/>
  <c r="J197" i="9"/>
  <c r="D283" i="9"/>
  <c r="J206" i="9"/>
  <c r="C88" i="9"/>
  <c r="M88" i="9"/>
  <c r="L87" i="9"/>
  <c r="I88" i="9"/>
  <c r="E86" i="9"/>
  <c r="M44" i="9"/>
  <c r="D125" i="9"/>
  <c r="C46" i="9"/>
  <c r="G4" i="9"/>
  <c r="A160" i="9"/>
  <c r="M122" i="9"/>
  <c r="J43" i="9"/>
  <c r="H122" i="9"/>
  <c r="E43" i="9"/>
  <c r="J123" i="9"/>
  <c r="H44" i="9"/>
  <c r="M2" i="9"/>
  <c r="B35" i="9"/>
  <c r="D72" i="9"/>
  <c r="B10" i="9"/>
  <c r="C7" i="9"/>
  <c r="G16" i="9"/>
  <c r="J438" i="9"/>
  <c r="H8" i="9"/>
  <c r="G5" i="3"/>
  <c r="J110" i="9"/>
  <c r="B177" i="9"/>
  <c r="D84" i="9"/>
  <c r="A216" i="9"/>
  <c r="F300" i="9"/>
  <c r="D269" i="9"/>
  <c r="B357" i="9"/>
  <c r="L236" i="9"/>
  <c r="J114" i="9"/>
  <c r="H235" i="9"/>
  <c r="G113" i="9"/>
  <c r="B229" i="9"/>
  <c r="H23" i="9"/>
  <c r="E104" i="9"/>
  <c r="J24" i="9"/>
  <c r="C220" i="9"/>
  <c r="B139" i="9"/>
  <c r="A102" i="9"/>
  <c r="F22" i="9"/>
  <c r="I101" i="9"/>
  <c r="A22" i="9"/>
  <c r="K102" i="9"/>
  <c r="C23" i="9"/>
  <c r="K129" i="9"/>
  <c r="E1" i="9"/>
  <c r="G10" i="9"/>
  <c r="M11" i="9"/>
  <c r="H3" i="3"/>
  <c r="F2" i="6"/>
  <c r="D92" i="9"/>
  <c r="L128" i="9"/>
  <c r="B47" i="9"/>
  <c r="C26" i="9"/>
  <c r="I63" i="9"/>
  <c r="F11" i="3"/>
  <c r="B135" i="9"/>
  <c r="G17" i="9"/>
  <c r="F332" i="9"/>
  <c r="B381" i="9"/>
  <c r="J251" i="9"/>
  <c r="D10" i="3"/>
  <c r="D104" i="9"/>
  <c r="K78" i="9"/>
  <c r="L12" i="9"/>
  <c r="C39" i="9"/>
  <c r="E32" i="9"/>
  <c r="J147" i="9"/>
  <c r="I30" i="9"/>
  <c r="C22" i="9"/>
  <c r="J126" i="9"/>
  <c r="B98" i="9"/>
  <c r="J4" i="9"/>
  <c r="I68" i="9"/>
  <c r="M63" i="9"/>
  <c r="B65" i="9"/>
  <c r="M113" i="9"/>
  <c r="I34" i="9"/>
  <c r="B115" i="9"/>
  <c r="K35" i="9"/>
  <c r="C16" i="3"/>
  <c r="I13" i="9"/>
  <c r="D37" i="9"/>
  <c r="I107" i="9"/>
  <c r="C11" i="6"/>
  <c r="J7" i="9"/>
  <c r="C153" i="9"/>
  <c r="B2" i="3"/>
  <c r="L180" i="9"/>
  <c r="D76" i="9"/>
  <c r="L112" i="9"/>
  <c r="D12" i="9"/>
  <c r="M262" i="9"/>
  <c r="H404" i="9"/>
  <c r="H327" i="9"/>
  <c r="B297" i="9"/>
  <c r="J176" i="9"/>
  <c r="M179" i="9"/>
  <c r="F175" i="9"/>
  <c r="J178" i="9"/>
  <c r="L168" i="9"/>
  <c r="B60" i="9"/>
  <c r="E147" i="9"/>
  <c r="D61" i="9"/>
  <c r="K22" i="9"/>
  <c r="C175" i="9"/>
  <c r="L139" i="9"/>
  <c r="M58" i="9"/>
  <c r="A139" i="9"/>
  <c r="H58" i="9"/>
  <c r="F141" i="9"/>
  <c r="J59" i="9"/>
  <c r="F18" i="9"/>
  <c r="J94" i="9"/>
  <c r="E131" i="9"/>
  <c r="D52" i="9"/>
  <c r="L33" i="9"/>
  <c r="A71" i="9"/>
  <c r="D68" i="9"/>
  <c r="D15" i="3"/>
  <c r="G2" i="9"/>
  <c r="J306" i="9"/>
  <c r="I3" i="9"/>
  <c r="C2" i="3"/>
  <c r="D338" i="9"/>
  <c r="K253" i="9"/>
  <c r="B391" i="9"/>
  <c r="A181" i="9"/>
  <c r="H63" i="9"/>
  <c r="E64" i="9"/>
  <c r="D63" i="9"/>
  <c r="A64" i="9"/>
  <c r="J61" i="9"/>
  <c r="I38" i="9"/>
  <c r="B119" i="9"/>
  <c r="K39" i="9"/>
  <c r="B10" i="6"/>
  <c r="L153" i="9"/>
  <c r="K116" i="9"/>
  <c r="G37" i="9"/>
  <c r="F116" i="9"/>
  <c r="B37" i="9"/>
  <c r="H117" i="9"/>
  <c r="D38" i="9"/>
  <c r="C6" i="6"/>
  <c r="D16" i="9"/>
  <c r="F47" i="9"/>
  <c r="B126" i="9"/>
  <c r="A1" i="9"/>
  <c r="C10" i="9"/>
  <c r="J193" i="9"/>
  <c r="F13" i="3"/>
  <c r="D227" i="9"/>
  <c r="B86" i="9"/>
  <c r="J122" i="9"/>
  <c r="G30" i="9"/>
  <c r="K155" i="9"/>
  <c r="M57" i="9"/>
  <c r="G78" i="9"/>
  <c r="C76" i="9"/>
  <c r="M76" i="9"/>
  <c r="H337" i="9"/>
  <c r="H10" i="9"/>
  <c r="F3" i="9"/>
  <c r="M41" i="9"/>
  <c r="E117" i="9"/>
  <c r="G115" i="9"/>
  <c r="I208" i="9"/>
  <c r="H90" i="9"/>
  <c r="F39" i="9"/>
  <c r="E11" i="6"/>
  <c r="H10" i="3"/>
  <c r="L137" i="9"/>
  <c r="L80" i="9"/>
  <c r="J97" i="9"/>
  <c r="J127" i="9"/>
  <c r="F125" i="9"/>
  <c r="C126" i="9"/>
  <c r="B82" i="9"/>
  <c r="D16" i="3"/>
  <c r="D218" i="9"/>
  <c r="G193" i="9"/>
  <c r="K100" i="9"/>
  <c r="M123" i="9"/>
  <c r="I233" i="9"/>
  <c r="H43" i="9"/>
  <c r="E50" i="9"/>
  <c r="A109" i="9"/>
  <c r="F29" i="9"/>
  <c r="C110" i="9"/>
  <c r="H30" i="9"/>
  <c r="C8" i="3"/>
  <c r="J8" i="9"/>
  <c r="H18" i="9"/>
  <c r="J70" i="9"/>
  <c r="H15" i="3"/>
  <c r="K2" i="9"/>
  <c r="K121" i="9"/>
  <c r="E223" i="9"/>
  <c r="L108" i="9"/>
  <c r="H56" i="9"/>
  <c r="C93" i="9"/>
  <c r="B7" i="6"/>
  <c r="L262" i="9"/>
  <c r="I318" i="9"/>
  <c r="A235" i="9"/>
  <c r="A248" i="9"/>
  <c r="H127" i="9"/>
  <c r="E128" i="9"/>
  <c r="D127" i="9"/>
  <c r="A128" i="9"/>
  <c r="J125" i="9"/>
  <c r="C55" i="9"/>
  <c r="C135" i="9"/>
  <c r="E56" i="9"/>
  <c r="E14" i="9"/>
  <c r="L169" i="9"/>
  <c r="K132" i="9"/>
  <c r="A54" i="9"/>
  <c r="F132" i="9"/>
  <c r="I53" i="9"/>
  <c r="H133" i="9"/>
  <c r="K54" i="9"/>
  <c r="K12" i="9"/>
  <c r="A75" i="9"/>
  <c r="I111" i="9"/>
  <c r="E11" i="9"/>
  <c r="F17" i="9"/>
  <c r="E51" i="9"/>
  <c r="I20" i="9"/>
  <c r="D7" i="3"/>
  <c r="B8" i="6"/>
  <c r="F188" i="9"/>
  <c r="D12" i="3"/>
  <c r="A222" i="9"/>
  <c r="F196" i="9"/>
  <c r="D171" i="9"/>
  <c r="B350" i="9"/>
  <c r="J160" i="9"/>
  <c r="F43" i="9"/>
  <c r="D44" i="9"/>
  <c r="B43" i="9"/>
  <c r="M43" i="9"/>
  <c r="G41" i="9"/>
  <c r="I33" i="9"/>
  <c r="C114" i="9"/>
  <c r="L34" i="9"/>
  <c r="G14" i="3"/>
  <c r="M148" i="9"/>
  <c r="L111" i="9"/>
  <c r="F32" i="9"/>
  <c r="G111" i="9"/>
  <c r="A32" i="9"/>
  <c r="I112" i="9"/>
  <c r="D33" i="9"/>
  <c r="C12" i="3"/>
  <c r="C11" i="9"/>
  <c r="B27" i="9"/>
  <c r="F90" i="9"/>
  <c r="C5" i="6"/>
  <c r="D5" i="9"/>
  <c r="I131" i="9"/>
  <c r="L280" i="9"/>
  <c r="A131" i="9"/>
  <c r="F66" i="9"/>
  <c r="A103" i="9"/>
  <c r="D4" i="9"/>
  <c r="J258" i="9"/>
  <c r="C140" i="9"/>
  <c r="K58" i="9"/>
  <c r="G56" i="9"/>
  <c r="D57" i="9"/>
  <c r="K26" i="9"/>
  <c r="D11" i="3"/>
  <c r="I275" i="9"/>
  <c r="B106" i="9"/>
  <c r="A38" i="9"/>
  <c r="F72" i="9"/>
  <c r="L187" i="9"/>
  <c r="L70" i="9"/>
  <c r="A163" i="9"/>
  <c r="D120" i="9"/>
  <c r="D29" i="9"/>
  <c r="G120" i="9"/>
  <c r="L13" i="9"/>
  <c r="B449" i="9"/>
  <c r="A108" i="9"/>
  <c r="J105" i="9"/>
  <c r="G106" i="9"/>
  <c r="C14" i="9"/>
  <c r="A107" i="9"/>
  <c r="F78" i="9"/>
  <c r="D210" i="9"/>
  <c r="C41" i="9"/>
  <c r="H64" i="9"/>
  <c r="F6" i="9"/>
  <c r="H15" i="9"/>
  <c r="C161" i="9"/>
  <c r="J64" i="9"/>
  <c r="K165" i="9"/>
  <c r="L65" i="9"/>
  <c r="H41" i="9"/>
  <c r="E119" i="9"/>
  <c r="A213" i="9"/>
  <c r="M103" i="9"/>
  <c r="A59" i="9"/>
  <c r="I95" i="9"/>
  <c r="K113" i="9"/>
  <c r="E13" i="6"/>
  <c r="I8" i="9"/>
  <c r="B2" i="9"/>
  <c r="A28" i="9"/>
  <c r="C13" i="3"/>
  <c r="G151" i="9"/>
  <c r="E78" i="9"/>
  <c r="B332" i="9"/>
  <c r="F238" i="9"/>
  <c r="A227" i="9"/>
  <c r="G107" i="9"/>
  <c r="E5" i="3"/>
  <c r="C107" i="9"/>
  <c r="A5" i="3"/>
  <c r="I105" i="9"/>
  <c r="J302" i="9"/>
  <c r="K90" i="9"/>
  <c r="F154" i="9"/>
  <c r="A206" i="9"/>
  <c r="F264" i="9"/>
  <c r="G88" i="9"/>
  <c r="L259" i="9"/>
  <c r="B88" i="9"/>
  <c r="M276" i="9"/>
  <c r="D89" i="9"/>
  <c r="L135" i="9"/>
  <c r="C17" i="9"/>
  <c r="B6" i="3"/>
  <c r="I400" i="9"/>
  <c r="J520" i="9"/>
  <c r="A146" i="9"/>
  <c r="F306" i="9"/>
  <c r="H224" i="9"/>
  <c r="I261" i="9"/>
  <c r="H294" i="9"/>
  <c r="L190" i="9"/>
  <c r="M39" i="9"/>
  <c r="H329" i="9"/>
  <c r="C37" i="9"/>
  <c r="E35" i="9"/>
  <c r="J30" i="9"/>
  <c r="L28" i="9"/>
  <c r="H24" i="9"/>
  <c r="J22" i="9"/>
  <c r="I360" i="9"/>
  <c r="A251" i="9"/>
  <c r="F314" i="9"/>
  <c r="F283" i="9"/>
  <c r="C247" i="9"/>
  <c r="G239" i="9"/>
  <c r="E221" i="9"/>
  <c r="I213" i="9"/>
  <c r="M229" i="9"/>
  <c r="B306" i="9"/>
  <c r="L66" i="9"/>
  <c r="B245" i="9"/>
  <c r="J60" i="9"/>
  <c r="E219" i="9"/>
  <c r="H54" i="9"/>
  <c r="G218" i="9"/>
  <c r="H254" i="9"/>
  <c r="G79" i="9"/>
  <c r="H4" i="3"/>
  <c r="M207" i="9"/>
  <c r="J102" i="9"/>
  <c r="D237" i="9"/>
  <c r="D258" i="9"/>
  <c r="L249" i="9"/>
  <c r="F221" i="9"/>
  <c r="L102" i="9"/>
  <c r="K145" i="9"/>
  <c r="H5" i="3"/>
  <c r="F58" i="9"/>
  <c r="F38" i="9"/>
  <c r="L82" i="9"/>
  <c r="M85" i="9"/>
  <c r="G199" i="9"/>
  <c r="M81" i="9"/>
  <c r="E5" i="6"/>
  <c r="C249" i="9"/>
  <c r="C121" i="9"/>
  <c r="F138" i="9"/>
  <c r="A83" i="9"/>
  <c r="G228" i="9"/>
  <c r="F111" i="9"/>
  <c r="L100" i="9"/>
  <c r="D94" i="9"/>
  <c r="C73" i="9"/>
  <c r="G9" i="9"/>
  <c r="F2" i="9"/>
  <c r="I237" i="9"/>
  <c r="G68" i="9"/>
  <c r="I66" i="9"/>
  <c r="B13" i="6"/>
  <c r="I117" i="9"/>
  <c r="C9" i="6"/>
  <c r="D2" i="9"/>
  <c r="L247" i="9"/>
  <c r="K154" i="9"/>
  <c r="A155" i="9"/>
  <c r="I147" i="9"/>
  <c r="A215" i="9"/>
  <c r="J96" i="9"/>
  <c r="L92" i="9"/>
  <c r="F14" i="9"/>
  <c r="L8" i="9"/>
  <c r="J117" i="9"/>
  <c r="F86" i="9"/>
  <c r="D9" i="9"/>
  <c r="D318" i="9"/>
  <c r="F100" i="9"/>
  <c r="E46" i="9"/>
  <c r="F106" i="9"/>
  <c r="F16" i="6"/>
  <c r="J297" i="9"/>
  <c r="B8" i="3"/>
  <c r="A253" i="9"/>
  <c r="K7" i="9"/>
  <c r="M191" i="9"/>
  <c r="G49" i="9"/>
  <c r="M34" i="9"/>
  <c r="C150" i="9"/>
  <c r="E33" i="9"/>
  <c r="F12" i="9"/>
  <c r="G6" i="9"/>
  <c r="E71" i="9"/>
  <c r="C295" i="9"/>
  <c r="I2" i="9"/>
  <c r="G364" i="9"/>
  <c r="M325" i="9"/>
  <c r="L338" i="9"/>
  <c r="B12" i="3"/>
  <c r="C1" i="3"/>
  <c r="D10" i="9"/>
  <c r="K135" i="9"/>
  <c r="J23" i="9"/>
  <c r="G154" i="9"/>
  <c r="F5" i="3"/>
  <c r="K44" i="9"/>
  <c r="L26" i="9"/>
  <c r="H62" i="9"/>
  <c r="K84" i="9"/>
  <c r="L45" i="9"/>
  <c r="G69" i="9"/>
  <c r="I11" i="9"/>
  <c r="B94" i="9"/>
  <c r="H151" i="9"/>
  <c r="H27" i="9"/>
  <c r="B71" i="9"/>
  <c r="K68" i="9"/>
  <c r="H69" i="9"/>
  <c r="E6" i="6"/>
  <c r="D14" i="3"/>
  <c r="H37" i="9"/>
  <c r="F15" i="9"/>
  <c r="L15" i="9"/>
  <c r="A255" i="9"/>
  <c r="I146" i="9"/>
  <c r="M22" i="9"/>
  <c r="I22" i="9"/>
  <c r="J68" i="9"/>
  <c r="M128" i="9"/>
  <c r="B138" i="9"/>
  <c r="A184" i="9"/>
  <c r="I126" i="9"/>
  <c r="I253" i="9"/>
  <c r="C67" i="9"/>
  <c r="B176" i="9"/>
  <c r="E68" i="9"/>
  <c r="M51" i="9"/>
  <c r="C129" i="9"/>
  <c r="D254" i="9"/>
  <c r="L124" i="9"/>
  <c r="L68" i="9"/>
  <c r="G105" i="9"/>
  <c r="J134" i="9"/>
  <c r="M1" i="9"/>
  <c r="B11" i="9"/>
  <c r="F10" i="9"/>
  <c r="G2" i="3"/>
  <c r="B1" i="6"/>
  <c r="L339" i="9"/>
  <c r="F59" i="9"/>
  <c r="F37" i="9"/>
  <c r="I152" i="9"/>
  <c r="L35" i="9"/>
  <c r="M14" i="9"/>
  <c r="M8" i="9"/>
  <c r="C81" i="9"/>
  <c r="B81" i="9"/>
  <c r="C1" i="9"/>
  <c r="C118" i="9"/>
  <c r="L53" i="9"/>
  <c r="H51" i="9"/>
  <c r="E52" i="9"/>
  <c r="M3" i="9"/>
  <c r="A3" i="3"/>
  <c r="J175" i="9"/>
  <c r="H104" i="9"/>
  <c r="I97" i="9"/>
  <c r="K95" i="9"/>
  <c r="F203" i="9"/>
  <c r="I85" i="9"/>
  <c r="C9" i="9"/>
  <c r="D4" i="3"/>
  <c r="A1" i="3"/>
  <c r="B195" i="9"/>
  <c r="B103" i="9"/>
  <c r="M151" i="9"/>
  <c r="L227" i="9"/>
  <c r="I17" i="9"/>
  <c r="B166" i="9"/>
  <c r="H100" i="9"/>
  <c r="A61" i="9"/>
  <c r="M129" i="9"/>
  <c r="L32" i="9"/>
  <c r="I215" i="9"/>
  <c r="K261" i="9"/>
  <c r="E253" i="9"/>
  <c r="K185" i="9"/>
  <c r="B4" i="9"/>
  <c r="I77" i="9"/>
  <c r="E111" i="9"/>
  <c r="G67" i="9"/>
  <c r="J170" i="9"/>
  <c r="L9" i="9"/>
  <c r="C51" i="9"/>
  <c r="M87" i="9"/>
  <c r="E88" i="9"/>
  <c r="E16" i="3"/>
  <c r="G76" i="9"/>
  <c r="H112" i="9"/>
  <c r="J46" i="9"/>
  <c r="M357" i="9"/>
  <c r="L101" i="9"/>
  <c r="I37" i="9"/>
  <c r="D142" i="9"/>
  <c r="E257" i="9"/>
  <c r="I179" i="9"/>
  <c r="J98" i="9"/>
  <c r="J183" i="9"/>
  <c r="G175" i="9"/>
  <c r="A209" i="9"/>
  <c r="B118" i="9"/>
  <c r="C133" i="9"/>
  <c r="J16" i="9"/>
  <c r="B6" i="9"/>
  <c r="C117" i="9"/>
  <c r="M127" i="9"/>
  <c r="H173" i="9"/>
  <c r="I110" i="9"/>
  <c r="A231" i="9"/>
  <c r="I282" i="9"/>
  <c r="M68" i="9"/>
  <c r="G39" i="9"/>
  <c r="G44" i="9"/>
  <c r="L459" i="9"/>
  <c r="J311" i="9"/>
  <c r="K234" i="9"/>
  <c r="F305" i="9"/>
  <c r="G13" i="9"/>
  <c r="H25" i="9"/>
  <c r="M175" i="9"/>
  <c r="I46" i="9"/>
  <c r="C14" i="3"/>
  <c r="M217" i="9"/>
  <c r="A210" i="9"/>
  <c r="K1" i="9"/>
  <c r="I58" i="9"/>
  <c r="A2" i="3"/>
  <c r="B26" i="9"/>
  <c r="M124" i="9"/>
  <c r="G197" i="9"/>
  <c r="C181" i="9"/>
  <c r="F170" i="9"/>
  <c r="E251" i="9"/>
  <c r="I102" i="9"/>
  <c r="I204" i="9"/>
  <c r="L86" i="9"/>
  <c r="A88" i="9"/>
  <c r="K13" i="9"/>
  <c r="F178" i="9"/>
  <c r="F9" i="3"/>
  <c r="K69" i="9"/>
  <c r="G14" i="9"/>
  <c r="D256" i="9"/>
  <c r="A7" i="6"/>
  <c r="D14" i="6"/>
  <c r="G23" i="9"/>
  <c r="I132" i="9"/>
  <c r="K101" i="9"/>
  <c r="A151" i="9"/>
  <c r="G248" i="9"/>
  <c r="M77" i="9"/>
  <c r="M9" i="9"/>
  <c r="A115" i="9"/>
  <c r="D547" i="9"/>
  <c r="E437" i="9"/>
  <c r="I270" i="9"/>
  <c r="A275" i="9"/>
  <c r="J216" i="9"/>
  <c r="B475" i="9"/>
  <c r="C199" i="9"/>
  <c r="C186" i="9"/>
  <c r="F244" i="9"/>
  <c r="H146" i="9"/>
  <c r="M37" i="9"/>
  <c r="I359" i="9"/>
  <c r="H31" i="9"/>
  <c r="H259" i="9"/>
  <c r="E25" i="9"/>
  <c r="J252" i="9"/>
  <c r="M347" i="9"/>
  <c r="F336" i="9"/>
  <c r="H184" i="9"/>
  <c r="H310" i="9"/>
  <c r="H124" i="9"/>
  <c r="L284" i="9"/>
  <c r="M99" i="9"/>
  <c r="L149" i="9"/>
  <c r="J400" i="9"/>
  <c r="J313" i="9"/>
  <c r="F183" i="9"/>
  <c r="I267" i="9"/>
  <c r="C177" i="9"/>
  <c r="A247" i="9"/>
  <c r="G170" i="9"/>
  <c r="M210" i="9"/>
  <c r="A127" i="9"/>
  <c r="H227" i="9"/>
  <c r="K9" i="9"/>
  <c r="D100" i="9"/>
  <c r="F9" i="6"/>
  <c r="B321" i="9"/>
  <c r="F134" i="9"/>
  <c r="K24" i="9"/>
  <c r="E140" i="9"/>
  <c r="D23" i="9"/>
  <c r="H2" i="9"/>
  <c r="F5" i="6"/>
  <c r="C31" i="9"/>
  <c r="E174" i="9"/>
  <c r="C200" i="9"/>
  <c r="E244" i="9"/>
  <c r="I234" i="9"/>
  <c r="L237" i="9"/>
  <c r="B15" i="9"/>
  <c r="F122" i="9"/>
  <c r="B16" i="6"/>
  <c r="D135" i="9"/>
  <c r="H12" i="9"/>
  <c r="B38" i="9"/>
  <c r="E79" i="9"/>
  <c r="E66" i="9"/>
  <c r="L379" i="9"/>
  <c r="B16" i="3"/>
  <c r="A6" i="3"/>
  <c r="J12" i="9"/>
  <c r="D320" i="9"/>
  <c r="D69" i="9"/>
  <c r="L39" i="9"/>
  <c r="B155" i="9"/>
  <c r="E38" i="9"/>
  <c r="L17" i="9"/>
  <c r="F11" i="9"/>
  <c r="A91" i="9"/>
  <c r="F377" i="9"/>
  <c r="F35" i="9"/>
  <c r="I18" i="9"/>
  <c r="J433" i="9"/>
  <c r="A17" i="9"/>
  <c r="B6" i="6"/>
  <c r="A10" i="3"/>
  <c r="D15" i="9"/>
  <c r="L172" i="9"/>
  <c r="E103" i="9"/>
  <c r="D8" i="6"/>
  <c r="B10" i="3"/>
  <c r="D4" i="6"/>
  <c r="C47" i="9"/>
  <c r="D82" i="9"/>
  <c r="G26" i="9"/>
  <c r="G90" i="9"/>
  <c r="E9" i="6"/>
  <c r="G42" i="9"/>
  <c r="D17" i="9"/>
  <c r="F360" i="9"/>
  <c r="E48" i="9"/>
  <c r="F115" i="9"/>
  <c r="B113" i="9"/>
  <c r="L113" i="9"/>
  <c r="C32" i="9"/>
  <c r="G137" i="9"/>
  <c r="M107" i="9"/>
  <c r="C260" i="9"/>
  <c r="M121" i="9"/>
  <c r="G94" i="9"/>
  <c r="C92" i="9"/>
  <c r="M92" i="9"/>
  <c r="F15" i="6"/>
  <c r="L52" i="9"/>
  <c r="F23" i="9"/>
  <c r="B17" i="9"/>
  <c r="C14" i="6"/>
  <c r="K197" i="9"/>
  <c r="D6" i="3"/>
  <c r="A353" i="9"/>
  <c r="M36" i="9"/>
  <c r="D121" i="9"/>
  <c r="K123" i="9"/>
  <c r="C4" i="9"/>
  <c r="F8" i="9"/>
  <c r="G7" i="3"/>
  <c r="E154" i="9"/>
  <c r="M144" i="9"/>
  <c r="B143" i="9"/>
  <c r="A63" i="9"/>
  <c r="F176" i="9"/>
  <c r="L56" i="9"/>
  <c r="D136" i="9"/>
  <c r="F110" i="9"/>
  <c r="C3" i="9"/>
  <c r="J14" i="9"/>
  <c r="C4" i="6"/>
  <c r="G261" i="9"/>
  <c r="C222" i="9"/>
  <c r="J103" i="9"/>
  <c r="F103" i="9"/>
  <c r="M48" i="9"/>
  <c r="H89" i="9"/>
  <c r="B58" i="9"/>
  <c r="J163" i="9"/>
  <c r="D87" i="9"/>
  <c r="B171" i="9"/>
  <c r="D47" i="9"/>
  <c r="F127" i="9"/>
  <c r="G48" i="9"/>
  <c r="I6" i="9"/>
  <c r="F50" i="9"/>
  <c r="A87" i="9"/>
  <c r="H12" i="3"/>
  <c r="L10" i="9"/>
  <c r="L25" i="9"/>
  <c r="C10" i="6"/>
  <c r="H17" i="9"/>
  <c r="G11" i="3"/>
  <c r="G125" i="9"/>
  <c r="L238" i="9"/>
  <c r="G117" i="9"/>
  <c r="D259" i="9"/>
  <c r="E58" i="9"/>
  <c r="L117" i="9"/>
  <c r="H115" i="9"/>
  <c r="E116" i="9"/>
  <c r="C42" i="9"/>
  <c r="B173" i="9"/>
  <c r="K117" i="9"/>
  <c r="K20" i="9"/>
  <c r="J58" i="9"/>
  <c r="L115" i="9"/>
  <c r="L11" i="9"/>
  <c r="E10" i="9"/>
  <c r="H14" i="9"/>
  <c r="F1" i="6"/>
  <c r="A123" i="9"/>
  <c r="C250" i="9"/>
  <c r="H1" i="3"/>
  <c r="H157" i="9"/>
  <c r="C15" i="6"/>
  <c r="D148" i="9"/>
  <c r="E97" i="9"/>
  <c r="K86" i="9"/>
  <c r="F27" i="9"/>
  <c r="F146" i="9"/>
  <c r="E87" i="9"/>
  <c r="C15" i="3"/>
  <c r="E364" i="9"/>
  <c r="H189" i="9"/>
  <c r="F144" i="9"/>
  <c r="M224" i="9"/>
  <c r="J280" i="9"/>
  <c r="F148" i="9"/>
  <c r="A25" i="9"/>
  <c r="M406" i="9"/>
  <c r="E367" i="9"/>
  <c r="I341" i="9"/>
  <c r="L181" i="9"/>
  <c r="L170" i="9"/>
  <c r="I222" i="9"/>
  <c r="J39" i="9"/>
  <c r="I377" i="9"/>
  <c r="I23" i="9"/>
  <c r="G200" i="9"/>
  <c r="A233" i="9"/>
  <c r="G95" i="9"/>
  <c r="L24" i="9"/>
  <c r="E99" i="9"/>
  <c r="J38" i="9"/>
  <c r="E1" i="6"/>
  <c r="C34" i="9"/>
  <c r="C109" i="9"/>
  <c r="K122" i="9"/>
  <c r="L48" i="9"/>
  <c r="E89" i="9"/>
  <c r="B5" i="3"/>
  <c r="G16" i="3"/>
  <c r="J150" i="9"/>
  <c r="F120" i="9"/>
  <c r="A51" i="9"/>
  <c r="A1" i="6"/>
  <c r="F191" i="9"/>
  <c r="F1" i="3"/>
  <c r="H8" i="3"/>
  <c r="I144" i="9"/>
  <c r="F187" i="9"/>
  <c r="B178" i="9"/>
  <c r="K73" i="9"/>
  <c r="F4" i="3"/>
  <c r="M102" i="9"/>
  <c r="F182" i="9"/>
  <c r="I47" i="9"/>
  <c r="J130" i="9"/>
  <c r="B4" i="3"/>
  <c r="G32" i="9"/>
  <c r="E2" i="6"/>
  <c r="K500" i="9"/>
  <c r="C115" i="9"/>
  <c r="H206" i="9"/>
  <c r="F117" i="9"/>
  <c r="E130" i="9"/>
  <c r="A11" i="9"/>
  <c r="G34" i="9"/>
  <c r="A214" i="9"/>
  <c r="K125" i="9"/>
  <c r="B158" i="9"/>
  <c r="E42" i="9"/>
  <c r="I167" i="9"/>
  <c r="C272" i="9"/>
  <c r="D432" i="9"/>
  <c r="I287" i="9"/>
  <c r="I259" i="9"/>
  <c r="D212" i="9"/>
  <c r="H397" i="9"/>
  <c r="D197" i="9"/>
  <c r="E184" i="9"/>
  <c r="J247" i="9"/>
  <c r="A336" i="9"/>
  <c r="L36" i="9"/>
  <c r="G324" i="9"/>
  <c r="F30" i="9"/>
  <c r="C310" i="9"/>
  <c r="D24" i="9"/>
  <c r="C12" i="9"/>
  <c r="M221" i="9"/>
  <c r="F284" i="9"/>
  <c r="C309" i="9"/>
  <c r="M272" i="9"/>
  <c r="L245" i="9"/>
  <c r="C264" i="9"/>
  <c r="B220" i="9"/>
  <c r="A148" i="9"/>
  <c r="J481" i="9"/>
  <c r="I190" i="9"/>
  <c r="H66" i="9"/>
  <c r="C184" i="9"/>
  <c r="F60" i="9"/>
  <c r="A178" i="9"/>
  <c r="D54" i="9"/>
  <c r="I210" i="9"/>
  <c r="D161" i="9"/>
  <c r="I80" i="9"/>
  <c r="E6" i="3"/>
  <c r="D14" i="9"/>
  <c r="B7" i="9"/>
  <c r="M277" i="9"/>
  <c r="F256" i="9"/>
  <c r="H105" i="9"/>
  <c r="D103" i="9"/>
  <c r="A104" i="9"/>
  <c r="J11" i="9"/>
  <c r="C97" i="9"/>
  <c r="H68" i="9"/>
  <c r="G207" i="9"/>
  <c r="H82" i="9"/>
  <c r="I84" i="9"/>
  <c r="E82" i="9"/>
  <c r="B83" i="9"/>
  <c r="E10" i="3"/>
  <c r="M16" i="9"/>
  <c r="H9" i="9"/>
  <c r="J213" i="9"/>
  <c r="C5" i="9"/>
  <c r="M112" i="9"/>
  <c r="A244" i="9"/>
  <c r="A221" i="9"/>
  <c r="F95" i="9"/>
  <c r="B3" i="9"/>
  <c r="J62" i="9"/>
  <c r="G33" i="9"/>
  <c r="B407" i="9"/>
  <c r="C68" i="9"/>
  <c r="E120" i="9"/>
  <c r="A118" i="9"/>
  <c r="K118" i="9"/>
  <c r="H52" i="9"/>
  <c r="D214" i="9"/>
  <c r="I127" i="9"/>
  <c r="I366" i="9"/>
  <c r="K153" i="9"/>
  <c r="F99" i="9"/>
  <c r="B97" i="9"/>
  <c r="L97" i="9"/>
  <c r="H5" i="9"/>
  <c r="H72" i="9"/>
  <c r="G43" i="9"/>
  <c r="H92" i="9"/>
  <c r="I24" i="9"/>
  <c r="M343" i="9"/>
  <c r="M316" i="9"/>
  <c r="G98" i="9"/>
  <c r="F7" i="3"/>
  <c r="I232" i="9"/>
  <c r="C278" i="9"/>
  <c r="G149" i="9"/>
  <c r="G219" i="9"/>
  <c r="I79" i="9"/>
  <c r="J359" i="9"/>
  <c r="I165" i="9"/>
  <c r="C49" i="9"/>
  <c r="B36" i="9"/>
  <c r="J33" i="9"/>
  <c r="H34" i="9"/>
  <c r="A99" i="9"/>
  <c r="D363" i="9"/>
  <c r="I7" i="9"/>
  <c r="H242" i="9"/>
  <c r="E2" i="9"/>
  <c r="H215" i="9"/>
  <c r="H319" i="9"/>
  <c r="J189" i="9"/>
  <c r="J265" i="9"/>
  <c r="G89" i="9"/>
  <c r="L356" i="9"/>
  <c r="L134" i="9"/>
  <c r="J63" i="9"/>
  <c r="B188" i="9"/>
  <c r="F8" i="3"/>
  <c r="F28" i="9"/>
  <c r="K161" i="9"/>
  <c r="K182" i="9"/>
  <c r="I44" i="9"/>
  <c r="A40" i="9"/>
  <c r="C18" i="9"/>
  <c r="I115" i="9"/>
  <c r="A325" i="9"/>
  <c r="L27" i="9"/>
  <c r="M69" i="9"/>
  <c r="D185" i="9"/>
  <c r="F68" i="9"/>
  <c r="B134" i="9"/>
  <c r="J198" i="9"/>
  <c r="E232" i="9"/>
  <c r="J74" i="9"/>
  <c r="H6" i="9"/>
  <c r="J214" i="9"/>
  <c r="K183" i="9"/>
  <c r="A140" i="9"/>
  <c r="J139" i="9"/>
  <c r="C138" i="9"/>
  <c r="C282" i="9"/>
  <c r="L69" i="9"/>
  <c r="C8" i="9"/>
  <c r="D255" i="9"/>
  <c r="H67" i="9"/>
  <c r="D126" i="9"/>
  <c r="M26" i="9"/>
  <c r="J107" i="9"/>
  <c r="B28" i="9"/>
  <c r="C4" i="3"/>
  <c r="D6" i="9"/>
  <c r="G15" i="9"/>
  <c r="F48" i="9"/>
  <c r="H11" i="3"/>
  <c r="B15" i="6"/>
  <c r="M111" i="9"/>
  <c r="B182" i="9"/>
  <c r="J86" i="9"/>
  <c r="F46" i="9"/>
  <c r="E83" i="9"/>
  <c r="B9" i="3"/>
  <c r="F195" i="9"/>
  <c r="B59" i="9"/>
  <c r="H38" i="9"/>
  <c r="D36" i="9"/>
  <c r="A37" i="9"/>
  <c r="D116" i="9"/>
  <c r="D8" i="3"/>
  <c r="B18" i="9"/>
  <c r="B13" i="3"/>
  <c r="G118" i="9"/>
  <c r="J52" i="9"/>
  <c r="F167" i="9"/>
  <c r="C65" i="9"/>
  <c r="M40" i="9"/>
  <c r="F61" i="9"/>
  <c r="A86" i="9"/>
  <c r="D13" i="9"/>
  <c r="F177" i="9"/>
  <c r="A305" i="9"/>
  <c r="L192" i="9"/>
  <c r="H154" i="9"/>
  <c r="D31" i="9"/>
  <c r="A393" i="9"/>
  <c r="E123" i="9"/>
  <c r="M67" i="9"/>
  <c r="A269" i="9"/>
  <c r="G177" i="9"/>
  <c r="M168" i="9"/>
  <c r="C101" i="9"/>
  <c r="B239" i="9"/>
  <c r="M25" i="9"/>
  <c r="F24" i="9"/>
  <c r="K133" i="9"/>
  <c r="G198" i="9"/>
  <c r="A111" i="9"/>
  <c r="B50" i="9"/>
  <c r="A2" i="9"/>
  <c r="G1" i="9"/>
  <c r="C3" i="3"/>
  <c r="M185" i="9"/>
  <c r="A41" i="9"/>
  <c r="J138" i="9"/>
  <c r="J274" i="9"/>
  <c r="B408" i="9"/>
  <c r="C3" i="6"/>
  <c r="D207" i="9"/>
  <c r="A9" i="9"/>
  <c r="E139" i="9"/>
  <c r="B4" i="6"/>
  <c r="I48" i="9"/>
  <c r="J112" i="9"/>
  <c r="C8" i="6"/>
  <c r="D122" i="9"/>
  <c r="K91" i="9"/>
  <c r="E15" i="9"/>
  <c r="K40" i="9"/>
  <c r="H216" i="9"/>
  <c r="C77" i="9"/>
  <c r="D194" i="9"/>
  <c r="D322" i="9"/>
  <c r="E12" i="9"/>
  <c r="D314" i="9"/>
  <c r="B101" i="9"/>
  <c r="C50" i="9"/>
  <c r="J172" i="9"/>
  <c r="G259" i="9"/>
  <c r="E3" i="6"/>
  <c r="K211" i="9"/>
  <c r="E5" i="9"/>
  <c r="K56" i="9"/>
  <c r="B3" i="6"/>
  <c r="L43" i="9"/>
  <c r="B131" i="9"/>
  <c r="B1" i="3"/>
  <c r="M131" i="9"/>
  <c r="L64" i="9"/>
  <c r="C62" i="9"/>
  <c r="A18" i="9"/>
  <c r="H208" i="9"/>
  <c r="I8" i="3" l="1"/>
  <c r="J8" i="3" s="1"/>
  <c r="I6" i="3"/>
  <c r="J6" i="3" s="1"/>
  <c r="I4" i="3"/>
  <c r="J4" i="3" s="1"/>
  <c r="I14" i="3"/>
  <c r="J14" i="3" s="1"/>
  <c r="I11" i="3"/>
  <c r="J11" i="3" s="1"/>
  <c r="I12" i="3"/>
  <c r="J12" i="3" s="1"/>
  <c r="I7" i="3"/>
  <c r="J7" i="3" s="1"/>
  <c r="I16" i="3"/>
  <c r="J16" i="3" s="1"/>
  <c r="I15" i="3"/>
  <c r="J15" i="3" s="1"/>
  <c r="I10" i="3"/>
  <c r="J10" i="3" s="1"/>
  <c r="J3" i="3"/>
  <c r="I5" i="3"/>
  <c r="J5" i="3" s="1"/>
  <c r="I13" i="3"/>
  <c r="J13" i="3" s="1"/>
  <c r="I9" i="3"/>
  <c r="J9" i="3" s="1"/>
  <c r="J2" i="3"/>
</calcChain>
</file>

<file path=xl/sharedStrings.xml><?xml version="1.0" encoding="utf-8"?>
<sst xmlns="http://schemas.openxmlformats.org/spreadsheetml/2006/main" count="879" uniqueCount="342">
  <si>
    <t>Formato de Matriz de Indicadores de Resultados</t>
  </si>
  <si>
    <t>Ejercicio Fiscal 2023</t>
  </si>
  <si>
    <t>Programas Presupuestarios</t>
  </si>
  <si>
    <t>MUNICIPIO</t>
  </si>
  <si>
    <t>GUADALAJARA</t>
  </si>
  <si>
    <t>DENOMINACIÓN DEL PROGRAMA</t>
  </si>
  <si>
    <t>2. Juventudes y Apoyo a la Niñez</t>
  </si>
  <si>
    <t></t>
  </si>
  <si>
    <t>CATEGORÍA PROGRAMÁTICA</t>
  </si>
  <si>
    <t>E. Prestación de Servicios Públicos.</t>
  </si>
  <si>
    <t>UNIDAD RESPONSABLE/OPD</t>
  </si>
  <si>
    <t xml:space="preserve">Jefatura de Gabinete </t>
  </si>
  <si>
    <t>FINALIDAD</t>
  </si>
  <si>
    <t>2. Desarrollo Social</t>
  </si>
  <si>
    <t>FUNCIÓN</t>
  </si>
  <si>
    <t>2.6. Protección social</t>
  </si>
  <si>
    <t>SUB-FUNCIÓN</t>
  </si>
  <si>
    <t>2.6.8 Otros Grupos Vulnerables</t>
  </si>
  <si>
    <t>PLAN NACIONAL DE DESARROLLO</t>
  </si>
  <si>
    <t>ALINEACIÓN CON LOS EJES DEL PND</t>
  </si>
  <si>
    <t>EJE 2. Bienestar</t>
  </si>
  <si>
    <t>ALINEACIÓN CON OBJETIVOS  DEL PND</t>
  </si>
  <si>
    <t>2.1 Brindar atención prioritaria a grupos históricamente discriminados
mediante acciones que permitan reducir las brechas de
desigualdad sociales y territoriales</t>
  </si>
  <si>
    <t>PLAN ESTATAL DE DESARROLLO</t>
  </si>
  <si>
    <t>ALINEACIÓN CON LOS EJES DEL PED</t>
  </si>
  <si>
    <t>Desarrollo Social</t>
  </si>
  <si>
    <t>ALINEACIÓN CON OBJETIVOS DE RESULTADO DEL PED</t>
  </si>
  <si>
    <t>2.4 Grupos Prioritarios</t>
  </si>
  <si>
    <t>PLAN MUNICIPAL DE DESARROLLO</t>
  </si>
  <si>
    <t>ALINEACIÓN CON LOS EJES DEL PMDyG</t>
  </si>
  <si>
    <t>8.- E.T. 2 Derechos Humanos</t>
  </si>
  <si>
    <t>ALINEACIÓN CON OBJETIVOS DEL PMDyG</t>
  </si>
  <si>
    <t>O2. Ejecutar programas sociales estatégicos que impulsen la innovación social responsable e incluyente, para garantizar un crecimiento equitativo, equilibrado y sostenible.</t>
  </si>
  <si>
    <t xml:space="preserve">ESTRATEGIA </t>
  </si>
  <si>
    <t xml:space="preserve"> Establecer políticas y programas públicos con participación social y ciudadana que promuevan el goce y ejercicio de los derechos humanos de los menores</t>
  </si>
  <si>
    <t>LINEA DE ACCIÓN</t>
  </si>
  <si>
    <t xml:space="preserve"> Fortalecer y consolidar el Sistema Municipal de Protección Integral de Niñas, Niños y Adolescentes del municipio de Guadalajara (SIPINNA)</t>
  </si>
  <si>
    <t xml:space="preserve">EJES ESTRATÉGICOS DEL SISTEMA DIF GUADALAJARA </t>
  </si>
  <si>
    <t xml:space="preserve">Guadalajara Capital de las Niñas y los Niños </t>
  </si>
  <si>
    <t>IMPORTE</t>
  </si>
  <si>
    <t>mes</t>
  </si>
  <si>
    <t>POBLACIÓN BENEFICIARIA POR BIEN Y/O SERVICIO</t>
  </si>
  <si>
    <t>RESUMEN NARRATIVO</t>
  </si>
  <si>
    <t>OBJETIVOS DE RESULTADO</t>
  </si>
  <si>
    <t>NOMBRE DEL INDICADOR</t>
  </si>
  <si>
    <t>DEFINICIÓN</t>
  </si>
  <si>
    <t>DIMENSIÓN</t>
  </si>
  <si>
    <t>TIPO</t>
  </si>
  <si>
    <t>MÉTODO DE CÁLCULO</t>
  </si>
  <si>
    <t>VARIABLE 1 (NUMERADOR)</t>
  </si>
  <si>
    <t>VARIABLE 2 (DENOMINADOR)</t>
  </si>
  <si>
    <t>FRECUENCIA DE MEDICIÓN</t>
  </si>
  <si>
    <t>UNIDAD DE MEDIDA</t>
  </si>
  <si>
    <t>LINEA BASE</t>
  </si>
  <si>
    <t>META PROGRAMADA</t>
  </si>
  <si>
    <t>META ALCANZADA</t>
  </si>
  <si>
    <t>FUENTES DE INFORMACIÓN Y MEDIOS DE VERIFICACIÓN</t>
  </si>
  <si>
    <t>SUPUESTOS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</si>
  <si>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</si>
  <si>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</si>
  <si>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</si>
  <si>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</si>
  <si>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</si>
  <si>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</si>
  <si>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</si>
  <si>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</si>
  <si>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</si>
  <si>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</si>
  <si>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</si>
  <si>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</si>
  <si>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Acumulado total</t>
  </si>
  <si>
    <t>Meta alcanzada</t>
  </si>
  <si>
    <t>FIN</t>
  </si>
  <si>
    <t>Se restituyeron los derechos de las Niñas, Niños y Adolescentes de Guadalajara que tenían algún riesgo psicosocial y se les previno de otros riesgos y/o violencias, en 2023</t>
  </si>
  <si>
    <t>Porcentaje de Niñas, Niños y Adolescentes a quienes se les brindó algún servicio que protege o restituye alguno de sus derechos, en 2023</t>
  </si>
  <si>
    <t>Mide el porcentaje de Niñas, Niños y Adolescentes a quienes se les brindó algún servicio que protege o restituye alguno de sus derechos, con respecto a la meta establecida en el 2023</t>
  </si>
  <si>
    <t>Eficacia</t>
  </si>
  <si>
    <t>Estratégico</t>
  </si>
  <si>
    <t>(Número de personas atendidas en servicios para la procuración del derecho a la convivencia + Número de niñas, niños, adolescentes y sus cuidadores que recibieron raciones y apoyos asistenciales + Número de niñas, niños y adolescentes del municipio de Guadalajara que durante el año les fue restituido al menos un derecho / Número meta de personas atendidas en servicios para la procuración del derecho a la convivencia + Número meta de niñas, niños, adolescentes y sus cuidadores que recibieron raciones y apoyos asistenciales + Número meta de niñas, niños y adolescentes del municipio de Guadalajara que durante el año les fue restituido al menos un derecho, establecido como meta del año 2023)*100</t>
  </si>
  <si>
    <t>Número de personas atendidas en servicios para la procuración del derecho a la convivencia + Número de niñas, niños, adolescentes y sus cuidadores que recibieron raciones y apoyos asistenciales + Número de niñas, niños y adolescentes del municipio de Guadalajara que durante el año les fue restituido al menos un derecho</t>
  </si>
  <si>
    <t xml:space="preserve"> Número meta de personas atendidas en servicios para la procuración del derecho a la convivencia + Número meta de niñas, niños, adolescentes y sus cuidadores que recibieron raciones y apoyos asistenciales + Número meta de niñas, niños y adolescentes del municipio de Guadalajara que durante el año les fue restituido al menos un derecho, establecido como meta del año 2023</t>
  </si>
  <si>
    <t>Anual</t>
  </si>
  <si>
    <t>Porcentaje</t>
  </si>
  <si>
    <t>No disponible</t>
  </si>
  <si>
    <t>V1: Registros de atención
V2:Bitácoras de entrega
 V3: Expedientes</t>
  </si>
  <si>
    <t>Los diversos grupos sociales, educativos, familiares y públicos,trabajan en colaboración para el cuidado de los derechos de las Niñas, Niños y Adolescentes, por lo cual ponen los medios necesarios para protegerlos y/o restituirlos.</t>
  </si>
  <si>
    <t>PROPÓSITO</t>
  </si>
  <si>
    <t>Niñas, niños y adolescentes del municipio de Guadalajara con vulneración de derechos o riesgos psicosociales atendidos integralmente y con mejoras en sus condiciones de vida, en 2023</t>
  </si>
  <si>
    <t>Porcentaje de expedientes de NNA con planes de restitución, atenciones o actividades de prevención realizadas en 2023</t>
  </si>
  <si>
    <t>Mide el porcentaje de expedientes de NNA con planes de restitución, atenciones o actividades de prevención realizadas respecto de la meta planteada</t>
  </si>
  <si>
    <t>Número total de servicios brindados a NNA en los servicios de los programas del eje Guadalajara Capital de NNA / Número de servicios a NNA en los programas del eje Guadalajara Capital de NNA programados *100</t>
  </si>
  <si>
    <t xml:space="preserve">Número total de servicios brindados a NNA en los servicios de los programas del eje Guadalajara Capital de NNA </t>
  </si>
  <si>
    <t>Número de servicios a NNA en los programas del eje Guadalajara Capital de NNA programados</t>
  </si>
  <si>
    <t xml:space="preserve">V1:Expedientes, 
V2:valoraciones, 
V3:listas de asistencia, 
V4:padrones, 
V5:documentos de canalización o derivación </t>
  </si>
  <si>
    <t xml:space="preserve"> El entorno social y familia de las niñas, niños y adolescentes del municipio de Guadalajara se interesan por propiciar el cuidado de sus derechos.</t>
  </si>
  <si>
    <t>03. Niños</t>
  </si>
  <si>
    <t>COMPONENTE 1</t>
  </si>
  <si>
    <t>Servicios brindados por el sistema DIF para la restitución del derecho a la sana convivencia entre padres, madres e hijas o hijos, en 2023</t>
  </si>
  <si>
    <t>Porcentaje de servicios a niñas, niños y adolescentes, y a sus progenitores que logran la convivencia en 2023</t>
  </si>
  <si>
    <t>Mide el porcentaje de servicios brindados a NNA y progenitores que lograron al menos una convivencia en 2023.</t>
  </si>
  <si>
    <t>(Número de convivencias supervisadas + número de entregas recepción durante el 2023/ servicios programados para el 2023 )*100</t>
  </si>
  <si>
    <t>Número de convivencias supervisadas + número de entregas recepción</t>
  </si>
  <si>
    <t xml:space="preserve">Convivencias supervisadas y número de entregas-recepción programadas </t>
  </si>
  <si>
    <t>Mensual</t>
  </si>
  <si>
    <t>Expediente</t>
  </si>
  <si>
    <t>Los progenitores estás interesados en convivir con sus hijas e hijos.</t>
  </si>
  <si>
    <t>ACTIVIDAD 1.1</t>
  </si>
  <si>
    <t>Convivencias supervisadas de NNA y padres, madres o cuidadores en CECOFAM en 2023</t>
  </si>
  <si>
    <t>Porcentaje de convivencias supervisadas realizadas de NNA y padres, madres o cuidadores en 2023</t>
  </si>
  <si>
    <t>Mide el porcentaje de convivencias supervisadas de NNA y padres, madres o cuidadores por CECOFAM en 2023</t>
  </si>
  <si>
    <t>Gestión</t>
  </si>
  <si>
    <t>(Número de convivencias supervisadas durante 2023/ convivencias supervisadas programadas para el 2023 )*100</t>
  </si>
  <si>
    <t>Número de convivencias supervisadas en 2023</t>
  </si>
  <si>
    <t xml:space="preserve">convivencias supervisadas programadas </t>
  </si>
  <si>
    <t>Bitácora de supervisión de las convivencias entre las/los NNA y sus progenitores</t>
  </si>
  <si>
    <t>Los cuidadores están interesados en tener otro tipo de convivencias con las niñas, niños y/o adolescentes.</t>
  </si>
  <si>
    <t>ACTIVIDAD 1.2</t>
  </si>
  <si>
    <t>Servicio de entrega recepción de NNA realizado en 2023</t>
  </si>
  <si>
    <t>Porcentaje de servicios de entrega  y recepción de NNA en CECOFAM en 2023</t>
  </si>
  <si>
    <t>Mide el porcentaje de entregas y recepciones de NNA a padres, madres o cuidadores en 2023</t>
  </si>
  <si>
    <t>(Número de entregas recepción de NNA con padres, madres o cuidadores durante el 2023 / entregas recepción programadas para el 2023)*100</t>
  </si>
  <si>
    <t>Número de entregas recepción de NNA con custodio y conviviente en 2023</t>
  </si>
  <si>
    <t>entregas recepción programadas</t>
  </si>
  <si>
    <t>Bitácora de supervisión de las convivencias entre las/los NNA y sus padres, madres o cuidadores</t>
  </si>
  <si>
    <t>Los cuidadores cuentan con los medios necesarios para estar con niñas, niños y/o adolescentes.</t>
  </si>
  <si>
    <t>COMPONENTE 2</t>
  </si>
  <si>
    <t xml:space="preserve">Servicios brindados a niñas, niños y adolescentes con riesgo psicosocial en 2023
</t>
  </si>
  <si>
    <t>Porcentaje de servicios brindados a NNA en el programa de prevención, atención y acompañamiento de NNA en situación de riesgo y violencias en 2023</t>
  </si>
  <si>
    <t xml:space="preserve">Mide el porcentaje de los servicios brindados a NNA en 2023 con respecto a la meta anual </t>
  </si>
  <si>
    <t>(Número de los servicios brindados a NNA durante 2023/ servicios a NNA establecidos como meta anual para el 2023) *100</t>
  </si>
  <si>
    <t>Número de los servicios brindados a NNA en 2023</t>
  </si>
  <si>
    <t>servicios a NNA establecidos como meta anual</t>
  </si>
  <si>
    <t>V1:Fotografía y listas de asistencia, 
V2:bitácora de entrega, 
V3: expediente</t>
  </si>
  <si>
    <t>Las/los NNA o sus padres, madres o tutores aceptan los servicios de prevención o atención que ofrece el Sistema DIF Guadalajara.</t>
  </si>
  <si>
    <t>ACTIVIDAD 2.1</t>
  </si>
  <si>
    <t>Sesiones impartidas en promoción de derechos de Niñas, Niños y Adolescentes, en 2023</t>
  </si>
  <si>
    <t>Porcentaje de sesiones de talleres impartidos para NNA en 2023</t>
  </si>
  <si>
    <t>Mide el porcentaje de sesiones de taller impartidos a Niñas, Niños y adolescentes, con respecto a la meta establecida para el 2023</t>
  </si>
  <si>
    <t>(Número de sesiones de  talleres realizados durante 2023/ número de sesiones de talleres programados para el 2023)*100</t>
  </si>
  <si>
    <t xml:space="preserve">Número de sesiones de  talleres realizados </t>
  </si>
  <si>
    <t>Número de sesiones de talleres programados para 2023</t>
  </si>
  <si>
    <t>V1:Fotografía 
V2:listas de asistencia</t>
  </si>
  <si>
    <t>Las instituciones públicas y privadas están interesadas y ponen los medios necesarios para fomentar la promoción de los derechos de NNA.</t>
  </si>
  <si>
    <t>ACTIVIDAD 2.2</t>
  </si>
  <si>
    <t>Raciones alimentarias entregadas para Niñas, Niños y Adolescentes, y sus  cuidadores, en 2023</t>
  </si>
  <si>
    <t>Porcentaje de raciones entregadas a NNA y sus cuidadores, en 2023</t>
  </si>
  <si>
    <t>Mide el porcentaje de raciones entregadas a Niñas, Niños y adolescentes, y sus cuidadores, con respecto a la meta establecida para el 2023</t>
  </si>
  <si>
    <t>(Número de raciones entregadas a NNA y sus personas cuidadoras durante el 2023/ número de raciones meta para el 2023)*100</t>
  </si>
  <si>
    <t>Número de raciones entregadas a NNA y sus personas cuidadoras</t>
  </si>
  <si>
    <t>Número de raciones meta para 2023</t>
  </si>
  <si>
    <t>Bitácora de entrega</t>
  </si>
  <si>
    <t>NNA y sus personas cuidadoras conocen y pueden ir al lugar donde pueden adquirir sus raciones alimentarias.</t>
  </si>
  <si>
    <t>ACTIVIDAD 2.3</t>
  </si>
  <si>
    <t>Apoyos asistenciales entregados a madres en etapa adolescente, en 2023</t>
  </si>
  <si>
    <t>Apoyos asistenciales entregados a madres adolescentes, en 2023</t>
  </si>
  <si>
    <t>Mire el porcentaje de apoyos asistenciales entregados a madres adolescentes, ,con respecto a la meta establecida para el 2023</t>
  </si>
  <si>
    <t>(Número de apoyos asistenciales a madres en etapa adolescente entregados en 2023 / Número de apoyos asistenciales a madres en etapa adolescente programados para 2023)*100</t>
  </si>
  <si>
    <t>Número de apoyos asistenciales a madres en etapa adolescente entregados en 2023</t>
  </si>
  <si>
    <t>Número de apoyos asistenciales a madres en etapa adolescente programados para 2023</t>
  </si>
  <si>
    <t>Las madres adolescentes se acercan a instancias públicas buscando apoyo alimentario.</t>
  </si>
  <si>
    <t>COMPONENTE 3</t>
  </si>
  <si>
    <t>Niñas, Niños y Adolescentes del municipio de Guadalajara que recibieron servicios para la protección y restitución de sus derechos, en 2023</t>
  </si>
  <si>
    <t>Porcentaje de NNA con al menos un derecho protegido y/o restituido por la DIPNNA, en 2023</t>
  </si>
  <si>
    <t>Mide el porcentaje de Niñas, Niños y Adolescentes con al menos un derecho protegido y/o restituido por la DIPNNA, con respecto a la meta establecida para el 2023</t>
  </si>
  <si>
    <t>(Número de NNA con al menos un derecho restituido y/o protegido por la DIPPNNA durante 2023 /Número de NNA con al menos un derecho restituido y/o protegido por la DIPPNNA  programados para el 2023 )*100</t>
  </si>
  <si>
    <t xml:space="preserve">Número de NNA con al menos un derecho restituido y/o protegido por la DIPPNNA </t>
  </si>
  <si>
    <t xml:space="preserve">Número de NNA con al menos un derecho restituido y/o protegido por la DIPPNNA  programados para el 2023 </t>
  </si>
  <si>
    <t>Expedientes</t>
  </si>
  <si>
    <t>Instituciones públicas y ciudadanos del municipio de Guadalajara derivan, o bien dan a conocer los casos de niñas, niños y adolescentes cuyos derechos están siendo vulnerados.</t>
  </si>
  <si>
    <t>ACTIVIDAD 3.1</t>
  </si>
  <si>
    <t>Nuevas medidas de protección dictadas y atendidas, en 2023</t>
  </si>
  <si>
    <t>Porcentaje de NNA a los que se les dio seguimientos en las nuevas medidas de protección dictadas en 2023</t>
  </si>
  <si>
    <t>Mide el porcentaje de Niñas, Niños y Adolescentes a los que se les dio seguimiento en las nuevas medidas de protección dictadas en 2023, con respecto a la meta establecida para el 2023</t>
  </si>
  <si>
    <t>(Número de nuevas atenciones realizadas a medidas de protección dictadas por DIPPNNA Guadalajara o Fiscalía en 2023 / Número de nuevas atenciones a medidas de protección dictadas por la DIPPNNA Guadalajara o Fiscalía programadas para 2023)*100</t>
  </si>
  <si>
    <t>Número de nuevas atenciones realizadas a medidas de protección dictadas por DIPPNNA Guadalajara o Fiscalía en 2023</t>
  </si>
  <si>
    <t xml:space="preserve"> Número de nuevas atenciones a medidas de protección dictadas por la DIPPNNA Guadalajara o Fiscalía programadas para 2023</t>
  </si>
  <si>
    <t>Medidas de protección</t>
  </si>
  <si>
    <t>Fiscalía proporciona medidas de manera pronta y oportuna.</t>
  </si>
  <si>
    <t xml:space="preserve">ACTIVIDAD 3.2 </t>
  </si>
  <si>
    <t>Medidas de protección dictadas que tuvieron seguimiento, en 2023</t>
  </si>
  <si>
    <t>Porcentaje de NNA a los que se les dio seguimientos en las medidas de protección dictadas, en 2023</t>
  </si>
  <si>
    <t>Mide el porcentaje de Niñas, Niños y Adolescentes a los que se les dio seguimiento en las medidas de protección dictadas, con respecto a la meta establecida para el 2023</t>
  </si>
  <si>
    <t>(Número de  seguimientos  realizados a las medidas de protección por la DIPPNNA Guadalajara 2023 / Número de  seguimientos  programados a de medidas de protección por la DIPPNNA Guadalajara 2023</t>
  </si>
  <si>
    <t>Número de  seguimientos  realizados a las medidas de protección por la DIPPNNA Guadalajara 2023</t>
  </si>
  <si>
    <t xml:space="preserve"> Número de  seguimientos  programados a de medidas de protección por la DIPPNNA Guadalajara 2023</t>
  </si>
  <si>
    <t>V1:Constancias  
V2:Oficios en el expediente</t>
  </si>
  <si>
    <t>Los NNA y/o sus cuidadores permanecen localizables.</t>
  </si>
  <si>
    <t>ACTIVIDAD 3.3</t>
  </si>
  <si>
    <t>Diagnósticos y planes de Restitución de Derechos  de Niñas, Niños y Adolescentes, realizados, en 2023</t>
  </si>
  <si>
    <t>Porcentaje de diagnósticos y  planes de restitución de derechos realizados, en 2023</t>
  </si>
  <si>
    <t>Mide el porcentaje de diagnóstico y planes de restitución de derechos realizados en 2023, con respecto a la meta establecida para el 2023</t>
  </si>
  <si>
    <t>(Número de  diagnósticos y planes de restitución realizados por la DIPNNA Guadalajara, 2023 / Número de planes de restitución programados por la DIPNNA Guadalajara, 2023) *100</t>
  </si>
  <si>
    <t>Número de diagnósticos y planes de restitución realizados por la DIPNNA Guadalajara, 2023</t>
  </si>
  <si>
    <t>Número de planes de restitución programados por la DIPNNA Guadalajara, 2023</t>
  </si>
  <si>
    <t>Diversos agentes canalizan eficazmente los casos de NNA con derechos amenazados a la DIPPNNA.</t>
  </si>
  <si>
    <t>ACTIVIDAD 3.4</t>
  </si>
  <si>
    <t>NNA integrados en familias, en 2023</t>
  </si>
  <si>
    <t>Porcentaje de NNA integrados en familias, en 2023</t>
  </si>
  <si>
    <t>Mide el porcentaje de Niñas, Niños y Adolescentes integrados en familias en 2023, con respecto a la meta establecida para el 2023</t>
  </si>
  <si>
    <t>(Número de NNA reintegrados por la DIPPNNA en familias, 2023 / Número de planes de NNA reintegrados en familias programados en el 2023 )*100</t>
  </si>
  <si>
    <t>Número de NNA reintegrados por la DIPPNNA en familias, 2023</t>
  </si>
  <si>
    <t xml:space="preserve">Número de NNA reintegrados en familias programados en el 2023 </t>
  </si>
  <si>
    <t>Convenios</t>
  </si>
  <si>
    <t>Familias se muestran interesadas en la reintegración de los NNA.</t>
  </si>
  <si>
    <t>ACTIVIDAD 3.5</t>
  </si>
  <si>
    <t>Representación jurídica de Niñas, Niños y Adolescentes, en 2023</t>
  </si>
  <si>
    <t>Porcentaje de representaciones jurídicas a NNA realizadas en 2023</t>
  </si>
  <si>
    <t>Mide el porcentaje de representaciones jurídicas a Niñas, Niños y Adolescentes realizadas en el 2023, con respecto a la meta establecida para el 2023</t>
  </si>
  <si>
    <t>(Número de audiencias realizadas en el 2023 / Número de audiencias programadas en el 2023)*100</t>
  </si>
  <si>
    <t xml:space="preserve">Número de audiencias realizadas en el 2023 </t>
  </si>
  <si>
    <t>Número de audiencias programadas en el 2023</t>
  </si>
  <si>
    <t>Bitácora</t>
  </si>
  <si>
    <t>Diversos agentes canalizan eficazmente los casos de NNA que requieren representación jurídica.</t>
  </si>
  <si>
    <t>TIPO DE GASTO</t>
  </si>
  <si>
    <t>PRESUPUESTO MENSUAL</t>
  </si>
  <si>
    <t>FUENTE DE FINANCIAMIENTO</t>
  </si>
  <si>
    <t xml:space="preserve">Enero 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</si>
  <si>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</si>
  <si>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</si>
  <si>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</si>
  <si>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</si>
  <si>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</si>
  <si>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</si>
  <si>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</si>
  <si>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</si>
  <si>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</si>
  <si>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</si>
  <si>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</si>
  <si>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POBLACIÓN OBJETIVO</t>
  </si>
  <si>
    <t>LOCALIZACIÓN GEOGRÁFICA</t>
  </si>
  <si>
    <t>GÉNERO</t>
  </si>
  <si>
    <t>DIRECCIONES O UNIDADES PARTICIPANTES</t>
  </si>
  <si>
    <t>FUNCIONARIO RESPONSABLE DEL PROGRAMA</t>
  </si>
  <si>
    <t>ALCANCE TRIM</t>
  </si>
  <si>
    <t>PORCENTAJE TRIM</t>
  </si>
  <si>
    <t>SUBIDO</t>
  </si>
  <si>
    <t>marzo</t>
  </si>
  <si>
    <t xml:space="preserve">Porcentaje </t>
  </si>
  <si>
    <t>38,41%</t>
  </si>
  <si>
    <t>32,26%</t>
  </si>
  <si>
    <t>42,82%</t>
  </si>
  <si>
    <t>37,85%</t>
  </si>
  <si>
    <t>43,94%</t>
  </si>
  <si>
    <t>21,17%</t>
  </si>
  <si>
    <t>13,57%</t>
  </si>
  <si>
    <t>25,02%</t>
  </si>
  <si>
    <t>41,25%</t>
  </si>
  <si>
    <t>19,79%</t>
  </si>
  <si>
    <t>41,5%</t>
  </si>
  <si>
    <t>25,3%</t>
  </si>
  <si>
    <t>30,83%</t>
  </si>
  <si>
    <t>43,33%</t>
  </si>
  <si>
    <t>28,14%</t>
  </si>
  <si>
    <t>Subido</t>
  </si>
  <si>
    <t>Sin comentarios</t>
  </si>
  <si>
    <t xml:space="preserve"> </t>
  </si>
  <si>
    <t>2. Junvetudes y Apoyo a la Niñez</t>
  </si>
  <si>
    <t>3. Equidad de Oportunidades</t>
  </si>
  <si>
    <t>O13. Proteger los derechos y ampliar las oportunidades de desarrollo de los grupos prioritarios</t>
  </si>
  <si>
    <t>1. Guadalajara próspera e incluyente</t>
  </si>
  <si>
    <t>O10. Salvaguardar la integridad de las personas, bienes y entorno comunitario ante situaciones de emergencia, riesgo y peligro derivado de fenómenos naturales y socio-organizativos, fortaleciendo en la ciudadanía la cultura de gestión integral de riesgos, prevención y mitigación</t>
  </si>
  <si>
    <t>E2.6 Generar condiciones para la impartición de asistencia social que propicie la restitución de derechos a las personas vulnerables</t>
  </si>
  <si>
    <t>L2.6.2 Asistencia, promoción y restitución de derechos a personas y grupos en condición de vulnerabilidad mediante servicios de salud, nutrición, psicológicos y de habilidades para el trabajo</t>
  </si>
  <si>
    <t>Contribuir a la restitución de los derechos de niñas, niños y adolescentes del municipio de Guadalajara a través de atención de procesos jurídicos y programas preventivos de riesgos y violencias.</t>
  </si>
  <si>
    <t xml:space="preserve">Porcentaje de expedientes de NNA con planes de restitución aperturados, atenciones o actividades de prevención realizadas en el Sistema DIF Guadalajara </t>
  </si>
  <si>
    <t>Mide el porcentaje de expedientes de NNA con planes de restitución aperturados, atenciones o actividades de prevención realizadas respecto de la meta planteada</t>
  </si>
  <si>
    <t>Número total de expedientes de NNA con plan de resitución aperturado + actividades de prevención / Número total de expedientes de NNA con plan de restitución programado+ actividades de prevención programado*100</t>
  </si>
  <si>
    <t>Número total de expedientes de NNA con plan de resitución aperturado + actividades de prevención</t>
  </si>
  <si>
    <t xml:space="preserve"> Número total de expedientes de NNA con plan de restitución programado+ actividades de prevención programado</t>
  </si>
  <si>
    <t>V1: Registro de solicitudes de usuarios y usuarias/ V2:Expedientes actualizados de casos de NNA, Valoraciones, documentos probatorios de trámites de juicio de patria protestad/ V3: listas de asistencia, documento probatorio de conclusión de capacitaciones</t>
  </si>
  <si>
    <t xml:space="preserve">Niñas, niños y adolescentes del municipio de Guadalajara acceden a atención integral y mejora en sus condiciones de vida a través de los programas del eje de Guadalajara Capital de las Niñas y los Niños del Sistema DIF Guadalajara </t>
  </si>
  <si>
    <t>Número total de NNA con cobertura de los servicios de los programas del eje Guadalajara Capital de NNA / Número de NNA de los programas del eje Guadalajara Capital de NNA programados *100</t>
  </si>
  <si>
    <t xml:space="preserve">Número total de NNA con cobertura de los servicios de los programas del eje Guadalajara Capital de NNA </t>
  </si>
  <si>
    <t xml:space="preserve"> Número de NNA de los programas del eje Guadalajara Capital de NNA programados</t>
  </si>
  <si>
    <t xml:space="preserve">V1: Expedientes, valoraciones, listas de asitencia, padrones, documentos de canalización o derivación/ V2: Catálogo de programas del Sistema DIF Guadalajara </t>
  </si>
  <si>
    <t xml:space="preserve"> El entorno social y familia de las niñas, niños y adolescentes del municipio de Guadalajara </t>
  </si>
  <si>
    <t>C1. Derechos de NNA restituidos</t>
  </si>
  <si>
    <t>Porcentaje de expedientes integrados para la restitución de los derechos de NNA en 2023</t>
  </si>
  <si>
    <t>Mide el porcentaje de expedientes integrados para la restitución de los derechos de NNA respecto de la meta planteada</t>
  </si>
  <si>
    <t xml:space="preserve">Número total de expedientes con plan de restitución de derechos / número total de expedientes con planes de derechos programados *100 </t>
  </si>
  <si>
    <t xml:space="preserve">Número total de expedientes con plan de restitución de derechos </t>
  </si>
  <si>
    <t>número total de expedientes con planes de derechos programados</t>
  </si>
  <si>
    <t>Trimestral</t>
  </si>
  <si>
    <t xml:space="preserve"> V1:Documentos de medidas de protección dictadas; Expedientes actualizados del NNA con medida de protección; Planes de restitución actualizados; Documentos de canalización y derivación a otras instancias (SICATS); Bitácora de visitas domiciliarias / V2:Expedientes aperturados de NNA atendidos por la DIPPNNA;</t>
  </si>
  <si>
    <t xml:space="preserve">Las Niñas, Niños y Adolescentes con algún tipo de vulneración tienen sus derechos humanos restituidos de acuerdo al Plan de Acción por familia </t>
  </si>
  <si>
    <t>A1C1. Seguimiento de plan de Restitución de Derechos de Custodia, Tutela, Adopciones y Acogimiento Familiar</t>
  </si>
  <si>
    <t>Porcentaje de planes de restitución de derechos realizados en 2023</t>
  </si>
  <si>
    <t>Mide el porcentaje de planes elaborados para la restitución de los derechos de NNA de Custodia, Tutela y Adopciones respecto de la meta planteada</t>
  </si>
  <si>
    <t>Número de planes elaborados en Custodia, Tutela y Adopciones/ número de planes meta *100</t>
  </si>
  <si>
    <t xml:space="preserve">Número de planes elaborados en Custodia, Tutela, Adopciones y Acogimiento Familiar </t>
  </si>
  <si>
    <t xml:space="preserve"> número de planes meta</t>
  </si>
  <si>
    <t xml:space="preserve">V1:Expediente y planes de restitución/ V2: plan de trabajo anual del programa de Custodia, Tutela, Adopciones y Acogimiento Familiar  </t>
  </si>
  <si>
    <t>Los NNA que son atendidos por Custodia, Tutela y Adopciones tienen la posibilidad de ejercer y vivir el Plan de Restitución de Derechos que fue diseñado para ellos</t>
  </si>
  <si>
    <t>A2C1. Reintegración de las NNA por medio de Custodia, Tutela, Adopciones y Acogimiento Familiar</t>
  </si>
  <si>
    <t>Porcentaja de NNA de Custodia, Tutela y Adopciones reintegrados por medio de Custodia, Tutela, Adopciones y Acogimiento Familiar en 2023</t>
  </si>
  <si>
    <t>Mide el porcentaje de NNA de Custodia, Tutela, Adopciones y Acogimiento Familiar reintegrados respecto de la meta planteada</t>
  </si>
  <si>
    <t>Número de NNA con reintegración a familia de origen concretada a través de acogimiento pre adoptivo/ Número de NNA con reintegración a familia de origen programada a través de acogimiento pre adoptivo *100</t>
  </si>
  <si>
    <t>Número de NNA con reintegración a familia certificada para adopción concretada a través de acogimiento pre adoptivo</t>
  </si>
  <si>
    <t>Número de NNA con reintegración a familia certificada para adopción programada a través de acogimiento pre adoptivo</t>
  </si>
  <si>
    <t xml:space="preserve">V1:Expediente de NNA reintegrados a la familia de origen y convenio de guarda y cuidado/ V2: plan de trabajo anual del programa de Custodia, Tutela, Adopciones y Acogimiento Familiar  </t>
  </si>
  <si>
    <t>Los servicios brindados por el programa de Custodía, Tutela y adopciones inciden de manera positiva para concretar las adopciones de NNA que así lo requieran</t>
  </si>
  <si>
    <t xml:space="preserve">C2. Capacitaciones a niñas, niños y adolescentes con riesgo psicosocial ejecutadas </t>
  </si>
  <si>
    <t>Porcentaje de NNA que asisten a las capacitaciones o talleres en 2023</t>
  </si>
  <si>
    <t xml:space="preserve">Midel el porcentaje de NNA que asisten a las capacitaciones o talleres respecto de la meta planteada </t>
  </si>
  <si>
    <t xml:space="preserve">Numero de actividades realizadas para la restitución y atención de los derechos de NNA / Número de actividades programadas para la restitución de derechos de NNA *100 </t>
  </si>
  <si>
    <t>Numero de actividades realizadas para la restitución y atención de los derechos de NNA</t>
  </si>
  <si>
    <t>Número de actividades programadas para la restitución de derechos de NNA</t>
  </si>
  <si>
    <t xml:space="preserve">V1: Registros de atención a reporte ciudadanos, bitácoras de monitoreo de puntos de encuentro, bitácora de segui,miento en puntos de encuentro, listas de asistencia a talleres, registro o listas de asistencia a eventos prventivos, bitácora de atenición sicológiica , padrón de beneficiarios o benefiiaras de los apoyos, documento de derivaciones o para derivaciones internas y externas, Bitácora del proceso de acompañamiento a NNA en situación de violencia, listas de asistencia a la regularización escolar/ V2: plan de trabajo anual del programa de Custodia, Tutela, Adopciones y Acogimiento Familiar  </t>
  </si>
  <si>
    <t>Las NNA tienen opciones y utilizan las herramientas para  favorecer su procesos de formación.</t>
  </si>
  <si>
    <t>A1C2. Impartición de talleres para NNA</t>
  </si>
  <si>
    <t>Midel el Porcentaje de sesiones de talleres impartidos para NNA respecto de la meta planteada</t>
  </si>
  <si>
    <t>Número de sesiones de  talleres realizados / número de sesiones de  talleres programados*100</t>
  </si>
  <si>
    <t>Número de sesiones de talleres realizados</t>
  </si>
  <si>
    <t xml:space="preserve"> Número de sesiones de talleres programados</t>
  </si>
  <si>
    <t xml:space="preserve">V1: Fotografías, fichas informativas y padrón/ V2: Programación de talleres programas por el programa </t>
  </si>
  <si>
    <t>Las personas asistentes son receptivas y aprovechan la información preventiva o de atención</t>
  </si>
  <si>
    <t>C3. Derecho Paterno filial de NNA restituido</t>
  </si>
  <si>
    <t>Porcentaje de NNA y sus progenitores que logran la convivencia en 2023</t>
  </si>
  <si>
    <t>Mide el porcentaje de NNA y sus progenitores que logran la convivencia respecto de la meta planteada</t>
  </si>
  <si>
    <t xml:space="preserve">Número de NNA de derechos paterno filiales restituidos / Número de NNA de derechos paterno filiales programados *100 </t>
  </si>
  <si>
    <t>Número de NNA de derechos paterno filiales restituidos</t>
  </si>
  <si>
    <t xml:space="preserve"> Número de NNA de derechos paterno filiales programados</t>
  </si>
  <si>
    <t xml:space="preserve">V1: Expedientes que tengan evidencia de derechos paterno filiales restituidos/ V2: plan de trabajo anual del programa de Custodia, Tutela, Adopciones y Acogimiento Familiar  </t>
  </si>
  <si>
    <t xml:space="preserve">Niñas, niños y adolescentes conviven de manera armónica con sus progenitores y se restituye su derecho a una familia. </t>
  </si>
  <si>
    <t>A1C3. Supervisión de convivencias de progenitores con NNA en CECOFAM</t>
  </si>
  <si>
    <t>Porcentaje de supervisiones de las convivencias entre NNA y Progenitores.</t>
  </si>
  <si>
    <t>Mide el porcentaje de supervisiones de las convivencias entre NNA y Progenitores respecto de la meta planteada</t>
  </si>
  <si>
    <t>Procesos</t>
  </si>
  <si>
    <t>Número de supervisiones de las convivencias realizadas entre NNA y sus progenitores/ número de supervisiones de las convivencias programadas entre NNA y sus progenitores *100</t>
  </si>
  <si>
    <t>Número de supervisiones de las convivencias realizadas entre NNA y sus progenitores</t>
  </si>
  <si>
    <t xml:space="preserve"> Número de supervisiones de las convivencias programadas entre NNA y sus progenitores</t>
  </si>
  <si>
    <t xml:space="preserve">V1: Bitácora de supervisión de las convivencias entre las/los NNA y sus progenitores/ V2: plan de trabajo anual del programa de Custodia, Tutela, Adopciones y Acogimiento Familiar  </t>
  </si>
  <si>
    <t>Se mejoran las convivencias entre NNA y sus progenitores acortando las distancias que experimentan en su vida diaria.</t>
  </si>
  <si>
    <t>A2C3. Cursos de inducción de convivencia familiar impartidos</t>
  </si>
  <si>
    <t>Porcentaje de cursos de inducción para la convivencia familiar</t>
  </si>
  <si>
    <t xml:space="preserve">Mide el porcentaje de inducciones briindadas a padres y madres de familia respecto de la convivencia familiar </t>
  </si>
  <si>
    <t>Número de cursos de inducción realizados / número de cursos de inducción concluidos *100</t>
  </si>
  <si>
    <t>Número de cursos de inducción realizados</t>
  </si>
  <si>
    <t>número de cursos de inducción concluidos</t>
  </si>
  <si>
    <t xml:space="preserve">V1: Listas de asistencia, evidencia fotográfia/ V2: programación de cursos por realizar, fichas descriptivas de los cursos </t>
  </si>
  <si>
    <t>LOCALIZACIÓN GEOGRAFICA</t>
  </si>
  <si>
    <t>META ALCANZADA A 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</si>
</sst>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;[Red]\-&quot;$&quot;#,##0.00"/>
    <numFmt numFmtId="164" formatCode="_-&quot;$&quot;* #,##0.00_-;\-&quot;$&quot;* #,##0.00_-;_-&quot;$&quot;* &quot;-&quot;??_-;_-@"/>
  </numFmts>
  <fonts count="20">
    <font>
      <sz val="11"/>
      <color theme="1"/>
      <name val="Calibri"/>
      <scheme val="minor"/>
    </font>
    <font>
      <sz val="11"/>
      <color theme="1"/>
      <name val="Calibri"/>
    </font>
    <font>
      <sz val="12"/>
      <color theme="1"/>
      <name val="Calibri"/>
    </font>
    <font>
      <sz val="11"/>
      <color theme="1"/>
      <name val="Calibri"/>
      <scheme val="minor"/>
    </font>
    <font>
      <b/>
      <sz val="12"/>
      <color theme="1"/>
      <name val="Calibri"/>
    </font>
    <font>
      <sz val="11"/>
      <name val="Calibri"/>
    </font>
    <font>
      <sz val="12"/>
      <color theme="1"/>
      <name val="Arial"/>
    </font>
    <font>
      <b/>
      <sz val="12"/>
      <color theme="1"/>
      <name val="Arial"/>
    </font>
    <font>
      <sz val="12"/>
      <color theme="1"/>
      <name val="Noto Sans Symbols"/>
    </font>
    <font>
      <b/>
      <sz val="10"/>
      <color theme="1"/>
      <name val="Arial"/>
    </font>
    <font>
      <b/>
      <sz val="11"/>
      <color theme="1"/>
      <name val="Arial"/>
    </font>
    <font>
      <b/>
      <sz val="9"/>
      <color theme="1"/>
      <name val="Arial"/>
    </font>
    <font>
      <sz val="11"/>
      <color theme="1"/>
      <name val="Arial"/>
    </font>
    <font>
      <sz val="11"/>
      <color rgb="FF000000"/>
      <name val="Roboto"/>
    </font>
    <font>
      <sz val="11"/>
      <color rgb="FF000000"/>
      <name val="Arial"/>
    </font>
    <font>
      <sz val="7"/>
      <color rgb="FF000000"/>
      <name val="Arial"/>
    </font>
    <font>
      <b/>
      <sz val="11"/>
      <color theme="1"/>
      <name val="Calibri"/>
    </font>
    <font>
      <b/>
      <sz val="11"/>
      <color theme="1"/>
      <name val="Calibri"/>
      <scheme val="minor"/>
    </font>
    <font>
      <sz val="9"/>
      <color rgb="FF11A9CC"/>
      <name val="&quot;Google Sans Mono&quot;"/>
    </font>
    <font>
      <sz val="9"/>
      <color rgb="FF000000"/>
      <name val="&quot;Google Sans Mono&quot;"/>
    </font>
  </fonts>
  <fills count="1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E5DFEC"/>
        <bgColor rgb="FFE5DFEC"/>
      </patternFill>
    </fill>
    <fill>
      <patternFill patternType="solid">
        <fgColor rgb="FFB2A1C7"/>
        <bgColor rgb="FFB2A1C7"/>
      </patternFill>
    </fill>
    <fill>
      <patternFill patternType="solid">
        <fgColor rgb="FFFFFFFF"/>
        <bgColor rgb="FFFFFFFF"/>
      </patternFill>
    </fill>
    <fill>
      <patternFill patternType="solid">
        <fgColor rgb="FFFEF8E3"/>
        <bgColor rgb="FFFEF8E3"/>
      </patternFill>
    </fill>
    <fill>
      <patternFill patternType="solid">
        <fgColor rgb="FFCCC0D9"/>
        <bgColor rgb="FFCCC0D9"/>
      </patternFill>
    </fill>
    <fill>
      <patternFill patternType="solid">
        <fgColor rgb="FFC9DAF8"/>
        <bgColor rgb="FFC9DAF8"/>
      </patternFill>
    </fill>
    <fill>
      <patternFill patternType="solid">
        <fgColor rgb="FFFF9900"/>
        <bgColor rgb="FFFF9900"/>
      </patternFill>
    </fill>
    <fill>
      <patternFill patternType="solid">
        <fgColor rgb="FFF4CCCC"/>
        <bgColor rgb="FFF4CCCC"/>
      </patternFill>
    </fill>
    <fill>
      <patternFill patternType="solid">
        <fgColor rgb="FFBDBDBD"/>
        <bgColor rgb="FFBDBDBD"/>
      </patternFill>
    </fill>
    <fill>
      <patternFill patternType="solid">
        <fgColor rgb="FFFFF2CC"/>
        <bgColor rgb="FFFFF2CC"/>
      </patternFill>
    </fill>
    <fill>
      <patternFill patternType="solid">
        <fgColor rgb="FFFFFF00"/>
        <bgColor rgb="FFFFFF00"/>
      </patternFill>
    </fill>
  </fills>
  <borders count="30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C55A11"/>
      </bottom>
      <diagonal/>
    </border>
    <border>
      <left/>
      <right style="thin">
        <color rgb="FFC55A11"/>
      </right>
      <top/>
      <bottom style="thin">
        <color rgb="FFC55A1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174">
    <xf numFmtId="0" fontId="0" fillId="0" borderId="0" xfId="0" applyFont="1" applyAlignment="1"/>
    <xf numFmtId="0" fontId="6" fillId="2" borderId="1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 wrapText="1"/>
    </xf>
    <xf numFmtId="0" fontId="9" fillId="4" borderId="0" xfId="0" applyFont="1" applyFill="1" applyAlignment="1">
      <alignment horizontal="center" vertical="center" textRotation="90" wrapText="1"/>
    </xf>
    <xf numFmtId="0" fontId="10" fillId="4" borderId="0" xfId="0" applyFont="1" applyFill="1" applyAlignment="1">
      <alignment horizontal="center" vertical="center" textRotation="90" wrapText="1"/>
    </xf>
    <xf numFmtId="0" fontId="7" fillId="4" borderId="4" xfId="0" applyFont="1" applyFill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7" fillId="4" borderId="14" xfId="0" applyFont="1" applyFill="1" applyBorder="1" applyAlignment="1">
      <alignment horizontal="center" vertical="center" wrapText="1"/>
    </xf>
    <xf numFmtId="0" fontId="7" fillId="4" borderId="15" xfId="0" applyFont="1" applyFill="1" applyBorder="1" applyAlignment="1">
      <alignment horizontal="center" vertical="center" wrapText="1"/>
    </xf>
    <xf numFmtId="4" fontId="7" fillId="4" borderId="15" xfId="0" applyNumberFormat="1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4" fontId="12" fillId="0" borderId="4" xfId="0" applyNumberFormat="1" applyFont="1" applyBorder="1" applyAlignment="1">
      <alignment horizontal="center" vertical="center" wrapText="1"/>
    </xf>
    <xf numFmtId="9" fontId="12" fillId="0" borderId="4" xfId="0" applyNumberFormat="1" applyFont="1" applyBorder="1" applyAlignment="1">
      <alignment horizontal="center" vertical="center" wrapText="1"/>
    </xf>
    <xf numFmtId="4" fontId="12" fillId="0" borderId="4" xfId="0" applyNumberFormat="1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4" fontId="12" fillId="0" borderId="17" xfId="0" applyNumberFormat="1" applyFont="1" applyBorder="1" applyAlignment="1">
      <alignment horizontal="center" vertical="center" wrapText="1"/>
    </xf>
    <xf numFmtId="3" fontId="12" fillId="0" borderId="17" xfId="0" applyNumberFormat="1" applyFont="1" applyBorder="1" applyAlignment="1">
      <alignment horizontal="center" vertical="center" wrapText="1"/>
    </xf>
    <xf numFmtId="4" fontId="12" fillId="0" borderId="17" xfId="0" applyNumberFormat="1" applyFont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3" fillId="5" borderId="4" xfId="0" applyFon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3" fontId="12" fillId="0" borderId="4" xfId="0" applyNumberFormat="1" applyFont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3" fontId="12" fillId="0" borderId="4" xfId="0" applyNumberFormat="1" applyFont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1" fillId="2" borderId="0" xfId="0" applyFont="1" applyFill="1"/>
    <xf numFmtId="0" fontId="1" fillId="2" borderId="1" xfId="0" applyFont="1" applyFill="1" applyBorder="1"/>
    <xf numFmtId="0" fontId="2" fillId="2" borderId="1" xfId="0" applyFont="1" applyFill="1" applyBorder="1"/>
    <xf numFmtId="4" fontId="1" fillId="2" borderId="1" xfId="0" applyNumberFormat="1" applyFont="1" applyFill="1" applyBorder="1"/>
    <xf numFmtId="0" fontId="4" fillId="2" borderId="1" xfId="0" applyFont="1" applyFill="1" applyBorder="1"/>
    <xf numFmtId="0" fontId="6" fillId="2" borderId="0" xfId="0" applyFont="1" applyFill="1"/>
    <xf numFmtId="0" fontId="6" fillId="2" borderId="1" xfId="0" applyFont="1" applyFill="1" applyBorder="1"/>
    <xf numFmtId="4" fontId="6" fillId="2" borderId="1" xfId="0" applyNumberFormat="1" applyFont="1" applyFill="1" applyBorder="1"/>
    <xf numFmtId="0" fontId="8" fillId="2" borderId="1" xfId="0" applyFont="1" applyFill="1" applyBorder="1" applyAlignment="1">
      <alignment horizontal="left" vertical="center"/>
    </xf>
    <xf numFmtId="0" fontId="6" fillId="0" borderId="0" xfId="0" applyFont="1"/>
    <xf numFmtId="0" fontId="8" fillId="2" borderId="10" xfId="0" applyFont="1" applyFill="1" applyBorder="1" applyAlignment="1">
      <alignment horizontal="left" vertical="center"/>
    </xf>
    <xf numFmtId="4" fontId="6" fillId="2" borderId="4" xfId="0" applyNumberFormat="1" applyFont="1" applyFill="1" applyBorder="1" applyAlignment="1"/>
    <xf numFmtId="0" fontId="8" fillId="2" borderId="6" xfId="0" applyFont="1" applyFill="1" applyBorder="1" applyAlignment="1">
      <alignment horizontal="left" vertical="center"/>
    </xf>
    <xf numFmtId="0" fontId="8" fillId="2" borderId="7" xfId="0" applyFont="1" applyFill="1" applyBorder="1" applyAlignment="1">
      <alignment horizontal="left" vertical="center"/>
    </xf>
    <xf numFmtId="0" fontId="6" fillId="2" borderId="10" xfId="0" applyFont="1" applyFill="1" applyBorder="1"/>
    <xf numFmtId="4" fontId="6" fillId="2" borderId="1" xfId="0" applyNumberFormat="1" applyFont="1" applyFill="1" applyBorder="1" applyAlignment="1">
      <alignment horizontal="center"/>
    </xf>
    <xf numFmtId="0" fontId="7" fillId="4" borderId="0" xfId="0" applyFont="1" applyFill="1" applyAlignment="1">
      <alignment horizontal="center" wrapText="1"/>
    </xf>
    <xf numFmtId="0" fontId="7" fillId="4" borderId="4" xfId="0" applyFont="1" applyFill="1" applyBorder="1" applyAlignment="1">
      <alignment horizontal="center" wrapText="1"/>
    </xf>
    <xf numFmtId="0" fontId="8" fillId="2" borderId="0" xfId="0" applyFont="1" applyFill="1" applyAlignment="1">
      <alignment horizontal="left"/>
    </xf>
    <xf numFmtId="0" fontId="8" fillId="2" borderId="18" xfId="0" applyFont="1" applyFill="1" applyBorder="1" applyAlignment="1">
      <alignment horizontal="left"/>
    </xf>
    <xf numFmtId="0" fontId="6" fillId="2" borderId="0" xfId="0" applyFont="1" applyFill="1" applyAlignment="1">
      <alignment horizontal="left"/>
    </xf>
    <xf numFmtId="0" fontId="6" fillId="2" borderId="0" xfId="0" applyFont="1" applyFill="1" applyAlignment="1">
      <alignment horizontal="left"/>
    </xf>
    <xf numFmtId="0" fontId="6" fillId="2" borderId="19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left"/>
    </xf>
    <xf numFmtId="0" fontId="6" fillId="4" borderId="0" xfId="0" applyFont="1" applyFill="1" applyAlignment="1">
      <alignment horizontal="left"/>
    </xf>
    <xf numFmtId="0" fontId="6" fillId="4" borderId="4" xfId="0" applyFont="1" applyFill="1" applyBorder="1" applyAlignment="1">
      <alignment horizontal="left"/>
    </xf>
    <xf numFmtId="0" fontId="12" fillId="0" borderId="4" xfId="0" applyFont="1" applyBorder="1" applyAlignment="1">
      <alignment horizontal="center" wrapText="1"/>
    </xf>
    <xf numFmtId="0" fontId="12" fillId="0" borderId="7" xfId="0" applyFont="1" applyBorder="1" applyAlignment="1">
      <alignment horizontal="center" wrapText="1"/>
    </xf>
    <xf numFmtId="4" fontId="12" fillId="0" borderId="4" xfId="0" applyNumberFormat="1" applyFont="1" applyBorder="1" applyAlignment="1">
      <alignment horizontal="center" wrapText="1"/>
    </xf>
    <xf numFmtId="0" fontId="12" fillId="0" borderId="20" xfId="0" applyFont="1" applyBorder="1" applyAlignment="1">
      <alignment horizontal="center" wrapText="1"/>
    </xf>
    <xf numFmtId="0" fontId="12" fillId="0" borderId="21" xfId="0" applyFont="1" applyBorder="1" applyAlignment="1">
      <alignment horizontal="center" wrapText="1"/>
    </xf>
    <xf numFmtId="4" fontId="12" fillId="0" borderId="20" xfId="0" applyNumberFormat="1" applyFont="1" applyBorder="1" applyAlignment="1">
      <alignment horizontal="center" wrapText="1"/>
    </xf>
    <xf numFmtId="0" fontId="12" fillId="0" borderId="21" xfId="0" applyFont="1" applyBorder="1" applyAlignment="1">
      <alignment horizontal="center" wrapText="1"/>
    </xf>
    <xf numFmtId="4" fontId="12" fillId="0" borderId="20" xfId="0" applyNumberFormat="1" applyFont="1" applyBorder="1" applyAlignment="1">
      <alignment horizontal="center" wrapText="1"/>
    </xf>
    <xf numFmtId="4" fontId="12" fillId="0" borderId="7" xfId="0" applyNumberFormat="1" applyFont="1" applyBorder="1" applyAlignment="1">
      <alignment horizontal="center" wrapText="1"/>
    </xf>
    <xf numFmtId="0" fontId="12" fillId="0" borderId="4" xfId="0" applyFont="1" applyBorder="1" applyAlignment="1">
      <alignment horizontal="center" wrapText="1"/>
    </xf>
    <xf numFmtId="3" fontId="12" fillId="0" borderId="4" xfId="0" applyNumberFormat="1" applyFont="1" applyBorder="1" applyAlignment="1">
      <alignment horizontal="center" wrapText="1"/>
    </xf>
    <xf numFmtId="3" fontId="12" fillId="0" borderId="4" xfId="0" applyNumberFormat="1" applyFont="1" applyBorder="1" applyAlignment="1">
      <alignment horizontal="center" wrapText="1"/>
    </xf>
    <xf numFmtId="4" fontId="12" fillId="0" borderId="4" xfId="0" applyNumberFormat="1" applyFont="1" applyBorder="1" applyAlignment="1">
      <alignment horizontal="center" wrapText="1"/>
    </xf>
    <xf numFmtId="0" fontId="12" fillId="0" borderId="4" xfId="0" applyFont="1" applyBorder="1" applyAlignment="1">
      <alignment horizontal="center" wrapText="1"/>
    </xf>
    <xf numFmtId="0" fontId="12" fillId="0" borderId="20" xfId="0" applyFont="1" applyBorder="1" applyAlignment="1">
      <alignment horizontal="center" wrapText="1"/>
    </xf>
    <xf numFmtId="3" fontId="12" fillId="0" borderId="20" xfId="0" applyNumberFormat="1" applyFont="1" applyBorder="1" applyAlignment="1">
      <alignment horizontal="center" wrapText="1"/>
    </xf>
    <xf numFmtId="3" fontId="12" fillId="0" borderId="20" xfId="0" applyNumberFormat="1" applyFont="1" applyBorder="1" applyAlignment="1">
      <alignment horizontal="center" wrapText="1"/>
    </xf>
    <xf numFmtId="0" fontId="12" fillId="0" borderId="20" xfId="0" applyFont="1" applyBorder="1" applyAlignment="1">
      <alignment horizontal="center" wrapText="1"/>
    </xf>
    <xf numFmtId="0" fontId="6" fillId="2" borderId="0" xfId="0" applyFont="1" applyFill="1" applyAlignment="1"/>
    <xf numFmtId="0" fontId="1" fillId="0" borderId="0" xfId="0" applyFont="1"/>
    <xf numFmtId="0" fontId="2" fillId="0" borderId="0" xfId="0" applyFont="1"/>
    <xf numFmtId="0" fontId="4" fillId="7" borderId="4" xfId="0" applyFont="1" applyFill="1" applyBorder="1" applyAlignment="1">
      <alignment horizontal="center"/>
    </xf>
    <xf numFmtId="0" fontId="16" fillId="7" borderId="4" xfId="0" applyFont="1" applyFill="1" applyBorder="1" applyAlignment="1">
      <alignment horizontal="center"/>
    </xf>
    <xf numFmtId="0" fontId="1" fillId="0" borderId="4" xfId="0" applyFont="1" applyBorder="1"/>
    <xf numFmtId="0" fontId="17" fillId="0" borderId="0" xfId="0" applyFont="1" applyAlignment="1">
      <alignment wrapText="1"/>
    </xf>
    <xf numFmtId="0" fontId="17" fillId="8" borderId="0" xfId="0" applyFont="1" applyFill="1" applyAlignment="1">
      <alignment wrapText="1"/>
    </xf>
    <xf numFmtId="0" fontId="17" fillId="9" borderId="0" xfId="0" applyFont="1" applyFill="1" applyAlignment="1">
      <alignment horizontal="center" vertical="center" wrapText="1"/>
    </xf>
    <xf numFmtId="0" fontId="17" fillId="0" borderId="0" xfId="0" applyFont="1" applyAlignment="1">
      <alignment wrapText="1"/>
    </xf>
    <xf numFmtId="0" fontId="3" fillId="0" borderId="0" xfId="0" applyFont="1"/>
    <xf numFmtId="0" fontId="3" fillId="0" borderId="0" xfId="0" applyFont="1" applyAlignment="1">
      <alignment wrapText="1"/>
    </xf>
    <xf numFmtId="0" fontId="3" fillId="8" borderId="0" xfId="0" applyFont="1" applyFill="1"/>
    <xf numFmtId="4" fontId="3" fillId="0" borderId="0" xfId="0" applyNumberFormat="1" applyFont="1"/>
    <xf numFmtId="0" fontId="17" fillId="9" borderId="0" xfId="0" applyFont="1" applyFill="1" applyAlignment="1">
      <alignment horizontal="center" vertical="center"/>
    </xf>
    <xf numFmtId="10" fontId="3" fillId="0" borderId="0" xfId="0" applyNumberFormat="1" applyFont="1"/>
    <xf numFmtId="0" fontId="3" fillId="0" borderId="0" xfId="0" applyFont="1" applyAlignment="1"/>
    <xf numFmtId="0" fontId="17" fillId="10" borderId="0" xfId="0" applyFont="1" applyFill="1" applyAlignment="1">
      <alignment wrapText="1"/>
    </xf>
    <xf numFmtId="0" fontId="3" fillId="10" borderId="0" xfId="0" applyFont="1" applyFill="1" applyAlignment="1">
      <alignment wrapText="1"/>
    </xf>
    <xf numFmtId="0" fontId="3" fillId="10" borderId="0" xfId="0" applyFont="1" applyFill="1"/>
    <xf numFmtId="4" fontId="3" fillId="10" borderId="0" xfId="0" applyNumberFormat="1" applyFont="1" applyFill="1"/>
    <xf numFmtId="0" fontId="17" fillId="10" borderId="0" xfId="0" applyFont="1" applyFill="1" applyAlignment="1">
      <alignment horizontal="center" vertical="center"/>
    </xf>
    <xf numFmtId="10" fontId="3" fillId="10" borderId="0" xfId="0" applyNumberFormat="1" applyFont="1" applyFill="1"/>
    <xf numFmtId="0" fontId="17" fillId="0" borderId="0" xfId="0" applyFont="1" applyAlignment="1">
      <alignment horizontal="center" vertical="center"/>
    </xf>
    <xf numFmtId="0" fontId="0" fillId="0" borderId="0" xfId="0" applyFont="1" applyAlignment="1"/>
    <xf numFmtId="0" fontId="11" fillId="4" borderId="16" xfId="0" applyFont="1" applyFill="1" applyBorder="1" applyAlignment="1">
      <alignment horizontal="center" wrapText="1"/>
    </xf>
    <xf numFmtId="0" fontId="11" fillId="4" borderId="0" xfId="0" applyFont="1" applyFill="1" applyAlignment="1">
      <alignment horizontal="center" wrapText="1"/>
    </xf>
    <xf numFmtId="0" fontId="11" fillId="4" borderId="0" xfId="0" applyFont="1" applyFill="1" applyAlignment="1">
      <alignment horizontal="center" wrapText="1"/>
    </xf>
    <xf numFmtId="0" fontId="18" fillId="5" borderId="4" xfId="0" applyFont="1" applyFill="1" applyBorder="1" applyAlignment="1"/>
    <xf numFmtId="0" fontId="6" fillId="4" borderId="0" xfId="0" applyFont="1" applyFill="1" applyAlignment="1">
      <alignment horizontal="center" vertical="center" wrapText="1"/>
    </xf>
    <xf numFmtId="0" fontId="15" fillId="6" borderId="4" xfId="0" applyFont="1" applyFill="1" applyBorder="1" applyAlignment="1">
      <alignment horizontal="center"/>
    </xf>
    <xf numFmtId="0" fontId="0" fillId="0" borderId="4" xfId="0" applyFont="1" applyBorder="1" applyAlignment="1">
      <alignment horizontal="center" vertical="center" wrapText="1"/>
    </xf>
    <xf numFmtId="0" fontId="3" fillId="0" borderId="4" xfId="0" applyFont="1" applyBorder="1"/>
    <xf numFmtId="1" fontId="12" fillId="0" borderId="17" xfId="0" applyNumberFormat="1" applyFont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/>
    </xf>
    <xf numFmtId="0" fontId="19" fillId="5" borderId="0" xfId="0" applyFont="1" applyFill="1" applyAlignment="1">
      <alignment wrapText="1"/>
    </xf>
    <xf numFmtId="0" fontId="3" fillId="0" borderId="0" xfId="0" applyFont="1" applyAlignment="1">
      <alignment wrapText="1"/>
    </xf>
    <xf numFmtId="0" fontId="1" fillId="0" borderId="26" xfId="0" applyFont="1" applyBorder="1" applyAlignment="1">
      <alignment wrapText="1"/>
    </xf>
    <xf numFmtId="0" fontId="1" fillId="11" borderId="26" xfId="0" applyFont="1" applyFill="1" applyBorder="1" applyAlignment="1">
      <alignment wrapText="1"/>
    </xf>
    <xf numFmtId="0" fontId="1" fillId="12" borderId="27" xfId="0" applyFont="1" applyFill="1" applyBorder="1" applyAlignment="1"/>
    <xf numFmtId="0" fontId="1" fillId="12" borderId="27" xfId="0" applyFont="1" applyFill="1" applyBorder="1" applyAlignment="1"/>
    <xf numFmtId="0" fontId="3" fillId="0" borderId="0" xfId="0" applyFont="1" applyAlignment="1">
      <alignment wrapText="1"/>
    </xf>
    <xf numFmtId="0" fontId="1" fillId="12" borderId="0" xfId="0" applyFont="1" applyFill="1" applyAlignment="1"/>
    <xf numFmtId="0" fontId="1" fillId="0" borderId="0" xfId="0" applyFont="1" applyAlignment="1"/>
    <xf numFmtId="0" fontId="1" fillId="2" borderId="1" xfId="0" applyFont="1" applyFill="1" applyBorder="1" applyAlignment="1"/>
    <xf numFmtId="0" fontId="6" fillId="13" borderId="1" xfId="0" applyFont="1" applyFill="1" applyBorder="1"/>
    <xf numFmtId="0" fontId="8" fillId="2" borderId="1" xfId="0" applyFont="1" applyFill="1" applyBorder="1" applyAlignment="1">
      <alignment horizontal="left"/>
    </xf>
    <xf numFmtId="3" fontId="12" fillId="0" borderId="17" xfId="0" applyNumberFormat="1" applyFont="1" applyBorder="1" applyAlignment="1">
      <alignment horizontal="center" vertical="center" wrapText="1"/>
    </xf>
    <xf numFmtId="9" fontId="12" fillId="0" borderId="17" xfId="0" applyNumberFormat="1" applyFont="1" applyBorder="1" applyAlignment="1">
      <alignment horizontal="center" vertical="center" wrapText="1"/>
    </xf>
    <xf numFmtId="0" fontId="6" fillId="4" borderId="4" xfId="0" applyFont="1" applyFill="1" applyBorder="1"/>
    <xf numFmtId="0" fontId="14" fillId="0" borderId="17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4" fontId="14" fillId="5" borderId="0" xfId="0" applyNumberFormat="1" applyFont="1" applyFill="1" applyAlignment="1">
      <alignment horizontal="center" vertical="center" wrapText="1"/>
    </xf>
    <xf numFmtId="4" fontId="13" fillId="5" borderId="4" xfId="0" applyNumberFormat="1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left"/>
    </xf>
    <xf numFmtId="0" fontId="12" fillId="0" borderId="17" xfId="0" applyFont="1" applyBorder="1" applyAlignment="1">
      <alignment horizontal="center" wrapText="1"/>
    </xf>
    <xf numFmtId="1" fontId="12" fillId="0" borderId="17" xfId="0" applyNumberFormat="1" applyFont="1" applyBorder="1" applyAlignment="1">
      <alignment horizontal="center" vertical="center" wrapText="1"/>
    </xf>
    <xf numFmtId="4" fontId="12" fillId="0" borderId="14" xfId="0" applyNumberFormat="1" applyFont="1" applyBorder="1" applyAlignment="1">
      <alignment horizontal="center" vertical="center" wrapText="1"/>
    </xf>
    <xf numFmtId="4" fontId="3" fillId="0" borderId="19" xfId="0" applyNumberFormat="1" applyFont="1" applyBorder="1" applyAlignment="1">
      <alignment horizontal="center" vertical="center"/>
    </xf>
    <xf numFmtId="4" fontId="12" fillId="0" borderId="29" xfId="0" applyNumberFormat="1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4" fontId="7" fillId="4" borderId="17" xfId="0" applyNumberFormat="1" applyFont="1" applyFill="1" applyBorder="1" applyAlignment="1">
      <alignment horizontal="center" vertical="center" wrapText="1"/>
    </xf>
    <xf numFmtId="10" fontId="3" fillId="0" borderId="28" xfId="0" applyNumberFormat="1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 wrapText="1"/>
    </xf>
    <xf numFmtId="0" fontId="12" fillId="0" borderId="25" xfId="0" applyFont="1" applyBorder="1" applyAlignment="1">
      <alignment horizontal="center" vertical="center" wrapText="1"/>
    </xf>
    <xf numFmtId="4" fontId="12" fillId="0" borderId="20" xfId="0" applyNumberFormat="1" applyFont="1" applyBorder="1" applyAlignment="1">
      <alignment horizontal="center" vertical="center" wrapText="1"/>
    </xf>
    <xf numFmtId="4" fontId="12" fillId="0" borderId="7" xfId="0" applyNumberFormat="1" applyFont="1" applyBorder="1" applyAlignment="1">
      <alignment horizontal="center" vertical="center" wrapText="1"/>
    </xf>
    <xf numFmtId="3" fontId="12" fillId="0" borderId="20" xfId="0" applyNumberFormat="1" applyFont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4" fillId="2" borderId="2" xfId="0" applyFont="1" applyFill="1" applyBorder="1" applyAlignment="1">
      <alignment horizontal="center"/>
    </xf>
    <xf numFmtId="0" fontId="5" fillId="0" borderId="3" xfId="0" applyFont="1" applyBorder="1"/>
    <xf numFmtId="0" fontId="7" fillId="0" borderId="5" xfId="0" applyFont="1" applyBorder="1" applyAlignment="1">
      <alignment vertical="center" wrapText="1"/>
    </xf>
    <xf numFmtId="0" fontId="5" fillId="0" borderId="6" xfId="0" applyFont="1" applyBorder="1"/>
    <xf numFmtId="0" fontId="5" fillId="0" borderId="7" xfId="0" applyFont="1" applyBorder="1"/>
    <xf numFmtId="0" fontId="9" fillId="4" borderId="8" xfId="0" applyFont="1" applyFill="1" applyBorder="1" applyAlignment="1">
      <alignment horizontal="center" vertical="center" textRotation="90" wrapText="1"/>
    </xf>
    <xf numFmtId="0" fontId="5" fillId="0" borderId="9" xfId="0" applyFont="1" applyBorder="1"/>
    <xf numFmtId="0" fontId="10" fillId="4" borderId="8" xfId="0" applyFont="1" applyFill="1" applyBorder="1" applyAlignment="1">
      <alignment horizontal="center" vertical="center" textRotation="90" wrapText="1"/>
    </xf>
    <xf numFmtId="0" fontId="5" fillId="0" borderId="11" xfId="0" applyFont="1" applyBorder="1"/>
    <xf numFmtId="0" fontId="6" fillId="0" borderId="5" xfId="0" applyFont="1" applyBorder="1" applyAlignment="1">
      <alignment vertical="center" wrapText="1"/>
    </xf>
    <xf numFmtId="0" fontId="8" fillId="2" borderId="5" xfId="0" applyFont="1" applyFill="1" applyBorder="1" applyAlignment="1">
      <alignment horizontal="left" vertical="center"/>
    </xf>
    <xf numFmtId="8" fontId="6" fillId="0" borderId="6" xfId="0" applyNumberFormat="1" applyFont="1" applyBorder="1" applyAlignment="1">
      <alignment horizontal="left" vertical="center"/>
    </xf>
    <xf numFmtId="164" fontId="6" fillId="2" borderId="5" xfId="0" applyNumberFormat="1" applyFont="1" applyFill="1" applyBorder="1" applyAlignment="1">
      <alignment horizontal="center"/>
    </xf>
    <xf numFmtId="0" fontId="7" fillId="7" borderId="5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 wrapText="1"/>
    </xf>
    <xf numFmtId="0" fontId="5" fillId="0" borderId="24" xfId="0" applyFont="1" applyBorder="1"/>
    <xf numFmtId="0" fontId="5" fillId="0" borderId="25" xfId="0" applyFont="1" applyBorder="1"/>
    <xf numFmtId="0" fontId="6" fillId="2" borderId="5" xfId="0" applyFont="1" applyFill="1" applyBorder="1" applyAlignment="1">
      <alignment horizontal="center"/>
    </xf>
  </cellXfs>
  <cellStyles count="1">
    <cellStyle name="Normal" xfId="0" builtinId="0"/>
  </cellStyles>
  <dxfs count="3"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BDBDBD"/>
          <bgColor rgb="FFBDBDBD"/>
        </patternFill>
      </fill>
    </dxf>
  </dxfs>
  <tableStyles count="1">
    <tableStyle name="Subida-style" pivot="0" count="3"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3514725" cy="1752600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0</xdr:rowOff>
    </xdr:from>
    <xdr:ext cx="3514725" cy="1752600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ables/table1.xml><?xml version="1.0" encoding="utf-8"?>
<table xmlns="http://schemas.openxmlformats.org/spreadsheetml/2006/main" id="1" name="Table_1" displayName="Table_1" ref="A1:L1000" headerRowCount="0">
  <tableColumns count="12">
    <tableColumn id="1" name="Column1"/>
    <tableColumn id="2" name="Column2"/>
    <tableColumn id="3" name="Column3"/>
    <tableColumn id="4" name="Column4"/>
    <tableColumn id="5" name="Column5"/>
    <tableColumn id="6" name="Column6"/>
    <tableColumn id="7" name="Column7"/>
    <tableColumn id="8" name="Column8"/>
    <tableColumn id="9" name="Column9"/>
    <tableColumn id="10" name="Column10"/>
    <tableColumn id="11" name="Column11"/>
    <tableColumn id="12" name="Column12"/>
  </tableColumns>
  <tableStyleInfo name="Subida-style" showFirstColumn="1" showLastColumn="1" showRowStripes="1" showColumnStripes="0"/>
  <extLst>
    <ext uri="GoogleSheetsCustomDataVersion1">
      <go:sheetsCustomData xmlns:go="http://customooxmlschemas.google.com/" headerRowCount="1"/>
    </ext>
  </extLst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72"/>
  <sheetViews>
    <sheetView tabSelected="1" topLeftCell="D32" zoomScale="60" zoomScaleNormal="60" workbookViewId="0">
      <selection activeCell="D32" sqref="A32:XFD32"/>
    </sheetView>
  </sheetViews>
  <sheetFormatPr baseColWidth="10" defaultColWidth="14.42578125" defaultRowHeight="15" customHeight="1"/>
  <cols>
    <col min="1" max="2" width="17.85546875" customWidth="1"/>
    <col min="3" max="3" width="51.28515625" customWidth="1"/>
    <col min="4" max="4" width="25.140625" customWidth="1"/>
    <col min="5" max="5" width="26.85546875" customWidth="1"/>
    <col min="6" max="6" width="19.42578125" customWidth="1"/>
    <col min="7" max="7" width="21.7109375" customWidth="1"/>
    <col min="8" max="8" width="21.140625" customWidth="1"/>
    <col min="9" max="9" width="21.28515625" customWidth="1"/>
    <col min="10" max="10" width="25.5703125" customWidth="1"/>
    <col min="11" max="11" width="29.85546875" customWidth="1"/>
    <col min="12" max="12" width="20.85546875" customWidth="1"/>
    <col min="13" max="13" width="21.28515625" customWidth="1"/>
    <col min="14" max="14" width="19.5703125" customWidth="1"/>
    <col min="15" max="15" width="19.42578125" customWidth="1"/>
    <col min="16" max="16" width="18.5703125" customWidth="1"/>
    <col min="17" max="17" width="23" customWidth="1"/>
    <col min="18" max="18" width="18.85546875" customWidth="1"/>
  </cols>
  <sheetData>
    <row r="1" spans="1:18" ht="15.75">
      <c r="A1" s="35"/>
      <c r="B1" s="36"/>
      <c r="C1" s="36"/>
      <c r="D1" s="37"/>
      <c r="E1" s="37"/>
      <c r="F1" s="37"/>
      <c r="G1" s="37"/>
      <c r="H1" s="37"/>
      <c r="I1" s="36"/>
      <c r="J1" s="38"/>
      <c r="K1" s="38"/>
      <c r="L1" s="36"/>
      <c r="M1" s="36"/>
      <c r="N1" s="38"/>
      <c r="O1" s="38"/>
      <c r="P1" s="38"/>
      <c r="Q1" s="36"/>
      <c r="R1" s="36"/>
    </row>
    <row r="2" spans="1:18" ht="15.75">
      <c r="A2" s="35"/>
      <c r="B2" s="36"/>
      <c r="C2" s="36"/>
      <c r="D2" s="37"/>
      <c r="E2" s="37"/>
      <c r="F2" s="37"/>
      <c r="G2" s="37"/>
      <c r="H2" s="37"/>
      <c r="I2" s="36"/>
      <c r="J2" s="38"/>
      <c r="K2" s="38"/>
      <c r="L2" s="36"/>
      <c r="M2" s="36"/>
      <c r="N2" s="38"/>
      <c r="O2" s="38"/>
      <c r="P2" s="38"/>
      <c r="Q2" s="36"/>
      <c r="R2" s="36"/>
    </row>
    <row r="3" spans="1:18" ht="15.75">
      <c r="A3" s="35"/>
      <c r="B3" s="36"/>
      <c r="C3" s="36"/>
      <c r="D3" s="37"/>
      <c r="E3" s="37"/>
      <c r="F3" s="37"/>
      <c r="G3" s="37"/>
      <c r="H3" s="37"/>
      <c r="I3" s="36"/>
      <c r="J3" s="38"/>
      <c r="K3" s="38"/>
      <c r="L3" s="36"/>
      <c r="M3" s="36"/>
      <c r="N3" s="38"/>
      <c r="O3" s="38"/>
      <c r="P3" s="38"/>
      <c r="Q3" s="36"/>
      <c r="R3" s="36"/>
    </row>
    <row r="4" spans="1:18" ht="15.75">
      <c r="A4" s="35"/>
      <c r="B4" s="36"/>
      <c r="C4" s="36"/>
      <c r="D4" s="152" t="s">
        <v>0</v>
      </c>
      <c r="E4" s="153"/>
      <c r="F4" s="153"/>
      <c r="G4" s="153"/>
      <c r="H4" s="153"/>
      <c r="I4" s="36"/>
      <c r="J4" s="38"/>
      <c r="K4" s="38"/>
      <c r="L4" s="36"/>
      <c r="M4" s="36"/>
      <c r="N4" s="38"/>
      <c r="O4" s="38"/>
      <c r="P4" s="38"/>
      <c r="Q4" s="36"/>
      <c r="R4" s="36"/>
    </row>
    <row r="5" spans="1:18" ht="15.75">
      <c r="A5" s="35"/>
      <c r="B5" s="36"/>
      <c r="C5" s="36"/>
      <c r="D5" s="152" t="s">
        <v>1</v>
      </c>
      <c r="E5" s="153"/>
      <c r="F5" s="153"/>
      <c r="G5" s="153"/>
      <c r="H5" s="153"/>
      <c r="I5" s="36"/>
      <c r="J5" s="38"/>
      <c r="K5" s="38"/>
      <c r="L5" s="36"/>
      <c r="M5" s="36"/>
      <c r="N5" s="38"/>
      <c r="O5" s="38"/>
      <c r="P5" s="38"/>
      <c r="Q5" s="36"/>
      <c r="R5" s="36"/>
    </row>
    <row r="6" spans="1:18" ht="15.75">
      <c r="A6" s="35"/>
      <c r="B6" s="36"/>
      <c r="C6" s="36"/>
      <c r="D6" s="152" t="s">
        <v>2</v>
      </c>
      <c r="E6" s="153"/>
      <c r="F6" s="153"/>
      <c r="G6" s="153"/>
      <c r="H6" s="153"/>
      <c r="I6" s="36"/>
      <c r="J6" s="38"/>
      <c r="K6" s="38"/>
      <c r="L6" s="36"/>
      <c r="M6" s="36"/>
      <c r="N6" s="38"/>
      <c r="O6" s="38"/>
      <c r="P6" s="38"/>
      <c r="Q6" s="36"/>
      <c r="R6" s="36"/>
    </row>
    <row r="7" spans="1:18" ht="15.75">
      <c r="A7" s="35"/>
      <c r="B7" s="36"/>
      <c r="C7" s="36"/>
      <c r="D7" s="152"/>
      <c r="E7" s="153"/>
      <c r="F7" s="153"/>
      <c r="G7" s="153"/>
      <c r="H7" s="153"/>
      <c r="I7" s="36"/>
      <c r="J7" s="38"/>
      <c r="K7" s="38"/>
      <c r="L7" s="36"/>
      <c r="M7" s="36"/>
      <c r="N7" s="38"/>
      <c r="O7" s="38"/>
      <c r="P7" s="38"/>
      <c r="Q7" s="36"/>
      <c r="R7" s="36"/>
    </row>
    <row r="8" spans="1:18" ht="15.75">
      <c r="A8" s="35"/>
      <c r="B8" s="36"/>
      <c r="C8" s="36"/>
      <c r="D8" s="39"/>
      <c r="E8" s="39"/>
      <c r="F8" s="39"/>
      <c r="G8" s="39"/>
      <c r="H8" s="39"/>
      <c r="I8" s="36"/>
      <c r="J8" s="38"/>
      <c r="K8" s="38"/>
      <c r="L8" s="36"/>
      <c r="M8" s="36"/>
      <c r="N8" s="38"/>
      <c r="O8" s="38"/>
      <c r="P8" s="38"/>
      <c r="Q8" s="36"/>
      <c r="R8" s="36"/>
    </row>
    <row r="9" spans="1:18" ht="15.75">
      <c r="A9" s="35"/>
      <c r="B9" s="36"/>
      <c r="C9" s="36"/>
      <c r="D9" s="37"/>
      <c r="E9" s="37"/>
      <c r="F9" s="37"/>
      <c r="G9" s="37"/>
      <c r="H9" s="37"/>
      <c r="I9" s="36"/>
      <c r="J9" s="38"/>
      <c r="K9" s="38"/>
      <c r="L9" s="36"/>
      <c r="M9" s="36"/>
      <c r="N9" s="38"/>
      <c r="O9" s="38"/>
      <c r="P9" s="38"/>
      <c r="Q9" s="36"/>
      <c r="R9" s="36"/>
    </row>
    <row r="10" spans="1:18" ht="15.75">
      <c r="A10" s="35"/>
      <c r="B10" s="36"/>
      <c r="C10" s="36"/>
      <c r="D10" s="37"/>
      <c r="E10" s="37"/>
      <c r="F10" s="37"/>
      <c r="G10" s="37"/>
      <c r="H10" s="37"/>
      <c r="I10" s="36"/>
      <c r="J10" s="38"/>
      <c r="K10" s="38"/>
      <c r="L10" s="36"/>
      <c r="M10" s="36"/>
      <c r="N10" s="38"/>
      <c r="O10" s="38"/>
      <c r="P10" s="38"/>
      <c r="Q10" s="36"/>
      <c r="R10" s="36"/>
    </row>
    <row r="11" spans="1:18" ht="15.75">
      <c r="A11" s="35"/>
      <c r="B11" s="36"/>
      <c r="C11" s="36"/>
      <c r="D11" s="37"/>
      <c r="E11" s="37"/>
      <c r="F11" s="37"/>
      <c r="G11" s="37"/>
      <c r="H11" s="37"/>
      <c r="I11" s="36"/>
      <c r="J11" s="38"/>
      <c r="K11" s="38"/>
      <c r="L11" s="36"/>
      <c r="M11" s="36"/>
      <c r="N11" s="38"/>
      <c r="O11" s="38"/>
      <c r="P11" s="38"/>
      <c r="Q11" s="36"/>
      <c r="R11" s="36"/>
    </row>
    <row r="12" spans="1:18" ht="15.75">
      <c r="A12" s="40"/>
      <c r="B12" s="41"/>
      <c r="C12" s="41"/>
      <c r="D12" s="41"/>
      <c r="E12" s="41"/>
      <c r="F12" s="41"/>
      <c r="G12" s="41"/>
      <c r="H12" s="41"/>
      <c r="I12" s="41"/>
      <c r="J12" s="42"/>
      <c r="K12" s="42"/>
      <c r="L12" s="41"/>
      <c r="M12" s="41"/>
      <c r="N12" s="42"/>
      <c r="O12" s="42"/>
      <c r="P12" s="42"/>
      <c r="Q12" s="41"/>
      <c r="R12" s="41"/>
    </row>
    <row r="13" spans="1:18" ht="24.95" customHeight="1">
      <c r="A13" s="40"/>
      <c r="B13" s="41"/>
      <c r="C13" s="34" t="s">
        <v>3</v>
      </c>
      <c r="D13" s="154" t="s">
        <v>4</v>
      </c>
      <c r="E13" s="155"/>
      <c r="F13" s="155"/>
      <c r="G13" s="155"/>
      <c r="H13" s="156"/>
      <c r="I13" s="1"/>
      <c r="J13" s="42"/>
      <c r="K13" s="42"/>
      <c r="L13" s="41"/>
      <c r="M13" s="41"/>
      <c r="N13" s="42"/>
      <c r="O13" s="42"/>
      <c r="P13" s="42"/>
      <c r="Q13" s="41"/>
      <c r="R13" s="41"/>
    </row>
    <row r="14" spans="1:18" ht="24.95" customHeight="1">
      <c r="A14" s="40"/>
      <c r="B14" s="41"/>
      <c r="C14" s="34" t="s">
        <v>5</v>
      </c>
      <c r="D14" s="161" t="s">
        <v>6</v>
      </c>
      <c r="E14" s="155"/>
      <c r="F14" s="155"/>
      <c r="G14" s="155"/>
      <c r="H14" s="156"/>
      <c r="I14" s="43" t="s">
        <v>7</v>
      </c>
      <c r="J14" s="42"/>
      <c r="K14" s="42"/>
      <c r="L14" s="41"/>
      <c r="M14" s="41"/>
      <c r="N14" s="42"/>
      <c r="O14" s="42"/>
      <c r="P14" s="42"/>
      <c r="Q14" s="41"/>
      <c r="R14" s="41"/>
    </row>
    <row r="15" spans="1:18" ht="24.95" customHeight="1">
      <c r="A15" s="40"/>
      <c r="B15" s="41"/>
      <c r="C15" s="34" t="s">
        <v>8</v>
      </c>
      <c r="D15" s="161" t="s">
        <v>9</v>
      </c>
      <c r="E15" s="155"/>
      <c r="F15" s="155"/>
      <c r="G15" s="155"/>
      <c r="H15" s="156"/>
      <c r="I15" s="43" t="s">
        <v>7</v>
      </c>
      <c r="J15" s="42"/>
      <c r="K15" s="42"/>
      <c r="L15" s="41"/>
      <c r="M15" s="41"/>
      <c r="N15" s="42"/>
      <c r="O15" s="42"/>
      <c r="P15" s="42"/>
      <c r="Q15" s="41"/>
      <c r="R15" s="41"/>
    </row>
    <row r="16" spans="1:18" ht="24.95" customHeight="1">
      <c r="A16" s="40"/>
      <c r="B16" s="41"/>
      <c r="C16" s="34" t="s">
        <v>10</v>
      </c>
      <c r="D16" s="161" t="s">
        <v>11</v>
      </c>
      <c r="E16" s="155"/>
      <c r="F16" s="155"/>
      <c r="G16" s="155"/>
      <c r="H16" s="156"/>
      <c r="I16" s="1"/>
      <c r="J16" s="42"/>
      <c r="K16" s="42"/>
      <c r="L16" s="41"/>
      <c r="M16" s="41"/>
      <c r="N16" s="42"/>
      <c r="O16" s="42"/>
      <c r="P16" s="42"/>
      <c r="Q16" s="41"/>
      <c r="R16" s="41"/>
    </row>
    <row r="17" spans="1:18" ht="24.95" customHeight="1">
      <c r="A17" s="40"/>
      <c r="B17" s="41"/>
      <c r="C17" s="34" t="s">
        <v>12</v>
      </c>
      <c r="D17" s="161" t="s">
        <v>13</v>
      </c>
      <c r="E17" s="155"/>
      <c r="F17" s="155"/>
      <c r="G17" s="155"/>
      <c r="H17" s="156"/>
      <c r="I17" s="43" t="s">
        <v>7</v>
      </c>
      <c r="J17" s="42"/>
      <c r="K17" s="42"/>
      <c r="L17" s="41"/>
      <c r="M17" s="41"/>
      <c r="N17" s="42"/>
      <c r="O17" s="42"/>
      <c r="P17" s="42"/>
      <c r="Q17" s="41"/>
      <c r="R17" s="41"/>
    </row>
    <row r="18" spans="1:18" ht="24.95" customHeight="1">
      <c r="A18" s="44"/>
      <c r="B18" s="44"/>
      <c r="C18" s="34" t="s">
        <v>14</v>
      </c>
      <c r="D18" s="161" t="s">
        <v>15</v>
      </c>
      <c r="E18" s="155"/>
      <c r="F18" s="155"/>
      <c r="G18" s="155"/>
      <c r="H18" s="156"/>
      <c r="I18" s="43" t="s">
        <v>7</v>
      </c>
      <c r="J18" s="42"/>
      <c r="K18" s="42"/>
      <c r="L18" s="41"/>
      <c r="M18" s="41"/>
      <c r="N18" s="42"/>
      <c r="O18" s="42"/>
      <c r="P18" s="42"/>
      <c r="Q18" s="41"/>
      <c r="R18" s="41"/>
    </row>
    <row r="19" spans="1:18" ht="24.95" customHeight="1">
      <c r="A19" s="40"/>
      <c r="B19" s="41"/>
      <c r="C19" s="34" t="s">
        <v>16</v>
      </c>
      <c r="D19" s="161"/>
      <c r="E19" s="155"/>
      <c r="F19" s="155"/>
      <c r="G19" s="155"/>
      <c r="H19" s="156"/>
      <c r="I19" s="1"/>
      <c r="J19" s="42"/>
      <c r="K19" s="42"/>
      <c r="L19" s="41"/>
      <c r="M19" s="41"/>
      <c r="N19" s="42"/>
      <c r="O19" s="42"/>
      <c r="P19" s="42"/>
      <c r="Q19" s="41"/>
      <c r="R19" s="41"/>
    </row>
    <row r="20" spans="1:18" ht="24.95" customHeight="1">
      <c r="C20" s="34" t="s">
        <v>16</v>
      </c>
      <c r="D20" s="161" t="s">
        <v>17</v>
      </c>
      <c r="E20" s="155"/>
      <c r="F20" s="155"/>
      <c r="G20" s="155"/>
      <c r="H20" s="156"/>
      <c r="I20" s="43" t="s">
        <v>7</v>
      </c>
      <c r="J20" s="42"/>
      <c r="K20" s="42"/>
      <c r="L20" s="41"/>
      <c r="M20" s="41"/>
      <c r="N20" s="42"/>
      <c r="O20" s="42"/>
      <c r="P20" s="42"/>
      <c r="Q20" s="41"/>
      <c r="R20" s="41"/>
    </row>
    <row r="21" spans="1:18" ht="24.95" customHeight="1">
      <c r="A21" s="3"/>
      <c r="B21" s="157" t="s">
        <v>18</v>
      </c>
      <c r="C21" s="34" t="s">
        <v>19</v>
      </c>
      <c r="D21" s="161" t="s">
        <v>20</v>
      </c>
      <c r="E21" s="155"/>
      <c r="F21" s="155"/>
      <c r="G21" s="155"/>
      <c r="H21" s="156"/>
      <c r="I21" s="43" t="s">
        <v>7</v>
      </c>
      <c r="K21" s="42"/>
      <c r="L21" s="41"/>
      <c r="M21" s="41"/>
      <c r="N21" s="42"/>
      <c r="O21" s="42"/>
      <c r="P21" s="42"/>
      <c r="Q21" s="41"/>
      <c r="R21" s="41"/>
    </row>
    <row r="22" spans="1:18" ht="45" customHeight="1">
      <c r="A22" s="3"/>
      <c r="B22" s="158"/>
      <c r="C22" s="34" t="s">
        <v>21</v>
      </c>
      <c r="D22" s="161" t="s">
        <v>22</v>
      </c>
      <c r="E22" s="155"/>
      <c r="F22" s="155"/>
      <c r="G22" s="155"/>
      <c r="H22" s="156"/>
      <c r="I22" s="43" t="s">
        <v>7</v>
      </c>
      <c r="J22" s="42"/>
      <c r="K22" s="42"/>
      <c r="L22" s="41"/>
      <c r="M22" s="41"/>
      <c r="N22" s="42"/>
      <c r="O22" s="42"/>
      <c r="P22" s="42"/>
      <c r="Q22" s="41"/>
      <c r="R22" s="41"/>
    </row>
    <row r="23" spans="1:18" ht="45" customHeight="1">
      <c r="A23" s="4"/>
      <c r="B23" s="159" t="s">
        <v>23</v>
      </c>
      <c r="C23" s="34" t="s">
        <v>24</v>
      </c>
      <c r="D23" s="162" t="s">
        <v>25</v>
      </c>
      <c r="E23" s="155"/>
      <c r="F23" s="155"/>
      <c r="G23" s="155"/>
      <c r="H23" s="156"/>
      <c r="I23" s="45" t="s">
        <v>7</v>
      </c>
      <c r="J23" s="42"/>
      <c r="K23" s="42"/>
      <c r="L23" s="41"/>
      <c r="M23" s="41"/>
      <c r="N23" s="42"/>
      <c r="O23" s="42"/>
      <c r="P23" s="42"/>
      <c r="Q23" s="41"/>
      <c r="R23" s="41"/>
    </row>
    <row r="24" spans="1:18" ht="45" customHeight="1">
      <c r="A24" s="4"/>
      <c r="B24" s="160"/>
      <c r="C24" s="34" t="s">
        <v>26</v>
      </c>
      <c r="D24" s="162" t="s">
        <v>27</v>
      </c>
      <c r="E24" s="155"/>
      <c r="F24" s="155"/>
      <c r="G24" s="155"/>
      <c r="H24" s="156"/>
      <c r="I24" s="45" t="s">
        <v>7</v>
      </c>
      <c r="J24" s="42"/>
      <c r="K24" s="42"/>
      <c r="L24" s="41"/>
      <c r="M24" s="41"/>
      <c r="N24" s="42"/>
      <c r="O24" s="42"/>
      <c r="P24" s="42"/>
      <c r="Q24" s="41"/>
      <c r="R24" s="41"/>
    </row>
    <row r="25" spans="1:18" ht="45" customHeight="1">
      <c r="A25" s="4"/>
      <c r="B25" s="159" t="s">
        <v>28</v>
      </c>
      <c r="C25" s="34" t="s">
        <v>29</v>
      </c>
      <c r="D25" s="162" t="s">
        <v>30</v>
      </c>
      <c r="E25" s="155"/>
      <c r="F25" s="155"/>
      <c r="G25" s="155"/>
      <c r="H25" s="156"/>
      <c r="I25" s="45" t="s">
        <v>7</v>
      </c>
      <c r="J25" s="42"/>
      <c r="K25" s="42"/>
      <c r="L25" s="41"/>
      <c r="M25" s="41"/>
      <c r="N25" s="42"/>
      <c r="O25" s="42"/>
      <c r="P25" s="42"/>
      <c r="Q25" s="41"/>
      <c r="R25" s="41"/>
    </row>
    <row r="26" spans="1:18" ht="45" customHeight="1">
      <c r="A26" s="4"/>
      <c r="B26" s="158"/>
      <c r="C26" s="34" t="s">
        <v>31</v>
      </c>
      <c r="D26" s="46" t="s">
        <v>32</v>
      </c>
      <c r="E26" s="47"/>
      <c r="F26" s="47"/>
      <c r="G26" s="47"/>
      <c r="H26" s="48"/>
      <c r="I26" s="45" t="s">
        <v>7</v>
      </c>
      <c r="J26" s="42"/>
      <c r="K26" s="42"/>
      <c r="L26" s="41"/>
      <c r="M26" s="41"/>
      <c r="N26" s="42"/>
      <c r="O26" s="42"/>
      <c r="P26" s="42"/>
      <c r="Q26" s="41"/>
      <c r="R26" s="41"/>
    </row>
    <row r="27" spans="1:18" ht="45" customHeight="1">
      <c r="A27" s="4"/>
      <c r="B27" s="158"/>
      <c r="C27" s="34" t="s">
        <v>33</v>
      </c>
      <c r="D27" s="162" t="s">
        <v>34</v>
      </c>
      <c r="E27" s="155"/>
      <c r="F27" s="155"/>
      <c r="G27" s="155"/>
      <c r="H27" s="156"/>
      <c r="I27" s="45" t="s">
        <v>7</v>
      </c>
      <c r="J27" s="42"/>
      <c r="K27" s="42"/>
      <c r="L27" s="41"/>
      <c r="M27" s="41"/>
      <c r="N27" s="42"/>
      <c r="O27" s="42"/>
      <c r="P27" s="42"/>
      <c r="Q27" s="41"/>
      <c r="R27" s="41"/>
    </row>
    <row r="28" spans="1:18" ht="45" customHeight="1">
      <c r="A28" s="4"/>
      <c r="B28" s="158"/>
      <c r="C28" s="34" t="s">
        <v>35</v>
      </c>
      <c r="D28" s="162" t="s">
        <v>36</v>
      </c>
      <c r="E28" s="155"/>
      <c r="F28" s="155"/>
      <c r="G28" s="155"/>
      <c r="H28" s="156"/>
      <c r="I28" s="49"/>
      <c r="J28" s="42"/>
      <c r="K28" s="42"/>
      <c r="L28" s="41"/>
      <c r="M28" s="41"/>
      <c r="N28" s="42"/>
      <c r="O28" s="50"/>
      <c r="P28" s="50"/>
      <c r="Q28" s="41"/>
      <c r="R28" s="41"/>
    </row>
    <row r="29" spans="1:18" ht="45" customHeight="1">
      <c r="A29" s="44"/>
      <c r="B29" s="44"/>
      <c r="C29" s="34" t="s">
        <v>37</v>
      </c>
      <c r="D29" s="163" t="s">
        <v>38</v>
      </c>
      <c r="E29" s="155"/>
      <c r="F29" s="155"/>
      <c r="G29" s="155"/>
      <c r="H29" s="155"/>
      <c r="I29" s="41"/>
      <c r="J29" s="42"/>
      <c r="K29" s="42"/>
      <c r="L29" s="41"/>
      <c r="M29" s="41"/>
      <c r="N29" s="42"/>
      <c r="O29" s="50"/>
      <c r="P29" s="50"/>
      <c r="Q29" s="41"/>
      <c r="R29" s="41"/>
    </row>
    <row r="30" spans="1:18" ht="24.95" customHeight="1">
      <c r="A30" s="44"/>
      <c r="B30" s="44"/>
      <c r="C30" s="5" t="s">
        <v>39</v>
      </c>
      <c r="D30" s="164"/>
      <c r="E30" s="155"/>
      <c r="F30" s="155"/>
      <c r="G30" s="155"/>
      <c r="H30" s="156"/>
      <c r="I30" s="1"/>
      <c r="J30" s="42"/>
      <c r="K30" s="42"/>
      <c r="L30" s="41"/>
      <c r="M30" s="41"/>
      <c r="N30" s="42"/>
      <c r="O30" s="42"/>
      <c r="P30" s="42"/>
      <c r="Q30" s="41"/>
      <c r="R30" s="41"/>
    </row>
    <row r="31" spans="1:18" ht="15.75">
      <c r="A31" s="40"/>
      <c r="B31" s="41"/>
      <c r="C31" s="41"/>
      <c r="D31" s="6"/>
      <c r="E31" s="6"/>
      <c r="F31" s="6"/>
      <c r="G31" s="6"/>
      <c r="H31" s="6"/>
      <c r="I31" s="7"/>
      <c r="J31" s="7"/>
      <c r="K31" s="7"/>
      <c r="L31" s="7"/>
      <c r="M31" s="7"/>
      <c r="N31" s="7"/>
      <c r="O31" s="7"/>
      <c r="P31" s="7"/>
      <c r="Q31" s="7"/>
      <c r="R31" s="7"/>
    </row>
    <row r="32" spans="1:18" ht="63">
      <c r="A32" s="51"/>
      <c r="B32" s="5" t="s">
        <v>41</v>
      </c>
      <c r="C32" s="9" t="s">
        <v>42</v>
      </c>
      <c r="D32" s="10" t="s">
        <v>43</v>
      </c>
      <c r="E32" s="10" t="s">
        <v>44</v>
      </c>
      <c r="F32" s="10" t="s">
        <v>45</v>
      </c>
      <c r="G32" s="10" t="s">
        <v>46</v>
      </c>
      <c r="H32" s="10" t="s">
        <v>47</v>
      </c>
      <c r="I32" s="10" t="s">
        <v>48</v>
      </c>
      <c r="J32" s="11" t="s">
        <v>49</v>
      </c>
      <c r="K32" s="11" t="s">
        <v>50</v>
      </c>
      <c r="L32" s="10" t="s">
        <v>51</v>
      </c>
      <c r="M32" s="10" t="s">
        <v>52</v>
      </c>
      <c r="N32" s="11" t="s">
        <v>53</v>
      </c>
      <c r="O32" s="11" t="s">
        <v>54</v>
      </c>
      <c r="P32" s="141" t="s">
        <v>341</v>
      </c>
      <c r="Q32" s="10" t="s">
        <v>56</v>
      </c>
      <c r="R32" s="10" t="s">
        <v>57</v>
      </c>
    </row>
    <row r="33" spans="1:18" ht="150" customHeight="1">
      <c r="A33" s="40"/>
      <c r="B33" s="1"/>
      <c r="C33" s="30" t="s">
        <v>72</v>
      </c>
      <c r="D33" s="14" t="s">
        <v>73</v>
      </c>
      <c r="E33" s="14" t="s">
        <v>74</v>
      </c>
      <c r="F33" s="14" t="s">
        <v>75</v>
      </c>
      <c r="G33" s="14" t="s">
        <v>76</v>
      </c>
      <c r="H33" s="14" t="s">
        <v>77</v>
      </c>
      <c r="I33" s="14" t="s">
        <v>78</v>
      </c>
      <c r="J33" s="17" t="s">
        <v>79</v>
      </c>
      <c r="K33" s="17" t="s">
        <v>80</v>
      </c>
      <c r="L33" s="14" t="s">
        <v>81</v>
      </c>
      <c r="M33" s="14" t="s">
        <v>82</v>
      </c>
      <c r="N33" s="16" t="s">
        <v>83</v>
      </c>
      <c r="O33" s="136">
        <v>16580</v>
      </c>
      <c r="P33" s="142">
        <v>1.8288</v>
      </c>
      <c r="Q33" s="139" t="s">
        <v>84</v>
      </c>
      <c r="R33" s="19" t="s">
        <v>85</v>
      </c>
    </row>
    <row r="34" spans="1:18" ht="150" customHeight="1">
      <c r="A34" s="53"/>
      <c r="B34" s="148" t="s">
        <v>7</v>
      </c>
      <c r="C34" s="30" t="s">
        <v>86</v>
      </c>
      <c r="D34" s="14" t="s">
        <v>87</v>
      </c>
      <c r="E34" s="19" t="s">
        <v>88</v>
      </c>
      <c r="F34" s="19" t="s">
        <v>89</v>
      </c>
      <c r="G34" s="19" t="s">
        <v>76</v>
      </c>
      <c r="H34" s="19" t="s">
        <v>77</v>
      </c>
      <c r="I34" s="19" t="s">
        <v>90</v>
      </c>
      <c r="J34" s="22" t="s">
        <v>91</v>
      </c>
      <c r="K34" s="126" t="s">
        <v>92</v>
      </c>
      <c r="L34" s="14" t="s">
        <v>81</v>
      </c>
      <c r="M34" s="19" t="s">
        <v>82</v>
      </c>
      <c r="N34" s="16" t="s">
        <v>83</v>
      </c>
      <c r="O34" s="137">
        <v>9420</v>
      </c>
      <c r="P34" s="142">
        <v>1.3481000000000001</v>
      </c>
      <c r="Q34" s="140" t="s">
        <v>93</v>
      </c>
      <c r="R34" s="19" t="s">
        <v>94</v>
      </c>
    </row>
    <row r="35" spans="1:18" ht="150" customHeight="1">
      <c r="A35" s="55" t="s">
        <v>86</v>
      </c>
      <c r="B35" s="23" t="s">
        <v>95</v>
      </c>
      <c r="C35" s="5" t="s">
        <v>96</v>
      </c>
      <c r="D35" s="14" t="s">
        <v>97</v>
      </c>
      <c r="E35" s="14" t="s">
        <v>98</v>
      </c>
      <c r="F35" s="19" t="s">
        <v>99</v>
      </c>
      <c r="G35" s="28" t="s">
        <v>76</v>
      </c>
      <c r="H35" s="28" t="s">
        <v>77</v>
      </c>
      <c r="I35" s="14" t="s">
        <v>100</v>
      </c>
      <c r="J35" s="25" t="s">
        <v>101</v>
      </c>
      <c r="K35" s="14" t="s">
        <v>102</v>
      </c>
      <c r="L35" s="14" t="s">
        <v>103</v>
      </c>
      <c r="M35" s="26" t="s">
        <v>82</v>
      </c>
      <c r="N35" s="16" t="s">
        <v>83</v>
      </c>
      <c r="O35" s="136">
        <v>5600</v>
      </c>
      <c r="P35" s="142">
        <v>1.5038</v>
      </c>
      <c r="Q35" s="139" t="s">
        <v>104</v>
      </c>
      <c r="R35" s="27" t="s">
        <v>105</v>
      </c>
    </row>
    <row r="36" spans="1:18" ht="150" customHeight="1">
      <c r="A36" s="56"/>
      <c r="B36" s="149"/>
      <c r="C36" s="30" t="s">
        <v>106</v>
      </c>
      <c r="D36" s="14" t="s">
        <v>107</v>
      </c>
      <c r="E36" s="14" t="s">
        <v>108</v>
      </c>
      <c r="F36" s="14" t="s">
        <v>109</v>
      </c>
      <c r="G36" s="14" t="s">
        <v>76</v>
      </c>
      <c r="H36" s="14" t="s">
        <v>110</v>
      </c>
      <c r="I36" s="14" t="s">
        <v>111</v>
      </c>
      <c r="J36" s="14" t="s">
        <v>112</v>
      </c>
      <c r="K36" s="14" t="s">
        <v>113</v>
      </c>
      <c r="L36" s="14" t="s">
        <v>103</v>
      </c>
      <c r="M36" s="32" t="s">
        <v>82</v>
      </c>
      <c r="N36" s="16" t="s">
        <v>83</v>
      </c>
      <c r="O36" s="136">
        <v>4000</v>
      </c>
      <c r="P36" s="142">
        <v>1.4782999999999999</v>
      </c>
      <c r="Q36" s="139" t="s">
        <v>114</v>
      </c>
      <c r="R36" s="14" t="s">
        <v>115</v>
      </c>
    </row>
    <row r="37" spans="1:18" ht="150" customHeight="1">
      <c r="A37" s="56"/>
      <c r="B37" s="1"/>
      <c r="C37" s="30" t="s">
        <v>116</v>
      </c>
      <c r="D37" s="14" t="s">
        <v>117</v>
      </c>
      <c r="E37" s="14" t="s">
        <v>118</v>
      </c>
      <c r="F37" s="14" t="s">
        <v>119</v>
      </c>
      <c r="G37" s="14" t="s">
        <v>76</v>
      </c>
      <c r="H37" s="14" t="s">
        <v>110</v>
      </c>
      <c r="I37" s="14" t="s">
        <v>120</v>
      </c>
      <c r="J37" s="14" t="s">
        <v>121</v>
      </c>
      <c r="K37" s="14" t="s">
        <v>122</v>
      </c>
      <c r="L37" s="14" t="s">
        <v>103</v>
      </c>
      <c r="M37" s="32" t="s">
        <v>82</v>
      </c>
      <c r="N37" s="16" t="s">
        <v>83</v>
      </c>
      <c r="O37" s="136">
        <v>1600</v>
      </c>
      <c r="P37" s="142">
        <v>1.4543999999999999</v>
      </c>
      <c r="Q37" s="139" t="s">
        <v>123</v>
      </c>
      <c r="R37" s="14" t="s">
        <v>124</v>
      </c>
    </row>
    <row r="38" spans="1:18" ht="150" customHeight="1">
      <c r="A38" s="59"/>
      <c r="B38" s="150" t="s">
        <v>95</v>
      </c>
      <c r="C38" s="9" t="s">
        <v>125</v>
      </c>
      <c r="D38" s="19" t="s">
        <v>126</v>
      </c>
      <c r="E38" s="19" t="s">
        <v>127</v>
      </c>
      <c r="F38" s="19" t="s">
        <v>128</v>
      </c>
      <c r="G38" s="19" t="s">
        <v>76</v>
      </c>
      <c r="H38" s="19" t="s">
        <v>77</v>
      </c>
      <c r="I38" s="19" t="s">
        <v>129</v>
      </c>
      <c r="J38" s="14" t="s">
        <v>130</v>
      </c>
      <c r="K38" s="14" t="s">
        <v>131</v>
      </c>
      <c r="L38" s="14" t="s">
        <v>103</v>
      </c>
      <c r="M38" s="19" t="s">
        <v>82</v>
      </c>
      <c r="N38" s="16" t="s">
        <v>83</v>
      </c>
      <c r="O38" s="138">
        <v>8580</v>
      </c>
      <c r="P38" s="142">
        <v>1.2670999999999999</v>
      </c>
      <c r="Q38" s="140" t="s">
        <v>132</v>
      </c>
      <c r="R38" s="19" t="s">
        <v>133</v>
      </c>
    </row>
    <row r="39" spans="1:18" ht="150" customHeight="1">
      <c r="A39" s="55" t="s">
        <v>86</v>
      </c>
      <c r="B39" s="1"/>
      <c r="C39" s="30" t="s">
        <v>134</v>
      </c>
      <c r="D39" s="14" t="s">
        <v>135</v>
      </c>
      <c r="E39" s="14" t="s">
        <v>136</v>
      </c>
      <c r="F39" s="14" t="s">
        <v>137</v>
      </c>
      <c r="G39" s="14" t="s">
        <v>76</v>
      </c>
      <c r="H39" s="14" t="s">
        <v>110</v>
      </c>
      <c r="I39" s="14" t="s">
        <v>138</v>
      </c>
      <c r="J39" s="14" t="s">
        <v>139</v>
      </c>
      <c r="K39" s="14" t="s">
        <v>140</v>
      </c>
      <c r="L39" s="14" t="s">
        <v>103</v>
      </c>
      <c r="M39" s="32" t="s">
        <v>82</v>
      </c>
      <c r="N39" s="16" t="s">
        <v>83</v>
      </c>
      <c r="O39" s="136">
        <v>3000</v>
      </c>
      <c r="P39" s="142">
        <v>1.0907</v>
      </c>
      <c r="Q39" s="139" t="s">
        <v>141</v>
      </c>
      <c r="R39" s="17" t="s">
        <v>142</v>
      </c>
    </row>
    <row r="40" spans="1:18" ht="150" customHeight="1">
      <c r="A40" s="55" t="s">
        <v>72</v>
      </c>
      <c r="B40" s="151"/>
      <c r="C40" s="30" t="s">
        <v>143</v>
      </c>
      <c r="D40" s="19" t="s">
        <v>144</v>
      </c>
      <c r="E40" s="19" t="s">
        <v>145</v>
      </c>
      <c r="F40" s="19" t="s">
        <v>146</v>
      </c>
      <c r="G40" s="19" t="s">
        <v>76</v>
      </c>
      <c r="H40" s="19" t="s">
        <v>110</v>
      </c>
      <c r="I40" s="143" t="s">
        <v>147</v>
      </c>
      <c r="J40" s="14" t="s">
        <v>148</v>
      </c>
      <c r="K40" s="14" t="s">
        <v>149</v>
      </c>
      <c r="L40" s="14" t="s">
        <v>103</v>
      </c>
      <c r="M40" s="32" t="s">
        <v>82</v>
      </c>
      <c r="N40" s="16" t="s">
        <v>83</v>
      </c>
      <c r="O40" s="136">
        <v>5500</v>
      </c>
      <c r="P40" s="142">
        <v>1.3673</v>
      </c>
      <c r="Q40" s="144" t="s">
        <v>150</v>
      </c>
      <c r="R40" s="145" t="s">
        <v>151</v>
      </c>
    </row>
    <row r="41" spans="1:18" ht="150" customHeight="1">
      <c r="A41" s="55" t="s">
        <v>72</v>
      </c>
      <c r="B41" s="151"/>
      <c r="C41" s="30" t="s">
        <v>152</v>
      </c>
      <c r="D41" s="19" t="s">
        <v>153</v>
      </c>
      <c r="E41" s="19" t="s">
        <v>154</v>
      </c>
      <c r="F41" s="19" t="s">
        <v>155</v>
      </c>
      <c r="G41" s="19" t="s">
        <v>76</v>
      </c>
      <c r="H41" s="19" t="s">
        <v>110</v>
      </c>
      <c r="I41" s="143" t="s">
        <v>156</v>
      </c>
      <c r="J41" s="14" t="s">
        <v>157</v>
      </c>
      <c r="K41" s="14" t="s">
        <v>158</v>
      </c>
      <c r="L41" s="14" t="s">
        <v>103</v>
      </c>
      <c r="M41" s="32" t="s">
        <v>82</v>
      </c>
      <c r="N41" s="14">
        <v>64</v>
      </c>
      <c r="O41" s="136">
        <v>80</v>
      </c>
      <c r="P41" s="142">
        <v>1</v>
      </c>
      <c r="Q41" s="144" t="s">
        <v>104</v>
      </c>
      <c r="R41" s="145" t="s">
        <v>159</v>
      </c>
    </row>
    <row r="42" spans="1:18" ht="150" customHeight="1">
      <c r="A42" s="55" t="s">
        <v>72</v>
      </c>
      <c r="B42" s="150" t="s">
        <v>95</v>
      </c>
      <c r="C42" s="9" t="s">
        <v>160</v>
      </c>
      <c r="D42" s="19" t="s">
        <v>161</v>
      </c>
      <c r="E42" s="19" t="s">
        <v>162</v>
      </c>
      <c r="F42" s="19" t="s">
        <v>163</v>
      </c>
      <c r="G42" s="19" t="s">
        <v>76</v>
      </c>
      <c r="H42" s="19" t="s">
        <v>77</v>
      </c>
      <c r="I42" s="14" t="s">
        <v>164</v>
      </c>
      <c r="J42" s="14" t="s">
        <v>165</v>
      </c>
      <c r="K42" s="14" t="s">
        <v>166</v>
      </c>
      <c r="L42" s="14" t="s">
        <v>103</v>
      </c>
      <c r="M42" s="32" t="s">
        <v>82</v>
      </c>
      <c r="N42" s="16" t="s">
        <v>83</v>
      </c>
      <c r="O42" s="136">
        <v>1400</v>
      </c>
      <c r="P42" s="142">
        <v>1.375</v>
      </c>
      <c r="Q42" s="140" t="s">
        <v>167</v>
      </c>
      <c r="R42" s="146" t="s">
        <v>168</v>
      </c>
    </row>
    <row r="43" spans="1:18" ht="150" customHeight="1">
      <c r="A43" s="56"/>
      <c r="B43" s="1"/>
      <c r="C43" s="31" t="s">
        <v>169</v>
      </c>
      <c r="D43" s="14" t="s">
        <v>170</v>
      </c>
      <c r="E43" s="14" t="s">
        <v>171</v>
      </c>
      <c r="F43" s="14" t="s">
        <v>172</v>
      </c>
      <c r="G43" s="14" t="s">
        <v>76</v>
      </c>
      <c r="H43" s="32" t="s">
        <v>110</v>
      </c>
      <c r="I43" s="14" t="s">
        <v>173</v>
      </c>
      <c r="J43" s="32" t="s">
        <v>174</v>
      </c>
      <c r="K43" s="32" t="s">
        <v>175</v>
      </c>
      <c r="L43" s="14" t="s">
        <v>103</v>
      </c>
      <c r="M43" s="32" t="s">
        <v>82</v>
      </c>
      <c r="N43" s="16" t="s">
        <v>83</v>
      </c>
      <c r="O43" s="136">
        <v>200</v>
      </c>
      <c r="P43" s="142">
        <v>1.41</v>
      </c>
      <c r="Q43" s="139" t="s">
        <v>176</v>
      </c>
      <c r="R43" s="14" t="s">
        <v>177</v>
      </c>
    </row>
    <row r="44" spans="1:18" ht="150" customHeight="1">
      <c r="A44" s="40"/>
      <c r="B44" s="1"/>
      <c r="C44" s="31" t="s">
        <v>178</v>
      </c>
      <c r="D44" s="14" t="s">
        <v>179</v>
      </c>
      <c r="E44" s="14" t="s">
        <v>180</v>
      </c>
      <c r="F44" s="14" t="s">
        <v>181</v>
      </c>
      <c r="G44" s="143" t="s">
        <v>76</v>
      </c>
      <c r="H44" s="147" t="s">
        <v>110</v>
      </c>
      <c r="I44" s="143" t="s">
        <v>182</v>
      </c>
      <c r="J44" s="147" t="s">
        <v>183</v>
      </c>
      <c r="K44" s="147" t="s">
        <v>184</v>
      </c>
      <c r="L44" s="14" t="s">
        <v>103</v>
      </c>
      <c r="M44" s="32" t="s">
        <v>82</v>
      </c>
      <c r="N44" s="16" t="s">
        <v>83</v>
      </c>
      <c r="O44" s="136">
        <v>1265</v>
      </c>
      <c r="P44" s="142">
        <v>0.96760000000000002</v>
      </c>
      <c r="Q44" s="144" t="s">
        <v>185</v>
      </c>
      <c r="R44" s="143" t="s">
        <v>186</v>
      </c>
    </row>
    <row r="45" spans="1:18" ht="150" customHeight="1">
      <c r="A45" s="79" t="s">
        <v>86</v>
      </c>
      <c r="B45" s="151"/>
      <c r="C45" s="31" t="s">
        <v>187</v>
      </c>
      <c r="D45" s="14" t="s">
        <v>188</v>
      </c>
      <c r="E45" s="14" t="s">
        <v>189</v>
      </c>
      <c r="F45" s="14" t="s">
        <v>190</v>
      </c>
      <c r="G45" s="143" t="s">
        <v>76</v>
      </c>
      <c r="H45" s="147" t="s">
        <v>110</v>
      </c>
      <c r="I45" s="143" t="s">
        <v>191</v>
      </c>
      <c r="J45" s="147" t="s">
        <v>192</v>
      </c>
      <c r="K45" s="147" t="s">
        <v>193</v>
      </c>
      <c r="L45" s="14" t="s">
        <v>103</v>
      </c>
      <c r="M45" s="32" t="s">
        <v>82</v>
      </c>
      <c r="N45" s="16" t="s">
        <v>83</v>
      </c>
      <c r="O45" s="136">
        <v>120</v>
      </c>
      <c r="P45" s="142">
        <v>2.4666999999999999</v>
      </c>
      <c r="Q45" s="144" t="s">
        <v>104</v>
      </c>
      <c r="R45" s="143" t="s">
        <v>194</v>
      </c>
    </row>
    <row r="46" spans="1:18" ht="150" customHeight="1">
      <c r="A46" s="40"/>
      <c r="B46" s="151"/>
      <c r="C46" s="31" t="s">
        <v>195</v>
      </c>
      <c r="D46" s="14" t="s">
        <v>196</v>
      </c>
      <c r="E46" s="14" t="s">
        <v>197</v>
      </c>
      <c r="F46" s="14" t="s">
        <v>198</v>
      </c>
      <c r="G46" s="143" t="s">
        <v>76</v>
      </c>
      <c r="H46" s="147" t="s">
        <v>110</v>
      </c>
      <c r="I46" s="143" t="s">
        <v>199</v>
      </c>
      <c r="J46" s="147" t="s">
        <v>200</v>
      </c>
      <c r="K46" s="147" t="s">
        <v>201</v>
      </c>
      <c r="L46" s="14" t="s">
        <v>103</v>
      </c>
      <c r="M46" s="32" t="s">
        <v>82</v>
      </c>
      <c r="N46" s="16" t="s">
        <v>83</v>
      </c>
      <c r="O46" s="136">
        <v>120</v>
      </c>
      <c r="P46" s="142">
        <v>2.1333000000000002</v>
      </c>
      <c r="Q46" s="144" t="s">
        <v>202</v>
      </c>
      <c r="R46" s="143" t="s">
        <v>203</v>
      </c>
    </row>
    <row r="47" spans="1:18" ht="150" customHeight="1">
      <c r="A47" s="79" t="s">
        <v>86</v>
      </c>
      <c r="B47" s="151"/>
      <c r="C47" s="31" t="s">
        <v>204</v>
      </c>
      <c r="D47" s="14" t="s">
        <v>205</v>
      </c>
      <c r="E47" s="14" t="s">
        <v>206</v>
      </c>
      <c r="F47" s="14" t="s">
        <v>207</v>
      </c>
      <c r="G47" s="143" t="s">
        <v>76</v>
      </c>
      <c r="H47" s="147" t="s">
        <v>110</v>
      </c>
      <c r="I47" s="143" t="s">
        <v>208</v>
      </c>
      <c r="J47" s="147" t="s">
        <v>209</v>
      </c>
      <c r="K47" s="147" t="s">
        <v>210</v>
      </c>
      <c r="L47" s="14" t="s">
        <v>103</v>
      </c>
      <c r="M47" s="32" t="s">
        <v>82</v>
      </c>
      <c r="N47" s="16" t="s">
        <v>83</v>
      </c>
      <c r="O47" s="136">
        <v>700</v>
      </c>
      <c r="P47" s="142">
        <v>1.0143</v>
      </c>
      <c r="Q47" s="144" t="s">
        <v>211</v>
      </c>
      <c r="R47" s="143" t="s">
        <v>212</v>
      </c>
    </row>
    <row r="48" spans="1:18" ht="15.75">
      <c r="A48" s="80"/>
      <c r="B48" s="80"/>
      <c r="D48" s="81"/>
      <c r="E48" s="81"/>
      <c r="F48" s="81"/>
      <c r="G48" s="81"/>
      <c r="H48" s="81"/>
    </row>
    <row r="49" spans="1:18" ht="15.75">
      <c r="A49" s="80"/>
      <c r="B49" s="80"/>
      <c r="D49" s="81"/>
      <c r="E49" s="81"/>
      <c r="F49" s="81"/>
      <c r="G49" s="81"/>
      <c r="H49" s="81"/>
    </row>
    <row r="50" spans="1:18" ht="15.75">
      <c r="A50" s="80"/>
      <c r="B50" s="80"/>
      <c r="D50" s="81"/>
      <c r="E50" s="81"/>
      <c r="F50" s="81"/>
      <c r="G50" s="81"/>
      <c r="H50" s="81"/>
    </row>
    <row r="51" spans="1:18" ht="15.75">
      <c r="A51" s="80"/>
      <c r="B51" s="80"/>
      <c r="D51" s="81"/>
      <c r="E51" s="81"/>
      <c r="F51" s="81"/>
      <c r="G51" s="81"/>
      <c r="H51" s="81"/>
    </row>
    <row r="52" spans="1:18" ht="15.75">
      <c r="A52" s="80"/>
      <c r="B52" s="80"/>
      <c r="D52" s="81"/>
      <c r="E52" s="81"/>
      <c r="F52" s="81"/>
      <c r="G52" s="81"/>
      <c r="H52" s="81"/>
    </row>
    <row r="53" spans="1:18" ht="15.75">
      <c r="A53" s="80"/>
      <c r="B53" s="80"/>
      <c r="D53" s="81"/>
      <c r="E53" s="81"/>
      <c r="F53" s="81"/>
      <c r="G53" s="81"/>
      <c r="H53" s="81"/>
    </row>
    <row r="54" spans="1:18" ht="15.75">
      <c r="A54" s="80"/>
      <c r="B54" s="80"/>
      <c r="D54" s="81"/>
      <c r="E54" s="81"/>
      <c r="F54" s="81"/>
      <c r="G54" s="81"/>
      <c r="H54" s="81"/>
    </row>
    <row r="55" spans="1:18" ht="15.75">
      <c r="A55" s="80"/>
      <c r="B55" s="80"/>
      <c r="D55" s="81"/>
      <c r="E55" s="81"/>
      <c r="F55" s="81"/>
      <c r="G55" s="81"/>
      <c r="H55" s="81"/>
    </row>
    <row r="56" spans="1:18" ht="15.75">
      <c r="A56" s="80"/>
      <c r="B56" s="80"/>
      <c r="C56" s="80"/>
      <c r="D56" s="81"/>
      <c r="E56" s="81"/>
      <c r="F56" s="81"/>
      <c r="G56" s="81"/>
      <c r="H56" s="81"/>
      <c r="I56" s="80"/>
      <c r="J56" s="80"/>
      <c r="K56" s="80"/>
      <c r="L56" s="80"/>
      <c r="M56" s="80"/>
      <c r="N56" s="80"/>
      <c r="O56" s="80"/>
      <c r="P56" s="80"/>
      <c r="Q56" s="80"/>
      <c r="R56" s="80"/>
    </row>
    <row r="57" spans="1:18" ht="15.75">
      <c r="A57" s="80"/>
      <c r="B57" s="80"/>
      <c r="C57" s="80"/>
      <c r="D57" s="81"/>
      <c r="E57" s="81"/>
      <c r="F57" s="81"/>
      <c r="G57" s="81"/>
      <c r="H57" s="81"/>
      <c r="I57" s="80"/>
      <c r="J57" s="80"/>
      <c r="K57" s="80"/>
      <c r="L57" s="80"/>
      <c r="M57" s="80"/>
      <c r="N57" s="80"/>
      <c r="O57" s="80"/>
      <c r="P57" s="80"/>
      <c r="Q57" s="80"/>
      <c r="R57" s="80"/>
    </row>
    <row r="58" spans="1:18" ht="15.75">
      <c r="A58" s="80"/>
      <c r="B58" s="80"/>
      <c r="C58" s="80"/>
      <c r="D58" s="81"/>
      <c r="E58" s="81"/>
      <c r="F58" s="81"/>
      <c r="G58" s="81"/>
      <c r="H58" s="81"/>
      <c r="I58" s="80"/>
      <c r="J58" s="80"/>
      <c r="K58" s="80"/>
      <c r="L58" s="80"/>
      <c r="M58" s="80"/>
      <c r="N58" s="80"/>
      <c r="O58" s="80"/>
      <c r="P58" s="80"/>
      <c r="Q58" s="80"/>
      <c r="R58" s="80"/>
    </row>
    <row r="59" spans="1:18" ht="15.75">
      <c r="A59" s="80"/>
      <c r="B59" s="80"/>
      <c r="C59" s="80"/>
      <c r="D59" s="81"/>
      <c r="E59" s="81"/>
      <c r="F59" s="81"/>
      <c r="G59" s="81"/>
      <c r="H59" s="81"/>
      <c r="I59" s="80"/>
      <c r="J59" s="80"/>
      <c r="K59" s="80"/>
      <c r="L59" s="80"/>
      <c r="M59" s="80"/>
      <c r="N59" s="80"/>
      <c r="O59" s="80"/>
      <c r="P59" s="80"/>
      <c r="Q59" s="80"/>
      <c r="R59" s="80"/>
    </row>
    <row r="60" spans="1:18" ht="15.75">
      <c r="C60" s="80"/>
      <c r="D60" s="81"/>
      <c r="E60" s="81"/>
      <c r="F60" s="81"/>
      <c r="G60" s="81"/>
      <c r="H60" s="81"/>
    </row>
    <row r="61" spans="1:18" ht="15.75">
      <c r="D61" s="81"/>
      <c r="E61" s="81"/>
      <c r="F61" s="81"/>
      <c r="G61" s="81"/>
      <c r="H61" s="81"/>
    </row>
    <row r="62" spans="1:18" ht="15.75">
      <c r="D62" s="81"/>
      <c r="E62" s="81"/>
      <c r="F62" s="81"/>
      <c r="G62" s="81"/>
      <c r="H62" s="81"/>
    </row>
    <row r="63" spans="1:18" ht="15.75">
      <c r="C63" s="80"/>
      <c r="D63" s="81"/>
      <c r="E63" s="81"/>
      <c r="F63" s="81"/>
      <c r="G63" s="81"/>
      <c r="H63" s="81"/>
      <c r="I63" s="80"/>
      <c r="J63" s="80"/>
      <c r="K63" s="80"/>
      <c r="L63" s="80"/>
      <c r="M63" s="80"/>
      <c r="N63" s="80"/>
      <c r="O63" s="80"/>
      <c r="P63" s="80"/>
      <c r="Q63" s="80"/>
      <c r="R63" s="80"/>
    </row>
    <row r="64" spans="1:18" ht="15.75">
      <c r="D64" s="81"/>
      <c r="E64" s="81"/>
      <c r="F64" s="81"/>
      <c r="G64" s="81"/>
      <c r="H64" s="81"/>
    </row>
    <row r="65" spans="4:8" ht="15.75">
      <c r="D65" s="81"/>
      <c r="E65" s="81"/>
      <c r="F65" s="81"/>
      <c r="G65" s="81"/>
      <c r="H65" s="81"/>
    </row>
    <row r="66" spans="4:8" ht="15.75">
      <c r="D66" s="81"/>
      <c r="E66" s="81"/>
      <c r="F66" s="81"/>
      <c r="G66" s="81"/>
      <c r="H66" s="81"/>
    </row>
    <row r="67" spans="4:8" ht="15.75">
      <c r="D67" s="81"/>
      <c r="E67" s="81"/>
      <c r="F67" s="81"/>
      <c r="G67" s="81"/>
      <c r="H67" s="81"/>
    </row>
    <row r="68" spans="4:8" ht="15.75">
      <c r="D68" s="81"/>
      <c r="E68" s="81"/>
      <c r="F68" s="81"/>
      <c r="G68" s="81"/>
      <c r="H68" s="81"/>
    </row>
    <row r="69" spans="4:8" ht="15.75">
      <c r="D69" s="81"/>
      <c r="E69" s="81"/>
      <c r="F69" s="81"/>
      <c r="G69" s="81"/>
      <c r="H69" s="81"/>
    </row>
    <row r="70" spans="4:8" ht="15.75">
      <c r="D70" s="81"/>
      <c r="E70" s="81"/>
      <c r="F70" s="81"/>
      <c r="G70" s="81"/>
      <c r="H70" s="81"/>
    </row>
    <row r="71" spans="4:8" ht="15.75">
      <c r="D71" s="81"/>
      <c r="E71" s="81"/>
      <c r="F71" s="81"/>
      <c r="G71" s="81"/>
      <c r="H71" s="81"/>
    </row>
    <row r="72" spans="4:8" ht="15.75">
      <c r="D72" s="81"/>
      <c r="E72" s="81"/>
      <c r="F72" s="81"/>
      <c r="G72" s="81"/>
      <c r="H72" s="81"/>
    </row>
    <row r="73" spans="4:8" ht="15.75">
      <c r="D73" s="81"/>
      <c r="E73" s="81"/>
      <c r="F73" s="81"/>
      <c r="G73" s="81"/>
      <c r="H73" s="81"/>
    </row>
    <row r="74" spans="4:8" ht="15.75">
      <c r="D74" s="81"/>
      <c r="E74" s="81"/>
      <c r="F74" s="81"/>
      <c r="G74" s="81"/>
      <c r="H74" s="81"/>
    </row>
    <row r="75" spans="4:8" ht="15.75">
      <c r="D75" s="81"/>
      <c r="E75" s="81"/>
      <c r="F75" s="81"/>
      <c r="G75" s="81"/>
      <c r="H75" s="81"/>
    </row>
    <row r="76" spans="4:8" ht="15.75">
      <c r="D76" s="81"/>
      <c r="E76" s="81"/>
      <c r="F76" s="81"/>
      <c r="G76" s="81"/>
      <c r="H76" s="81"/>
    </row>
    <row r="77" spans="4:8" ht="15.75">
      <c r="D77" s="81"/>
      <c r="E77" s="81"/>
      <c r="F77" s="81"/>
      <c r="G77" s="81"/>
      <c r="H77" s="81"/>
    </row>
    <row r="78" spans="4:8" ht="15.75">
      <c r="D78" s="81"/>
      <c r="E78" s="81"/>
      <c r="F78" s="81"/>
      <c r="G78" s="81"/>
      <c r="H78" s="81"/>
    </row>
    <row r="79" spans="4:8" ht="15.75">
      <c r="D79" s="81"/>
      <c r="E79" s="81"/>
      <c r="F79" s="81"/>
      <c r="G79" s="81"/>
      <c r="H79" s="81"/>
    </row>
    <row r="80" spans="4:8" ht="15.75">
      <c r="D80" s="81"/>
      <c r="E80" s="81"/>
      <c r="F80" s="81"/>
      <c r="G80" s="81"/>
      <c r="H80" s="81"/>
    </row>
    <row r="81" spans="4:8" ht="15.75">
      <c r="D81" s="81"/>
      <c r="E81" s="81"/>
      <c r="F81" s="81"/>
      <c r="G81" s="81"/>
      <c r="H81" s="81"/>
    </row>
    <row r="82" spans="4:8" ht="15.75">
      <c r="D82" s="81"/>
      <c r="E82" s="81"/>
      <c r="F82" s="81"/>
      <c r="G82" s="81"/>
      <c r="H82" s="81"/>
    </row>
    <row r="83" spans="4:8" ht="15.75">
      <c r="D83" s="81"/>
      <c r="E83" s="81"/>
      <c r="F83" s="81"/>
      <c r="G83" s="81"/>
      <c r="H83" s="81"/>
    </row>
    <row r="84" spans="4:8" ht="15.75">
      <c r="D84" s="81"/>
      <c r="E84" s="81"/>
      <c r="F84" s="81"/>
      <c r="G84" s="81"/>
      <c r="H84" s="81"/>
    </row>
    <row r="85" spans="4:8" ht="15.75">
      <c r="D85" s="81"/>
      <c r="E85" s="81"/>
      <c r="F85" s="81"/>
      <c r="G85" s="81"/>
      <c r="H85" s="81"/>
    </row>
    <row r="86" spans="4:8" ht="15.75">
      <c r="D86" s="81"/>
      <c r="E86" s="81"/>
      <c r="F86" s="81"/>
      <c r="G86" s="81"/>
      <c r="H86" s="81"/>
    </row>
    <row r="87" spans="4:8" ht="15.75">
      <c r="D87" s="81"/>
      <c r="E87" s="81"/>
      <c r="F87" s="81"/>
      <c r="G87" s="81"/>
      <c r="H87" s="81"/>
    </row>
    <row r="88" spans="4:8" ht="15.75">
      <c r="D88" s="81"/>
      <c r="E88" s="81"/>
      <c r="F88" s="81"/>
      <c r="G88" s="81"/>
      <c r="H88" s="81"/>
    </row>
    <row r="89" spans="4:8" ht="15.75">
      <c r="D89" s="81"/>
      <c r="E89" s="81"/>
      <c r="F89" s="81"/>
      <c r="G89" s="81"/>
      <c r="H89" s="81"/>
    </row>
    <row r="90" spans="4:8" ht="15.75">
      <c r="D90" s="81"/>
      <c r="E90" s="81"/>
      <c r="F90" s="81"/>
      <c r="G90" s="81"/>
      <c r="H90" s="81"/>
    </row>
    <row r="91" spans="4:8" ht="15.75">
      <c r="D91" s="81"/>
      <c r="E91" s="81"/>
      <c r="F91" s="81"/>
      <c r="G91" s="81"/>
      <c r="H91" s="81"/>
    </row>
    <row r="92" spans="4:8" ht="15.75">
      <c r="D92" s="81"/>
      <c r="E92" s="81"/>
      <c r="F92" s="81"/>
      <c r="G92" s="81"/>
      <c r="H92" s="81"/>
    </row>
    <row r="93" spans="4:8" ht="15.75">
      <c r="D93" s="81"/>
      <c r="E93" s="81"/>
      <c r="F93" s="81"/>
      <c r="G93" s="81"/>
      <c r="H93" s="81"/>
    </row>
    <row r="94" spans="4:8" ht="15.75">
      <c r="D94" s="81"/>
      <c r="E94" s="81"/>
      <c r="F94" s="81"/>
      <c r="G94" s="81"/>
      <c r="H94" s="81"/>
    </row>
    <row r="95" spans="4:8" ht="15.75">
      <c r="D95" s="81"/>
      <c r="E95" s="81"/>
      <c r="F95" s="81"/>
      <c r="G95" s="81"/>
      <c r="H95" s="81"/>
    </row>
    <row r="96" spans="4:8" ht="15.75">
      <c r="D96" s="81"/>
      <c r="E96" s="81"/>
      <c r="F96" s="81"/>
      <c r="G96" s="81"/>
      <c r="H96" s="81"/>
    </row>
    <row r="97" spans="4:8" ht="15.75">
      <c r="D97" s="81"/>
      <c r="E97" s="81"/>
      <c r="F97" s="81"/>
      <c r="G97" s="81"/>
      <c r="H97" s="81"/>
    </row>
    <row r="98" spans="4:8" ht="15.75">
      <c r="D98" s="81"/>
      <c r="E98" s="81"/>
      <c r="F98" s="81"/>
      <c r="G98" s="81"/>
      <c r="H98" s="81"/>
    </row>
    <row r="99" spans="4:8" ht="15.75">
      <c r="D99" s="81"/>
      <c r="E99" s="81"/>
      <c r="F99" s="81"/>
      <c r="G99" s="81"/>
      <c r="H99" s="81"/>
    </row>
    <row r="100" spans="4:8" ht="15.75">
      <c r="D100" s="81"/>
      <c r="E100" s="81"/>
      <c r="F100" s="81"/>
      <c r="G100" s="81"/>
      <c r="H100" s="81"/>
    </row>
    <row r="101" spans="4:8" ht="15.75">
      <c r="D101" s="81"/>
      <c r="E101" s="81"/>
      <c r="F101" s="81"/>
      <c r="G101" s="81"/>
      <c r="H101" s="81"/>
    </row>
    <row r="102" spans="4:8" ht="15.75">
      <c r="D102" s="81"/>
      <c r="E102" s="81"/>
      <c r="F102" s="81"/>
      <c r="G102" s="81"/>
      <c r="H102" s="81"/>
    </row>
    <row r="103" spans="4:8" ht="15.75">
      <c r="D103" s="81"/>
      <c r="E103" s="81"/>
      <c r="F103" s="81"/>
      <c r="G103" s="81"/>
      <c r="H103" s="81"/>
    </row>
    <row r="104" spans="4:8" ht="15.75">
      <c r="D104" s="81"/>
      <c r="E104" s="81"/>
      <c r="F104" s="81"/>
      <c r="G104" s="81"/>
      <c r="H104" s="81"/>
    </row>
    <row r="105" spans="4:8" ht="15.75">
      <c r="D105" s="81"/>
      <c r="E105" s="81"/>
      <c r="F105" s="81"/>
      <c r="G105" s="81"/>
      <c r="H105" s="81"/>
    </row>
    <row r="106" spans="4:8" ht="15.75">
      <c r="D106" s="81"/>
      <c r="E106" s="81"/>
      <c r="F106" s="81"/>
      <c r="G106" s="81"/>
      <c r="H106" s="81"/>
    </row>
    <row r="107" spans="4:8" ht="15.75">
      <c r="D107" s="81"/>
      <c r="E107" s="81"/>
      <c r="F107" s="81"/>
      <c r="G107" s="81"/>
      <c r="H107" s="81"/>
    </row>
    <row r="108" spans="4:8" ht="15.75">
      <c r="D108" s="81"/>
      <c r="E108" s="81"/>
      <c r="F108" s="81"/>
      <c r="G108" s="81"/>
      <c r="H108" s="81"/>
    </row>
    <row r="109" spans="4:8" ht="15.75">
      <c r="D109" s="81"/>
      <c r="E109" s="81"/>
      <c r="F109" s="81"/>
      <c r="G109" s="81"/>
      <c r="H109" s="81"/>
    </row>
    <row r="110" spans="4:8" ht="15.75">
      <c r="D110" s="81"/>
      <c r="E110" s="81"/>
      <c r="F110" s="81"/>
      <c r="G110" s="81"/>
      <c r="H110" s="81"/>
    </row>
    <row r="111" spans="4:8" ht="15.75">
      <c r="D111" s="81"/>
      <c r="E111" s="81"/>
      <c r="F111" s="81"/>
      <c r="G111" s="81"/>
      <c r="H111" s="81"/>
    </row>
    <row r="112" spans="4:8" ht="15.75">
      <c r="D112" s="81"/>
      <c r="E112" s="81"/>
      <c r="F112" s="81"/>
      <c r="G112" s="81"/>
      <c r="H112" s="81"/>
    </row>
    <row r="113" spans="4:8" ht="15.75">
      <c r="D113" s="81"/>
      <c r="E113" s="81"/>
      <c r="F113" s="81"/>
      <c r="G113" s="81"/>
      <c r="H113" s="81"/>
    </row>
    <row r="114" spans="4:8" ht="15.75">
      <c r="D114" s="81"/>
      <c r="E114" s="81"/>
      <c r="F114" s="81"/>
      <c r="G114" s="81"/>
      <c r="H114" s="81"/>
    </row>
    <row r="115" spans="4:8" ht="15.75">
      <c r="D115" s="81"/>
      <c r="E115" s="81"/>
      <c r="F115" s="81"/>
      <c r="G115" s="81"/>
      <c r="H115" s="81"/>
    </row>
    <row r="116" spans="4:8" ht="15.75">
      <c r="D116" s="81"/>
      <c r="E116" s="81"/>
      <c r="F116" s="81"/>
      <c r="G116" s="81"/>
      <c r="H116" s="81"/>
    </row>
    <row r="117" spans="4:8" ht="15.75">
      <c r="D117" s="81"/>
      <c r="E117" s="81"/>
      <c r="F117" s="81"/>
      <c r="G117" s="81"/>
      <c r="H117" s="81"/>
    </row>
    <row r="118" spans="4:8" ht="15.75">
      <c r="D118" s="81"/>
      <c r="E118" s="81"/>
      <c r="F118" s="81"/>
      <c r="G118" s="81"/>
      <c r="H118" s="81"/>
    </row>
    <row r="119" spans="4:8" ht="15.75">
      <c r="D119" s="81"/>
      <c r="E119" s="81"/>
      <c r="F119" s="81"/>
      <c r="G119" s="81"/>
      <c r="H119" s="81"/>
    </row>
    <row r="120" spans="4:8" ht="15.75">
      <c r="D120" s="81"/>
      <c r="E120" s="81"/>
      <c r="F120" s="81"/>
      <c r="G120" s="81"/>
      <c r="H120" s="81"/>
    </row>
    <row r="121" spans="4:8" ht="15.75">
      <c r="D121" s="81"/>
      <c r="E121" s="81"/>
      <c r="F121" s="81"/>
      <c r="G121" s="81"/>
      <c r="H121" s="81"/>
    </row>
    <row r="122" spans="4:8" ht="15.75">
      <c r="D122" s="81"/>
      <c r="E122" s="81"/>
      <c r="F122" s="81"/>
      <c r="G122" s="81"/>
      <c r="H122" s="81"/>
    </row>
    <row r="123" spans="4:8" ht="15.75">
      <c r="D123" s="81"/>
      <c r="E123" s="81"/>
      <c r="F123" s="81"/>
      <c r="G123" s="81"/>
      <c r="H123" s="81"/>
    </row>
    <row r="124" spans="4:8" ht="15.75">
      <c r="D124" s="81"/>
      <c r="E124" s="81"/>
      <c r="F124" s="81"/>
      <c r="G124" s="81"/>
      <c r="H124" s="81"/>
    </row>
    <row r="125" spans="4:8" ht="15.75">
      <c r="D125" s="81"/>
      <c r="E125" s="81"/>
      <c r="F125" s="81"/>
      <c r="G125" s="81"/>
      <c r="H125" s="81"/>
    </row>
    <row r="126" spans="4:8" ht="15.75">
      <c r="D126" s="81"/>
      <c r="E126" s="81"/>
      <c r="F126" s="81"/>
      <c r="G126" s="81"/>
      <c r="H126" s="81"/>
    </row>
    <row r="127" spans="4:8" ht="15.75">
      <c r="D127" s="81"/>
      <c r="E127" s="81"/>
      <c r="F127" s="81"/>
      <c r="G127" s="81"/>
      <c r="H127" s="81"/>
    </row>
    <row r="128" spans="4:8" ht="15.75">
      <c r="D128" s="81"/>
      <c r="E128" s="81"/>
      <c r="F128" s="81"/>
      <c r="G128" s="81"/>
      <c r="H128" s="81"/>
    </row>
    <row r="129" spans="4:8" ht="15.75">
      <c r="D129" s="81"/>
      <c r="E129" s="81"/>
      <c r="F129" s="81"/>
      <c r="G129" s="81"/>
      <c r="H129" s="81"/>
    </row>
    <row r="130" spans="4:8" ht="15.75">
      <c r="D130" s="81"/>
      <c r="E130" s="81"/>
      <c r="F130" s="81"/>
      <c r="G130" s="81"/>
      <c r="H130" s="81"/>
    </row>
    <row r="131" spans="4:8" ht="15.75">
      <c r="D131" s="81"/>
      <c r="E131" s="81"/>
      <c r="F131" s="81"/>
      <c r="G131" s="81"/>
      <c r="H131" s="81"/>
    </row>
    <row r="132" spans="4:8" ht="15.75">
      <c r="D132" s="81"/>
      <c r="E132" s="81"/>
      <c r="F132" s="81"/>
      <c r="G132" s="81"/>
      <c r="H132" s="81"/>
    </row>
    <row r="133" spans="4:8" ht="15.75">
      <c r="D133" s="81"/>
      <c r="E133" s="81"/>
      <c r="F133" s="81"/>
      <c r="G133" s="81"/>
      <c r="H133" s="81"/>
    </row>
    <row r="134" spans="4:8" ht="15.75">
      <c r="D134" s="81"/>
      <c r="E134" s="81"/>
      <c r="F134" s="81"/>
      <c r="G134" s="81"/>
      <c r="H134" s="81"/>
    </row>
    <row r="135" spans="4:8" ht="15.75">
      <c r="D135" s="81"/>
      <c r="E135" s="81"/>
      <c r="F135" s="81"/>
      <c r="G135" s="81"/>
      <c r="H135" s="81"/>
    </row>
    <row r="136" spans="4:8" ht="15.75">
      <c r="D136" s="81"/>
      <c r="E136" s="81"/>
      <c r="F136" s="81"/>
      <c r="G136" s="81"/>
      <c r="H136" s="81"/>
    </row>
    <row r="137" spans="4:8" ht="15.75">
      <c r="D137" s="81"/>
      <c r="E137" s="81"/>
      <c r="F137" s="81"/>
      <c r="G137" s="81"/>
      <c r="H137" s="81"/>
    </row>
    <row r="138" spans="4:8" ht="15.75">
      <c r="D138" s="81"/>
      <c r="E138" s="81"/>
      <c r="F138" s="81"/>
      <c r="G138" s="81"/>
      <c r="H138" s="81"/>
    </row>
    <row r="139" spans="4:8" ht="15.75">
      <c r="D139" s="81"/>
      <c r="E139" s="81"/>
      <c r="F139" s="81"/>
      <c r="G139" s="81"/>
      <c r="H139" s="81"/>
    </row>
    <row r="140" spans="4:8" ht="15.75">
      <c r="D140" s="81"/>
      <c r="E140" s="81"/>
      <c r="F140" s="81"/>
      <c r="G140" s="81"/>
      <c r="H140" s="81"/>
    </row>
    <row r="141" spans="4:8" ht="15.75">
      <c r="D141" s="81"/>
      <c r="E141" s="81"/>
      <c r="F141" s="81"/>
      <c r="G141" s="81"/>
      <c r="H141" s="81"/>
    </row>
    <row r="142" spans="4:8" ht="15.75">
      <c r="D142" s="81"/>
      <c r="E142" s="81"/>
      <c r="F142" s="81"/>
      <c r="G142" s="81"/>
      <c r="H142" s="81"/>
    </row>
    <row r="143" spans="4:8" ht="15.75">
      <c r="D143" s="81"/>
      <c r="E143" s="81"/>
      <c r="F143" s="81"/>
      <c r="G143" s="81"/>
      <c r="H143" s="81"/>
    </row>
    <row r="144" spans="4:8" ht="15.75">
      <c r="D144" s="81"/>
      <c r="E144" s="81"/>
      <c r="F144" s="81"/>
      <c r="G144" s="81"/>
      <c r="H144" s="81"/>
    </row>
    <row r="145" spans="4:8" ht="15.75">
      <c r="D145" s="81"/>
      <c r="E145" s="81"/>
      <c r="F145" s="81"/>
      <c r="G145" s="81"/>
      <c r="H145" s="81"/>
    </row>
    <row r="146" spans="4:8" ht="15.75">
      <c r="D146" s="81"/>
      <c r="E146" s="81"/>
      <c r="F146" s="81"/>
      <c r="G146" s="81"/>
      <c r="H146" s="81"/>
    </row>
    <row r="147" spans="4:8" ht="15.75">
      <c r="D147" s="81"/>
      <c r="E147" s="81"/>
      <c r="F147" s="81"/>
      <c r="G147" s="81"/>
      <c r="H147" s="81"/>
    </row>
    <row r="148" spans="4:8" ht="15.75">
      <c r="D148" s="81"/>
      <c r="E148" s="81"/>
      <c r="F148" s="81"/>
      <c r="G148" s="81"/>
      <c r="H148" s="81"/>
    </row>
    <row r="149" spans="4:8" ht="15.75">
      <c r="D149" s="81"/>
      <c r="E149" s="81"/>
      <c r="F149" s="81"/>
      <c r="G149" s="81"/>
      <c r="H149" s="81"/>
    </row>
    <row r="150" spans="4:8" ht="15.75">
      <c r="D150" s="81"/>
      <c r="E150" s="81"/>
      <c r="F150" s="81"/>
      <c r="G150" s="81"/>
      <c r="H150" s="81"/>
    </row>
    <row r="151" spans="4:8" ht="15.75">
      <c r="D151" s="81"/>
      <c r="E151" s="81"/>
      <c r="F151" s="81"/>
      <c r="G151" s="81"/>
      <c r="H151" s="81"/>
    </row>
    <row r="152" spans="4:8" ht="15.75">
      <c r="D152" s="81"/>
      <c r="E152" s="81"/>
      <c r="F152" s="81"/>
      <c r="G152" s="81"/>
      <c r="H152" s="81"/>
    </row>
    <row r="153" spans="4:8" ht="15.75">
      <c r="D153" s="81"/>
      <c r="E153" s="81"/>
      <c r="F153" s="81"/>
      <c r="G153" s="81"/>
      <c r="H153" s="81"/>
    </row>
    <row r="154" spans="4:8" ht="15.75">
      <c r="D154" s="81"/>
      <c r="E154" s="81"/>
      <c r="F154" s="81"/>
      <c r="G154" s="81"/>
      <c r="H154" s="81"/>
    </row>
    <row r="155" spans="4:8" ht="15.75">
      <c r="D155" s="81"/>
      <c r="E155" s="81"/>
      <c r="F155" s="81"/>
      <c r="G155" s="81"/>
      <c r="H155" s="81"/>
    </row>
    <row r="156" spans="4:8" ht="15.75">
      <c r="D156" s="81"/>
      <c r="E156" s="81"/>
      <c r="F156" s="81"/>
      <c r="G156" s="81"/>
      <c r="H156" s="81"/>
    </row>
    <row r="157" spans="4:8" ht="15.75">
      <c r="D157" s="81"/>
      <c r="E157" s="81"/>
      <c r="F157" s="81"/>
      <c r="G157" s="81"/>
      <c r="H157" s="81"/>
    </row>
    <row r="158" spans="4:8" ht="15.75">
      <c r="D158" s="81"/>
      <c r="E158" s="81"/>
      <c r="F158" s="81"/>
      <c r="G158" s="81"/>
      <c r="H158" s="81"/>
    </row>
    <row r="159" spans="4:8" ht="15.75">
      <c r="D159" s="81"/>
      <c r="E159" s="81"/>
      <c r="F159" s="81"/>
      <c r="G159" s="81"/>
      <c r="H159" s="81"/>
    </row>
    <row r="160" spans="4:8" ht="15.75">
      <c r="D160" s="81"/>
      <c r="E160" s="81"/>
      <c r="F160" s="81"/>
      <c r="G160" s="81"/>
      <c r="H160" s="81"/>
    </row>
    <row r="161" spans="4:8" ht="15.75">
      <c r="D161" s="81"/>
      <c r="E161" s="81"/>
      <c r="F161" s="81"/>
      <c r="G161" s="81"/>
      <c r="H161" s="81"/>
    </row>
    <row r="162" spans="4:8" ht="15.75">
      <c r="D162" s="81"/>
      <c r="E162" s="81"/>
      <c r="F162" s="81"/>
      <c r="G162" s="81"/>
      <c r="H162" s="81"/>
    </row>
    <row r="163" spans="4:8" ht="15.75">
      <c r="D163" s="81"/>
      <c r="E163" s="81"/>
      <c r="F163" s="81"/>
      <c r="G163" s="81"/>
      <c r="H163" s="81"/>
    </row>
    <row r="164" spans="4:8" ht="15.75">
      <c r="D164" s="81"/>
      <c r="E164" s="81"/>
      <c r="F164" s="81"/>
      <c r="G164" s="81"/>
      <c r="H164" s="81"/>
    </row>
    <row r="165" spans="4:8" ht="15.75">
      <c r="D165" s="81"/>
      <c r="E165" s="81"/>
      <c r="F165" s="81"/>
      <c r="G165" s="81"/>
      <c r="H165" s="81"/>
    </row>
    <row r="166" spans="4:8" ht="15.75">
      <c r="D166" s="81"/>
      <c r="E166" s="81"/>
      <c r="F166" s="81"/>
      <c r="G166" s="81"/>
      <c r="H166" s="81"/>
    </row>
    <row r="167" spans="4:8" ht="15.75">
      <c r="D167" s="81"/>
      <c r="E167" s="81"/>
      <c r="F167" s="81"/>
      <c r="G167" s="81"/>
      <c r="H167" s="81"/>
    </row>
    <row r="168" spans="4:8" ht="15.75">
      <c r="D168" s="81"/>
      <c r="E168" s="81"/>
      <c r="F168" s="81"/>
      <c r="G168" s="81"/>
      <c r="H168" s="81"/>
    </row>
    <row r="169" spans="4:8" ht="15.75">
      <c r="D169" s="81"/>
      <c r="E169" s="81"/>
      <c r="F169" s="81"/>
      <c r="G169" s="81"/>
      <c r="H169" s="81"/>
    </row>
    <row r="170" spans="4:8" ht="15.75">
      <c r="D170" s="81"/>
      <c r="E170" s="81"/>
      <c r="F170" s="81"/>
      <c r="G170" s="81"/>
      <c r="H170" s="81"/>
    </row>
    <row r="171" spans="4:8" ht="15.75">
      <c r="D171" s="81"/>
      <c r="E171" s="81"/>
      <c r="F171" s="81"/>
      <c r="G171" s="81"/>
      <c r="H171" s="81"/>
    </row>
    <row r="172" spans="4:8" ht="15.75">
      <c r="D172" s="81"/>
      <c r="E172" s="81"/>
      <c r="F172" s="81"/>
      <c r="G172" s="81"/>
      <c r="H172" s="81"/>
    </row>
    <row r="173" spans="4:8" ht="15.75">
      <c r="D173" s="81"/>
      <c r="E173" s="81"/>
      <c r="F173" s="81"/>
      <c r="G173" s="81"/>
      <c r="H173" s="81"/>
    </row>
    <row r="174" spans="4:8" ht="15.75">
      <c r="D174" s="81"/>
      <c r="E174" s="81"/>
      <c r="F174" s="81"/>
      <c r="G174" s="81"/>
      <c r="H174" s="81"/>
    </row>
    <row r="175" spans="4:8" ht="15.75">
      <c r="D175" s="81"/>
      <c r="E175" s="81"/>
      <c r="F175" s="81"/>
      <c r="G175" s="81"/>
      <c r="H175" s="81"/>
    </row>
    <row r="176" spans="4:8" ht="15.75">
      <c r="D176" s="81"/>
      <c r="E176" s="81"/>
      <c r="F176" s="81"/>
      <c r="G176" s="81"/>
      <c r="H176" s="81"/>
    </row>
    <row r="177" spans="4:8" ht="15.75">
      <c r="D177" s="81"/>
      <c r="E177" s="81"/>
      <c r="F177" s="81"/>
      <c r="G177" s="81"/>
      <c r="H177" s="81"/>
    </row>
    <row r="178" spans="4:8" ht="15.75">
      <c r="D178" s="81"/>
      <c r="E178" s="81"/>
      <c r="F178" s="81"/>
      <c r="G178" s="81"/>
      <c r="H178" s="81"/>
    </row>
    <row r="179" spans="4:8" ht="15.75">
      <c r="D179" s="81"/>
      <c r="E179" s="81"/>
      <c r="F179" s="81"/>
      <c r="G179" s="81"/>
      <c r="H179" s="81"/>
    </row>
    <row r="180" spans="4:8" ht="15.75">
      <c r="D180" s="81"/>
      <c r="E180" s="81"/>
      <c r="F180" s="81"/>
      <c r="G180" s="81"/>
      <c r="H180" s="81"/>
    </row>
    <row r="181" spans="4:8" ht="15.75">
      <c r="D181" s="81"/>
      <c r="E181" s="81"/>
      <c r="F181" s="81"/>
      <c r="G181" s="81"/>
      <c r="H181" s="81"/>
    </row>
    <row r="182" spans="4:8" ht="15.75">
      <c r="D182" s="81"/>
      <c r="E182" s="81"/>
      <c r="F182" s="81"/>
      <c r="G182" s="81"/>
      <c r="H182" s="81"/>
    </row>
    <row r="183" spans="4:8" ht="15.75">
      <c r="D183" s="81"/>
      <c r="E183" s="81"/>
      <c r="F183" s="81"/>
      <c r="G183" s="81"/>
      <c r="H183" s="81"/>
    </row>
    <row r="184" spans="4:8" ht="15.75">
      <c r="D184" s="81"/>
      <c r="E184" s="81"/>
      <c r="F184" s="81"/>
      <c r="G184" s="81"/>
      <c r="H184" s="81"/>
    </row>
    <row r="185" spans="4:8" ht="15.75">
      <c r="D185" s="81"/>
      <c r="E185" s="81"/>
      <c r="F185" s="81"/>
      <c r="G185" s="81"/>
      <c r="H185" s="81"/>
    </row>
    <row r="186" spans="4:8" ht="15.75">
      <c r="D186" s="81"/>
      <c r="E186" s="81"/>
      <c r="F186" s="81"/>
      <c r="G186" s="81"/>
      <c r="H186" s="81"/>
    </row>
    <row r="187" spans="4:8" ht="15.75">
      <c r="D187" s="81"/>
      <c r="E187" s="81"/>
      <c r="F187" s="81"/>
      <c r="G187" s="81"/>
      <c r="H187" s="81"/>
    </row>
    <row r="188" spans="4:8" ht="15.75">
      <c r="D188" s="81"/>
      <c r="E188" s="81"/>
      <c r="F188" s="81"/>
      <c r="G188" s="81"/>
      <c r="H188" s="81"/>
    </row>
    <row r="189" spans="4:8" ht="15.75">
      <c r="D189" s="81"/>
      <c r="E189" s="81"/>
      <c r="F189" s="81"/>
      <c r="G189" s="81"/>
      <c r="H189" s="81"/>
    </row>
    <row r="190" spans="4:8" ht="15.75">
      <c r="D190" s="81"/>
      <c r="E190" s="81"/>
      <c r="F190" s="81"/>
      <c r="G190" s="81"/>
      <c r="H190" s="81"/>
    </row>
    <row r="191" spans="4:8" ht="15.75">
      <c r="D191" s="81"/>
      <c r="E191" s="81"/>
      <c r="F191" s="81"/>
      <c r="G191" s="81"/>
      <c r="H191" s="81"/>
    </row>
    <row r="192" spans="4:8" ht="15.75">
      <c r="D192" s="81"/>
      <c r="E192" s="81"/>
      <c r="F192" s="81"/>
      <c r="G192" s="81"/>
      <c r="H192" s="81"/>
    </row>
    <row r="193" spans="4:8" ht="15.75">
      <c r="D193" s="81"/>
      <c r="E193" s="81"/>
      <c r="F193" s="81"/>
      <c r="G193" s="81"/>
      <c r="H193" s="81"/>
    </row>
    <row r="194" spans="4:8" ht="15.75">
      <c r="D194" s="81"/>
      <c r="E194" s="81"/>
      <c r="F194" s="81"/>
      <c r="G194" s="81"/>
      <c r="H194" s="81"/>
    </row>
    <row r="195" spans="4:8" ht="15.75">
      <c r="D195" s="81"/>
      <c r="E195" s="81"/>
      <c r="F195" s="81"/>
      <c r="G195" s="81"/>
      <c r="H195" s="81"/>
    </row>
    <row r="196" spans="4:8" ht="15.75">
      <c r="D196" s="81"/>
      <c r="E196" s="81"/>
      <c r="F196" s="81"/>
      <c r="G196" s="81"/>
      <c r="H196" s="81"/>
    </row>
    <row r="197" spans="4:8" ht="15.75">
      <c r="D197" s="81"/>
      <c r="E197" s="81"/>
      <c r="F197" s="81"/>
      <c r="G197" s="81"/>
      <c r="H197" s="81"/>
    </row>
    <row r="198" spans="4:8" ht="15.75">
      <c r="D198" s="81"/>
      <c r="E198" s="81"/>
      <c r="F198" s="81"/>
      <c r="G198" s="81"/>
      <c r="H198" s="81"/>
    </row>
    <row r="199" spans="4:8" ht="15.75">
      <c r="D199" s="81"/>
      <c r="E199" s="81"/>
      <c r="F199" s="81"/>
      <c r="G199" s="81"/>
      <c r="H199" s="81"/>
    </row>
    <row r="200" spans="4:8" ht="15.75">
      <c r="D200" s="81"/>
      <c r="E200" s="81"/>
      <c r="F200" s="81"/>
      <c r="G200" s="81"/>
      <c r="H200" s="81"/>
    </row>
    <row r="201" spans="4:8" ht="15.75">
      <c r="D201" s="81"/>
      <c r="E201" s="81"/>
      <c r="F201" s="81"/>
      <c r="G201" s="81"/>
      <c r="H201" s="81"/>
    </row>
    <row r="202" spans="4:8" ht="15.75">
      <c r="D202" s="81"/>
      <c r="E202" s="81"/>
      <c r="F202" s="81"/>
      <c r="G202" s="81"/>
      <c r="H202" s="81"/>
    </row>
    <row r="203" spans="4:8" ht="15.75">
      <c r="D203" s="81"/>
      <c r="E203" s="81"/>
      <c r="F203" s="81"/>
      <c r="G203" s="81"/>
      <c r="H203" s="81"/>
    </row>
    <row r="204" spans="4:8" ht="15.75">
      <c r="D204" s="81"/>
      <c r="E204" s="81"/>
      <c r="F204" s="81"/>
      <c r="G204" s="81"/>
      <c r="H204" s="81"/>
    </row>
    <row r="205" spans="4:8" ht="15.75">
      <c r="D205" s="81"/>
      <c r="E205" s="81"/>
      <c r="F205" s="81"/>
      <c r="G205" s="81"/>
      <c r="H205" s="81"/>
    </row>
    <row r="206" spans="4:8" ht="15.75">
      <c r="D206" s="81"/>
      <c r="E206" s="81"/>
      <c r="F206" s="81"/>
      <c r="G206" s="81"/>
      <c r="H206" s="81"/>
    </row>
    <row r="207" spans="4:8" ht="15.75">
      <c r="D207" s="81"/>
      <c r="E207" s="81"/>
      <c r="F207" s="81"/>
      <c r="G207" s="81"/>
      <c r="H207" s="81"/>
    </row>
    <row r="208" spans="4:8" ht="15.75">
      <c r="D208" s="81"/>
      <c r="E208" s="81"/>
      <c r="F208" s="81"/>
      <c r="G208" s="81"/>
      <c r="H208" s="81"/>
    </row>
    <row r="209" spans="4:8" ht="15.75">
      <c r="D209" s="81"/>
      <c r="E209" s="81"/>
      <c r="F209" s="81"/>
      <c r="G209" s="81"/>
      <c r="H209" s="81"/>
    </row>
    <row r="210" spans="4:8" ht="15.75">
      <c r="D210" s="81"/>
      <c r="E210" s="81"/>
      <c r="F210" s="81"/>
      <c r="G210" s="81"/>
      <c r="H210" s="81"/>
    </row>
    <row r="211" spans="4:8" ht="15.75">
      <c r="D211" s="81"/>
      <c r="E211" s="81"/>
      <c r="F211" s="81"/>
      <c r="G211" s="81"/>
      <c r="H211" s="81"/>
    </row>
    <row r="212" spans="4:8" ht="15.75">
      <c r="D212" s="81"/>
      <c r="E212" s="81"/>
      <c r="F212" s="81"/>
      <c r="G212" s="81"/>
      <c r="H212" s="81"/>
    </row>
    <row r="213" spans="4:8" ht="15.75">
      <c r="D213" s="81"/>
      <c r="E213" s="81"/>
      <c r="F213" s="81"/>
      <c r="G213" s="81"/>
      <c r="H213" s="81"/>
    </row>
    <row r="214" spans="4:8" ht="15.75">
      <c r="D214" s="81"/>
      <c r="E214" s="81"/>
      <c r="F214" s="81"/>
      <c r="G214" s="81"/>
      <c r="H214" s="81"/>
    </row>
    <row r="215" spans="4:8" ht="15.75">
      <c r="D215" s="81"/>
      <c r="E215" s="81"/>
      <c r="F215" s="81"/>
      <c r="G215" s="81"/>
      <c r="H215" s="81"/>
    </row>
    <row r="216" spans="4:8" ht="15.75">
      <c r="D216" s="81"/>
      <c r="E216" s="81"/>
      <c r="F216" s="81"/>
      <c r="G216" s="81"/>
      <c r="H216" s="81"/>
    </row>
    <row r="217" spans="4:8" ht="15.75">
      <c r="D217" s="81"/>
      <c r="E217" s="81"/>
      <c r="F217" s="81"/>
      <c r="G217" s="81"/>
      <c r="H217" s="81"/>
    </row>
    <row r="218" spans="4:8" ht="15.75">
      <c r="D218" s="81"/>
      <c r="E218" s="81"/>
      <c r="F218" s="81"/>
      <c r="G218" s="81"/>
      <c r="H218" s="81"/>
    </row>
    <row r="219" spans="4:8" ht="15.75">
      <c r="D219" s="81"/>
      <c r="E219" s="81"/>
      <c r="F219" s="81"/>
      <c r="G219" s="81"/>
      <c r="H219" s="81"/>
    </row>
    <row r="220" spans="4:8" ht="15.75">
      <c r="D220" s="81"/>
      <c r="E220" s="81"/>
      <c r="F220" s="81"/>
      <c r="G220" s="81"/>
      <c r="H220" s="81"/>
    </row>
    <row r="221" spans="4:8" ht="15.75">
      <c r="D221" s="81"/>
      <c r="E221" s="81"/>
      <c r="F221" s="81"/>
      <c r="G221" s="81"/>
      <c r="H221" s="81"/>
    </row>
    <row r="222" spans="4:8" ht="15.75">
      <c r="D222" s="81"/>
      <c r="E222" s="81"/>
      <c r="F222" s="81"/>
      <c r="G222" s="81"/>
      <c r="H222" s="81"/>
    </row>
    <row r="223" spans="4:8" ht="15.75">
      <c r="D223" s="81"/>
      <c r="E223" s="81"/>
      <c r="F223" s="81"/>
      <c r="G223" s="81"/>
      <c r="H223" s="81"/>
    </row>
    <row r="224" spans="4:8" ht="15.75">
      <c r="D224" s="81"/>
      <c r="E224" s="81"/>
      <c r="F224" s="81"/>
      <c r="G224" s="81"/>
      <c r="H224" s="81"/>
    </row>
    <row r="225" spans="4:8" ht="15.75">
      <c r="D225" s="81"/>
      <c r="E225" s="81"/>
      <c r="F225" s="81"/>
      <c r="G225" s="81"/>
      <c r="H225" s="81"/>
    </row>
    <row r="226" spans="4:8" ht="15.75">
      <c r="D226" s="81"/>
      <c r="E226" s="81"/>
      <c r="F226" s="81"/>
      <c r="G226" s="81"/>
      <c r="H226" s="81"/>
    </row>
    <row r="227" spans="4:8" ht="15.75">
      <c r="D227" s="81"/>
      <c r="E227" s="81"/>
      <c r="F227" s="81"/>
      <c r="G227" s="81"/>
      <c r="H227" s="81"/>
    </row>
    <row r="228" spans="4:8" ht="15.75">
      <c r="D228" s="81"/>
      <c r="E228" s="81"/>
      <c r="F228" s="81"/>
      <c r="G228" s="81"/>
      <c r="H228" s="81"/>
    </row>
    <row r="229" spans="4:8" ht="15.75">
      <c r="D229" s="81"/>
      <c r="E229" s="81"/>
      <c r="F229" s="81"/>
      <c r="G229" s="81"/>
      <c r="H229" s="81"/>
    </row>
    <row r="230" spans="4:8" ht="15.75">
      <c r="D230" s="81"/>
      <c r="E230" s="81"/>
      <c r="F230" s="81"/>
      <c r="G230" s="81"/>
      <c r="H230" s="81"/>
    </row>
    <row r="231" spans="4:8" ht="15.75">
      <c r="D231" s="81"/>
      <c r="E231" s="81"/>
      <c r="F231" s="81"/>
      <c r="G231" s="81"/>
      <c r="H231" s="81"/>
    </row>
    <row r="232" spans="4:8" ht="15.75">
      <c r="D232" s="81"/>
      <c r="E232" s="81"/>
      <c r="F232" s="81"/>
      <c r="G232" s="81"/>
      <c r="H232" s="81"/>
    </row>
    <row r="233" spans="4:8" ht="15.75">
      <c r="D233" s="81"/>
      <c r="E233" s="81"/>
      <c r="F233" s="81"/>
      <c r="G233" s="81"/>
      <c r="H233" s="81"/>
    </row>
    <row r="234" spans="4:8" ht="15.75">
      <c r="D234" s="81"/>
      <c r="E234" s="81"/>
      <c r="F234" s="81"/>
      <c r="G234" s="81"/>
      <c r="H234" s="81"/>
    </row>
    <row r="235" spans="4:8" ht="15.75">
      <c r="D235" s="81"/>
      <c r="E235" s="81"/>
      <c r="F235" s="81"/>
      <c r="G235" s="81"/>
      <c r="H235" s="81"/>
    </row>
    <row r="236" spans="4:8" ht="15.75">
      <c r="D236" s="81"/>
      <c r="E236" s="81"/>
      <c r="F236" s="81"/>
      <c r="G236" s="81"/>
      <c r="H236" s="81"/>
    </row>
    <row r="237" spans="4:8" ht="15.75">
      <c r="D237" s="81"/>
      <c r="E237" s="81"/>
      <c r="F237" s="81"/>
      <c r="G237" s="81"/>
      <c r="H237" s="81"/>
    </row>
    <row r="238" spans="4:8" ht="15.75">
      <c r="D238" s="81"/>
      <c r="E238" s="81"/>
      <c r="F238" s="81"/>
      <c r="G238" s="81"/>
      <c r="H238" s="81"/>
    </row>
    <row r="239" spans="4:8" ht="15.75">
      <c r="D239" s="81"/>
      <c r="E239" s="81"/>
      <c r="F239" s="81"/>
      <c r="G239" s="81"/>
      <c r="H239" s="81"/>
    </row>
    <row r="240" spans="4:8" ht="15.75">
      <c r="D240" s="81"/>
      <c r="E240" s="81"/>
      <c r="F240" s="81"/>
      <c r="G240" s="81"/>
      <c r="H240" s="81"/>
    </row>
    <row r="241" spans="4:8" ht="15.75">
      <c r="D241" s="81"/>
      <c r="E241" s="81"/>
      <c r="F241" s="81"/>
      <c r="G241" s="81"/>
      <c r="H241" s="81"/>
    </row>
    <row r="242" spans="4:8" ht="15.75">
      <c r="D242" s="81"/>
      <c r="E242" s="81"/>
      <c r="F242" s="81"/>
      <c r="G242" s="81"/>
      <c r="H242" s="81"/>
    </row>
    <row r="243" spans="4:8" ht="15.75">
      <c r="D243" s="81"/>
      <c r="E243" s="81"/>
      <c r="F243" s="81"/>
      <c r="G243" s="81"/>
      <c r="H243" s="81"/>
    </row>
    <row r="244" spans="4:8" ht="15.75">
      <c r="D244" s="81"/>
      <c r="E244" s="81"/>
      <c r="F244" s="81"/>
      <c r="G244" s="81"/>
      <c r="H244" s="81"/>
    </row>
    <row r="245" spans="4:8" ht="15.75">
      <c r="D245" s="81"/>
      <c r="E245" s="81"/>
      <c r="F245" s="81"/>
      <c r="G245" s="81"/>
      <c r="H245" s="81"/>
    </row>
    <row r="246" spans="4:8" ht="15.75">
      <c r="D246" s="81"/>
      <c r="E246" s="81"/>
      <c r="F246" s="81"/>
      <c r="G246" s="81"/>
      <c r="H246" s="81"/>
    </row>
    <row r="247" spans="4:8" ht="15.75">
      <c r="D247" s="81"/>
      <c r="E247" s="81"/>
      <c r="F247" s="81"/>
      <c r="G247" s="81"/>
      <c r="H247" s="81"/>
    </row>
    <row r="248" spans="4:8" ht="15.75">
      <c r="D248" s="81"/>
      <c r="E248" s="81"/>
      <c r="F248" s="81"/>
      <c r="G248" s="81"/>
      <c r="H248" s="81"/>
    </row>
    <row r="249" spans="4:8" ht="15.75">
      <c r="D249" s="81"/>
      <c r="E249" s="81"/>
      <c r="F249" s="81"/>
      <c r="G249" s="81"/>
      <c r="H249" s="81"/>
    </row>
    <row r="250" spans="4:8" ht="15.75">
      <c r="D250" s="81"/>
      <c r="E250" s="81"/>
      <c r="F250" s="81"/>
      <c r="G250" s="81"/>
      <c r="H250" s="81"/>
    </row>
    <row r="251" spans="4:8" ht="15.75">
      <c r="D251" s="81"/>
      <c r="E251" s="81"/>
      <c r="F251" s="81"/>
      <c r="G251" s="81"/>
      <c r="H251" s="81"/>
    </row>
    <row r="252" spans="4:8" ht="15.75">
      <c r="D252" s="81"/>
      <c r="E252" s="81"/>
      <c r="F252" s="81"/>
      <c r="G252" s="81"/>
      <c r="H252" s="81"/>
    </row>
    <row r="253" spans="4:8" ht="15.75">
      <c r="D253" s="81"/>
      <c r="E253" s="81"/>
      <c r="F253" s="81"/>
      <c r="G253" s="81"/>
      <c r="H253" s="81"/>
    </row>
    <row r="254" spans="4:8" ht="15.75">
      <c r="D254" s="81"/>
      <c r="E254" s="81"/>
      <c r="F254" s="81"/>
      <c r="G254" s="81"/>
      <c r="H254" s="81"/>
    </row>
    <row r="255" spans="4:8" ht="15.75">
      <c r="D255" s="81"/>
      <c r="E255" s="81"/>
      <c r="F255" s="81"/>
      <c r="G255" s="81"/>
      <c r="H255" s="81"/>
    </row>
    <row r="256" spans="4:8" ht="15.75">
      <c r="D256" s="81"/>
      <c r="E256" s="81"/>
      <c r="F256" s="81"/>
      <c r="G256" s="81"/>
      <c r="H256" s="81"/>
    </row>
    <row r="257" spans="4:8" ht="15.75">
      <c r="D257" s="81"/>
      <c r="E257" s="81"/>
      <c r="F257" s="81"/>
      <c r="G257" s="81"/>
      <c r="H257" s="81"/>
    </row>
    <row r="258" spans="4:8" ht="15.75">
      <c r="D258" s="81"/>
      <c r="E258" s="81"/>
      <c r="F258" s="81"/>
      <c r="G258" s="81"/>
      <c r="H258" s="81"/>
    </row>
    <row r="259" spans="4:8" ht="15.75">
      <c r="D259" s="81"/>
      <c r="E259" s="81"/>
      <c r="F259" s="81"/>
      <c r="G259" s="81"/>
      <c r="H259" s="81"/>
    </row>
    <row r="260" spans="4:8" ht="15.75">
      <c r="D260" s="81"/>
      <c r="E260" s="81"/>
      <c r="F260" s="81"/>
      <c r="G260" s="81"/>
      <c r="H260" s="81"/>
    </row>
    <row r="261" spans="4:8" ht="15.75">
      <c r="D261" s="81"/>
      <c r="E261" s="81"/>
      <c r="F261" s="81"/>
      <c r="G261" s="81"/>
      <c r="H261" s="81"/>
    </row>
    <row r="262" spans="4:8" ht="15.75">
      <c r="D262" s="81"/>
      <c r="E262" s="81"/>
      <c r="F262" s="81"/>
      <c r="G262" s="81"/>
      <c r="H262" s="81"/>
    </row>
    <row r="263" spans="4:8" ht="15.75">
      <c r="D263" s="81"/>
      <c r="E263" s="81"/>
      <c r="F263" s="81"/>
      <c r="G263" s="81"/>
      <c r="H263" s="81"/>
    </row>
    <row r="264" spans="4:8" ht="15.75">
      <c r="D264" s="81"/>
      <c r="E264" s="81"/>
      <c r="F264" s="81"/>
      <c r="G264" s="81"/>
      <c r="H264" s="81"/>
    </row>
    <row r="265" spans="4:8" ht="15.75">
      <c r="D265" s="81"/>
      <c r="E265" s="81"/>
      <c r="F265" s="81"/>
      <c r="G265" s="81"/>
      <c r="H265" s="81"/>
    </row>
    <row r="266" spans="4:8" ht="15.75">
      <c r="D266" s="81"/>
      <c r="E266" s="81"/>
      <c r="F266" s="81"/>
      <c r="G266" s="81"/>
      <c r="H266" s="81"/>
    </row>
    <row r="267" spans="4:8" ht="15.75">
      <c r="D267" s="81"/>
      <c r="E267" s="81"/>
      <c r="F267" s="81"/>
      <c r="G267" s="81"/>
      <c r="H267" s="81"/>
    </row>
    <row r="268" spans="4:8" ht="15.75">
      <c r="D268" s="81"/>
      <c r="E268" s="81"/>
      <c r="F268" s="81"/>
      <c r="G268" s="81"/>
      <c r="H268" s="81"/>
    </row>
    <row r="269" spans="4:8" ht="15.75">
      <c r="D269" s="81"/>
      <c r="E269" s="81"/>
      <c r="F269" s="81"/>
      <c r="G269" s="81"/>
      <c r="H269" s="81"/>
    </row>
    <row r="270" spans="4:8" ht="15.75">
      <c r="D270" s="81"/>
      <c r="E270" s="81"/>
      <c r="F270" s="81"/>
      <c r="G270" s="81"/>
      <c r="H270" s="81"/>
    </row>
    <row r="271" spans="4:8" ht="15.75">
      <c r="D271" s="81"/>
      <c r="E271" s="81"/>
      <c r="F271" s="81"/>
      <c r="G271" s="81"/>
      <c r="H271" s="81"/>
    </row>
    <row r="272" spans="4:8" ht="15.75">
      <c r="D272" s="81"/>
      <c r="E272" s="81"/>
      <c r="F272" s="81"/>
      <c r="G272" s="81"/>
      <c r="H272" s="81"/>
    </row>
    <row r="273" spans="4:8" ht="15.75">
      <c r="D273" s="81"/>
      <c r="E273" s="81"/>
      <c r="F273" s="81"/>
      <c r="G273" s="81"/>
      <c r="H273" s="81"/>
    </row>
    <row r="274" spans="4:8" ht="15.75">
      <c r="D274" s="81"/>
      <c r="E274" s="81"/>
      <c r="F274" s="81"/>
      <c r="G274" s="81"/>
      <c r="H274" s="81"/>
    </row>
    <row r="275" spans="4:8" ht="15.75">
      <c r="D275" s="81"/>
      <c r="E275" s="81"/>
      <c r="F275" s="81"/>
      <c r="G275" s="81"/>
      <c r="H275" s="81"/>
    </row>
    <row r="276" spans="4:8" ht="15.75">
      <c r="D276" s="81"/>
      <c r="E276" s="81"/>
      <c r="F276" s="81"/>
      <c r="G276" s="81"/>
      <c r="H276" s="81"/>
    </row>
    <row r="277" spans="4:8" ht="15.75">
      <c r="D277" s="81"/>
      <c r="E277" s="81"/>
      <c r="F277" s="81"/>
      <c r="G277" s="81"/>
      <c r="H277" s="81"/>
    </row>
    <row r="278" spans="4:8" ht="15.75">
      <c r="D278" s="81"/>
      <c r="E278" s="81"/>
      <c r="F278" s="81"/>
      <c r="G278" s="81"/>
      <c r="H278" s="81"/>
    </row>
    <row r="279" spans="4:8" ht="15.75">
      <c r="D279" s="81"/>
      <c r="E279" s="81"/>
      <c r="F279" s="81"/>
      <c r="G279" s="81"/>
      <c r="H279" s="81"/>
    </row>
    <row r="280" spans="4:8" ht="15.75">
      <c r="D280" s="81"/>
      <c r="E280" s="81"/>
      <c r="F280" s="81"/>
      <c r="G280" s="81"/>
      <c r="H280" s="81"/>
    </row>
    <row r="281" spans="4:8" ht="15.75">
      <c r="D281" s="81"/>
      <c r="E281" s="81"/>
      <c r="F281" s="81"/>
      <c r="G281" s="81"/>
      <c r="H281" s="81"/>
    </row>
    <row r="282" spans="4:8" ht="15.75">
      <c r="D282" s="81"/>
      <c r="E282" s="81"/>
      <c r="F282" s="81"/>
      <c r="G282" s="81"/>
      <c r="H282" s="81"/>
    </row>
    <row r="283" spans="4:8" ht="15.75">
      <c r="D283" s="81"/>
      <c r="E283" s="81"/>
      <c r="F283" s="81"/>
      <c r="G283" s="81"/>
      <c r="H283" s="81"/>
    </row>
    <row r="284" spans="4:8" ht="15.75">
      <c r="D284" s="81"/>
      <c r="E284" s="81"/>
      <c r="F284" s="81"/>
      <c r="G284" s="81"/>
      <c r="H284" s="81"/>
    </row>
    <row r="285" spans="4:8" ht="15.75">
      <c r="D285" s="81"/>
      <c r="E285" s="81"/>
      <c r="F285" s="81"/>
      <c r="G285" s="81"/>
      <c r="H285" s="81"/>
    </row>
    <row r="286" spans="4:8" ht="15.75">
      <c r="D286" s="81"/>
      <c r="E286" s="81"/>
      <c r="F286" s="81"/>
      <c r="G286" s="81"/>
      <c r="H286" s="81"/>
    </row>
    <row r="287" spans="4:8" ht="15.75">
      <c r="D287" s="81"/>
      <c r="E287" s="81"/>
      <c r="F287" s="81"/>
      <c r="G287" s="81"/>
      <c r="H287" s="81"/>
    </row>
    <row r="288" spans="4:8" ht="15.75">
      <c r="D288" s="81"/>
      <c r="E288" s="81"/>
      <c r="F288" s="81"/>
      <c r="G288" s="81"/>
      <c r="H288" s="81"/>
    </row>
    <row r="289" spans="4:8" ht="15.75">
      <c r="D289" s="81"/>
      <c r="E289" s="81"/>
      <c r="F289" s="81"/>
      <c r="G289" s="81"/>
      <c r="H289" s="81"/>
    </row>
    <row r="290" spans="4:8" ht="15.75">
      <c r="D290" s="81"/>
      <c r="E290" s="81"/>
      <c r="F290" s="81"/>
      <c r="G290" s="81"/>
      <c r="H290" s="81"/>
    </row>
    <row r="291" spans="4:8" ht="15.75">
      <c r="D291" s="81"/>
      <c r="E291" s="81"/>
      <c r="F291" s="81"/>
      <c r="G291" s="81"/>
      <c r="H291" s="81"/>
    </row>
    <row r="292" spans="4:8" ht="15.75">
      <c r="D292" s="81"/>
      <c r="E292" s="81"/>
      <c r="F292" s="81"/>
      <c r="G292" s="81"/>
      <c r="H292" s="81"/>
    </row>
    <row r="293" spans="4:8" ht="15.75">
      <c r="D293" s="81"/>
      <c r="E293" s="81"/>
      <c r="F293" s="81"/>
      <c r="G293" s="81"/>
      <c r="H293" s="81"/>
    </row>
    <row r="294" spans="4:8" ht="15.75">
      <c r="D294" s="81"/>
      <c r="E294" s="81"/>
      <c r="F294" s="81"/>
      <c r="G294" s="81"/>
      <c r="H294" s="81"/>
    </row>
    <row r="295" spans="4:8" ht="15.75">
      <c r="D295" s="81"/>
      <c r="E295" s="81"/>
      <c r="F295" s="81"/>
      <c r="G295" s="81"/>
      <c r="H295" s="81"/>
    </row>
    <row r="296" spans="4:8" ht="15.75">
      <c r="D296" s="81"/>
      <c r="E296" s="81"/>
      <c r="F296" s="81"/>
      <c r="G296" s="81"/>
      <c r="H296" s="81"/>
    </row>
    <row r="297" spans="4:8" ht="15.75">
      <c r="D297" s="81"/>
      <c r="E297" s="81"/>
      <c r="F297" s="81"/>
      <c r="G297" s="81"/>
      <c r="H297" s="81"/>
    </row>
    <row r="298" spans="4:8" ht="15.75">
      <c r="D298" s="81"/>
      <c r="E298" s="81"/>
      <c r="F298" s="81"/>
      <c r="G298" s="81"/>
      <c r="H298" s="81"/>
    </row>
    <row r="299" spans="4:8" ht="15.75">
      <c r="D299" s="81"/>
      <c r="E299" s="81"/>
      <c r="F299" s="81"/>
      <c r="G299" s="81"/>
      <c r="H299" s="81"/>
    </row>
    <row r="300" spans="4:8" ht="15.75">
      <c r="D300" s="81"/>
      <c r="E300" s="81"/>
      <c r="F300" s="81"/>
      <c r="G300" s="81"/>
      <c r="H300" s="81"/>
    </row>
    <row r="301" spans="4:8" ht="15.75">
      <c r="D301" s="81"/>
      <c r="E301" s="81"/>
      <c r="F301" s="81"/>
      <c r="G301" s="81"/>
      <c r="H301" s="81"/>
    </row>
    <row r="302" spans="4:8" ht="15.75">
      <c r="D302" s="81"/>
      <c r="E302" s="81"/>
      <c r="F302" s="81"/>
      <c r="G302" s="81"/>
      <c r="H302" s="81"/>
    </row>
    <row r="303" spans="4:8" ht="15.75">
      <c r="D303" s="81"/>
      <c r="E303" s="81"/>
      <c r="F303" s="81"/>
      <c r="G303" s="81"/>
      <c r="H303" s="81"/>
    </row>
    <row r="304" spans="4:8" ht="15.75">
      <c r="D304" s="81"/>
      <c r="E304" s="81"/>
      <c r="F304" s="81"/>
      <c r="G304" s="81"/>
      <c r="H304" s="81"/>
    </row>
    <row r="305" spans="4:8" ht="15.75">
      <c r="D305" s="81"/>
      <c r="E305" s="81"/>
      <c r="F305" s="81"/>
      <c r="G305" s="81"/>
      <c r="H305" s="81"/>
    </row>
    <row r="306" spans="4:8" ht="15.75">
      <c r="D306" s="81"/>
      <c r="E306" s="81"/>
      <c r="F306" s="81"/>
      <c r="G306" s="81"/>
      <c r="H306" s="81"/>
    </row>
    <row r="307" spans="4:8" ht="15.75">
      <c r="D307" s="81"/>
      <c r="E307" s="81"/>
      <c r="F307" s="81"/>
      <c r="G307" s="81"/>
      <c r="H307" s="81"/>
    </row>
    <row r="308" spans="4:8" ht="15.75">
      <c r="D308" s="81"/>
      <c r="E308" s="81"/>
      <c r="F308" s="81"/>
      <c r="G308" s="81"/>
      <c r="H308" s="81"/>
    </row>
    <row r="309" spans="4:8" ht="15.75">
      <c r="D309" s="81"/>
      <c r="E309" s="81"/>
      <c r="F309" s="81"/>
      <c r="G309" s="81"/>
      <c r="H309" s="81"/>
    </row>
    <row r="310" spans="4:8" ht="15.75">
      <c r="D310" s="81"/>
      <c r="E310" s="81"/>
      <c r="F310" s="81"/>
      <c r="G310" s="81"/>
      <c r="H310" s="81"/>
    </row>
    <row r="311" spans="4:8" ht="15.75">
      <c r="D311" s="81"/>
      <c r="E311" s="81"/>
      <c r="F311" s="81"/>
      <c r="G311" s="81"/>
      <c r="H311" s="81"/>
    </row>
    <row r="312" spans="4:8" ht="15.75">
      <c r="D312" s="81"/>
      <c r="E312" s="81"/>
      <c r="F312" s="81"/>
      <c r="G312" s="81"/>
      <c r="H312" s="81"/>
    </row>
    <row r="313" spans="4:8" ht="15.75">
      <c r="D313" s="81"/>
      <c r="E313" s="81"/>
      <c r="F313" s="81"/>
      <c r="G313" s="81"/>
      <c r="H313" s="81"/>
    </row>
    <row r="314" spans="4:8" ht="15.75">
      <c r="D314" s="81"/>
      <c r="E314" s="81"/>
      <c r="F314" s="81"/>
      <c r="G314" s="81"/>
      <c r="H314" s="81"/>
    </row>
    <row r="315" spans="4:8" ht="15.75">
      <c r="D315" s="81"/>
      <c r="E315" s="81"/>
      <c r="F315" s="81"/>
      <c r="G315" s="81"/>
      <c r="H315" s="81"/>
    </row>
    <row r="316" spans="4:8" ht="15.75">
      <c r="D316" s="81"/>
      <c r="E316" s="81"/>
      <c r="F316" s="81"/>
      <c r="G316" s="81"/>
      <c r="H316" s="81"/>
    </row>
    <row r="317" spans="4:8" ht="15.75">
      <c r="D317" s="81"/>
      <c r="E317" s="81"/>
      <c r="F317" s="81"/>
      <c r="G317" s="81"/>
      <c r="H317" s="81"/>
    </row>
    <row r="318" spans="4:8" ht="15.75">
      <c r="D318" s="81"/>
      <c r="E318" s="81"/>
      <c r="F318" s="81"/>
      <c r="G318" s="81"/>
      <c r="H318" s="81"/>
    </row>
    <row r="319" spans="4:8" ht="15.75">
      <c r="D319" s="81"/>
      <c r="E319" s="81"/>
      <c r="F319" s="81"/>
      <c r="G319" s="81"/>
      <c r="H319" s="81"/>
    </row>
    <row r="320" spans="4:8" ht="15.75">
      <c r="D320" s="81"/>
      <c r="E320" s="81"/>
      <c r="F320" s="81"/>
      <c r="G320" s="81"/>
      <c r="H320" s="81"/>
    </row>
    <row r="321" spans="4:8" ht="15.75">
      <c r="D321" s="81"/>
      <c r="E321" s="81"/>
      <c r="F321" s="81"/>
      <c r="G321" s="81"/>
      <c r="H321" s="81"/>
    </row>
    <row r="322" spans="4:8" ht="15.75">
      <c r="D322" s="81"/>
      <c r="E322" s="81"/>
      <c r="F322" s="81"/>
      <c r="G322" s="81"/>
      <c r="H322" s="81"/>
    </row>
    <row r="323" spans="4:8" ht="15.75">
      <c r="D323" s="81"/>
      <c r="E323" s="81"/>
      <c r="F323" s="81"/>
      <c r="G323" s="81"/>
      <c r="H323" s="81"/>
    </row>
    <row r="324" spans="4:8" ht="15.75">
      <c r="D324" s="81"/>
      <c r="E324" s="81"/>
      <c r="F324" s="81"/>
      <c r="G324" s="81"/>
      <c r="H324" s="81"/>
    </row>
    <row r="325" spans="4:8" ht="15.75">
      <c r="D325" s="81"/>
      <c r="E325" s="81"/>
      <c r="F325" s="81"/>
      <c r="G325" s="81"/>
      <c r="H325" s="81"/>
    </row>
    <row r="326" spans="4:8" ht="15.75">
      <c r="D326" s="81"/>
      <c r="E326" s="81"/>
      <c r="F326" s="81"/>
      <c r="G326" s="81"/>
      <c r="H326" s="81"/>
    </row>
    <row r="327" spans="4:8" ht="15.75">
      <c r="D327" s="81"/>
      <c r="E327" s="81"/>
      <c r="F327" s="81"/>
      <c r="G327" s="81"/>
      <c r="H327" s="81"/>
    </row>
    <row r="328" spans="4:8" ht="15.75">
      <c r="D328" s="81"/>
      <c r="E328" s="81"/>
      <c r="F328" s="81"/>
      <c r="G328" s="81"/>
      <c r="H328" s="81"/>
    </row>
    <row r="329" spans="4:8" ht="15.75">
      <c r="D329" s="81"/>
      <c r="E329" s="81"/>
      <c r="F329" s="81"/>
      <c r="G329" s="81"/>
      <c r="H329" s="81"/>
    </row>
    <row r="330" spans="4:8" ht="15.75">
      <c r="D330" s="81"/>
      <c r="E330" s="81"/>
      <c r="F330" s="81"/>
      <c r="G330" s="81"/>
      <c r="H330" s="81"/>
    </row>
    <row r="331" spans="4:8" ht="15.75">
      <c r="D331" s="81"/>
      <c r="E331" s="81"/>
      <c r="F331" s="81"/>
      <c r="G331" s="81"/>
      <c r="H331" s="81"/>
    </row>
    <row r="332" spans="4:8" ht="15.75">
      <c r="D332" s="81"/>
      <c r="E332" s="81"/>
      <c r="F332" s="81"/>
      <c r="G332" s="81"/>
      <c r="H332" s="81"/>
    </row>
    <row r="333" spans="4:8" ht="15.75">
      <c r="D333" s="81"/>
      <c r="E333" s="81"/>
      <c r="F333" s="81"/>
      <c r="G333" s="81"/>
      <c r="H333" s="81"/>
    </row>
    <row r="334" spans="4:8" ht="15.75">
      <c r="D334" s="81"/>
      <c r="E334" s="81"/>
      <c r="F334" s="81"/>
      <c r="G334" s="81"/>
      <c r="H334" s="81"/>
    </row>
    <row r="335" spans="4:8" ht="15.75">
      <c r="D335" s="81"/>
      <c r="E335" s="81"/>
      <c r="F335" s="81"/>
      <c r="G335" s="81"/>
      <c r="H335" s="81"/>
    </row>
    <row r="336" spans="4:8" ht="15.75">
      <c r="D336" s="81"/>
      <c r="E336" s="81"/>
      <c r="F336" s="81"/>
      <c r="G336" s="81"/>
      <c r="H336" s="81"/>
    </row>
    <row r="337" spans="4:8" ht="15.75">
      <c r="D337" s="81"/>
      <c r="E337" s="81"/>
      <c r="F337" s="81"/>
      <c r="G337" s="81"/>
      <c r="H337" s="81"/>
    </row>
    <row r="338" spans="4:8" ht="15.75">
      <c r="D338" s="81"/>
      <c r="E338" s="81"/>
      <c r="F338" s="81"/>
      <c r="G338" s="81"/>
      <c r="H338" s="81"/>
    </row>
    <row r="339" spans="4:8" ht="15.75">
      <c r="D339" s="81"/>
      <c r="E339" s="81"/>
      <c r="F339" s="81"/>
      <c r="G339" s="81"/>
      <c r="H339" s="81"/>
    </row>
    <row r="340" spans="4:8" ht="15.75">
      <c r="D340" s="81"/>
      <c r="E340" s="81"/>
      <c r="F340" s="81"/>
      <c r="G340" s="81"/>
      <c r="H340" s="81"/>
    </row>
    <row r="341" spans="4:8" ht="15.75">
      <c r="D341" s="81"/>
      <c r="E341" s="81"/>
      <c r="F341" s="81"/>
      <c r="G341" s="81"/>
      <c r="H341" s="81"/>
    </row>
    <row r="342" spans="4:8" ht="15.75">
      <c r="D342" s="81"/>
      <c r="E342" s="81"/>
      <c r="F342" s="81"/>
      <c r="G342" s="81"/>
      <c r="H342" s="81"/>
    </row>
    <row r="343" spans="4:8" ht="15.75">
      <c r="D343" s="81"/>
      <c r="E343" s="81"/>
      <c r="F343" s="81"/>
      <c r="G343" s="81"/>
      <c r="H343" s="81"/>
    </row>
    <row r="344" spans="4:8" ht="15.75">
      <c r="D344" s="81"/>
      <c r="E344" s="81"/>
      <c r="F344" s="81"/>
      <c r="G344" s="81"/>
      <c r="H344" s="81"/>
    </row>
    <row r="345" spans="4:8" ht="15.75">
      <c r="D345" s="81"/>
      <c r="E345" s="81"/>
      <c r="F345" s="81"/>
      <c r="G345" s="81"/>
      <c r="H345" s="81"/>
    </row>
    <row r="346" spans="4:8" ht="15.75">
      <c r="D346" s="81"/>
      <c r="E346" s="81"/>
      <c r="F346" s="81"/>
      <c r="G346" s="81"/>
      <c r="H346" s="81"/>
    </row>
    <row r="347" spans="4:8" ht="15.75">
      <c r="D347" s="81"/>
      <c r="E347" s="81"/>
      <c r="F347" s="81"/>
      <c r="G347" s="81"/>
      <c r="H347" s="81"/>
    </row>
    <row r="348" spans="4:8" ht="15.75">
      <c r="D348" s="81"/>
      <c r="E348" s="81"/>
      <c r="F348" s="81"/>
      <c r="G348" s="81"/>
      <c r="H348" s="81"/>
    </row>
    <row r="349" spans="4:8" ht="15.75">
      <c r="D349" s="81"/>
      <c r="E349" s="81"/>
      <c r="F349" s="81"/>
      <c r="G349" s="81"/>
      <c r="H349" s="81"/>
    </row>
    <row r="350" spans="4:8" ht="15.75">
      <c r="D350" s="81"/>
      <c r="E350" s="81"/>
      <c r="F350" s="81"/>
      <c r="G350" s="81"/>
      <c r="H350" s="81"/>
    </row>
    <row r="351" spans="4:8" ht="15.75">
      <c r="D351" s="81"/>
      <c r="E351" s="81"/>
      <c r="F351" s="81"/>
      <c r="G351" s="81"/>
      <c r="H351" s="81"/>
    </row>
    <row r="352" spans="4:8" ht="15.75">
      <c r="D352" s="81"/>
      <c r="E352" s="81"/>
      <c r="F352" s="81"/>
      <c r="G352" s="81"/>
      <c r="H352" s="81"/>
    </row>
    <row r="353" spans="4:8" ht="15.75">
      <c r="D353" s="81"/>
      <c r="E353" s="81"/>
      <c r="F353" s="81"/>
      <c r="G353" s="81"/>
      <c r="H353" s="81"/>
    </row>
    <row r="354" spans="4:8" ht="15.75">
      <c r="D354" s="81"/>
      <c r="E354" s="81"/>
      <c r="F354" s="81"/>
      <c r="G354" s="81"/>
      <c r="H354" s="81"/>
    </row>
    <row r="355" spans="4:8" ht="15.75">
      <c r="D355" s="81"/>
      <c r="E355" s="81"/>
      <c r="F355" s="81"/>
      <c r="G355" s="81"/>
      <c r="H355" s="81"/>
    </row>
    <row r="356" spans="4:8" ht="15.75">
      <c r="D356" s="81"/>
      <c r="E356" s="81"/>
      <c r="F356" s="81"/>
      <c r="G356" s="81"/>
      <c r="H356" s="81"/>
    </row>
    <row r="357" spans="4:8" ht="15.75">
      <c r="D357" s="81"/>
      <c r="E357" s="81"/>
      <c r="F357" s="81"/>
      <c r="G357" s="81"/>
      <c r="H357" s="81"/>
    </row>
    <row r="358" spans="4:8" ht="15.75">
      <c r="D358" s="81"/>
      <c r="E358" s="81"/>
      <c r="F358" s="81"/>
      <c r="G358" s="81"/>
      <c r="H358" s="81"/>
    </row>
    <row r="359" spans="4:8" ht="15.75">
      <c r="D359" s="81"/>
      <c r="E359" s="81"/>
      <c r="F359" s="81"/>
      <c r="G359" s="81"/>
      <c r="H359" s="81"/>
    </row>
    <row r="360" spans="4:8" ht="15.75">
      <c r="D360" s="81"/>
      <c r="E360" s="81"/>
      <c r="F360" s="81"/>
      <c r="G360" s="81"/>
      <c r="H360" s="81"/>
    </row>
    <row r="361" spans="4:8" ht="15.75">
      <c r="D361" s="81"/>
      <c r="E361" s="81"/>
      <c r="F361" s="81"/>
      <c r="G361" s="81"/>
      <c r="H361" s="81"/>
    </row>
    <row r="362" spans="4:8" ht="15.75">
      <c r="D362" s="81"/>
      <c r="E362" s="81"/>
      <c r="F362" s="81"/>
      <c r="G362" s="81"/>
      <c r="H362" s="81"/>
    </row>
    <row r="363" spans="4:8" ht="15.75">
      <c r="D363" s="81"/>
      <c r="E363" s="81"/>
      <c r="F363" s="81"/>
      <c r="G363" s="81"/>
      <c r="H363" s="81"/>
    </row>
    <row r="364" spans="4:8" ht="15.75">
      <c r="D364" s="81"/>
      <c r="E364" s="81"/>
      <c r="F364" s="81"/>
      <c r="G364" s="81"/>
      <c r="H364" s="81"/>
    </row>
    <row r="365" spans="4:8" ht="15.75">
      <c r="D365" s="81"/>
      <c r="E365" s="81"/>
      <c r="F365" s="81"/>
      <c r="G365" s="81"/>
      <c r="H365" s="81"/>
    </row>
    <row r="366" spans="4:8" ht="15.75">
      <c r="D366" s="81"/>
      <c r="E366" s="81"/>
      <c r="F366" s="81"/>
      <c r="G366" s="81"/>
      <c r="H366" s="81"/>
    </row>
    <row r="367" spans="4:8" ht="15.75">
      <c r="D367" s="81"/>
      <c r="E367" s="81"/>
      <c r="F367" s="81"/>
      <c r="G367" s="81"/>
      <c r="H367" s="81"/>
    </row>
    <row r="368" spans="4:8" ht="15.75">
      <c r="D368" s="81"/>
      <c r="E368" s="81"/>
      <c r="F368" s="81"/>
      <c r="G368" s="81"/>
      <c r="H368" s="81"/>
    </row>
    <row r="369" spans="4:8" ht="15.75">
      <c r="D369" s="81"/>
      <c r="E369" s="81"/>
      <c r="F369" s="81"/>
      <c r="G369" s="81"/>
      <c r="H369" s="81"/>
    </row>
    <row r="370" spans="4:8" ht="15.75">
      <c r="D370" s="81"/>
      <c r="E370" s="81"/>
      <c r="F370" s="81"/>
      <c r="G370" s="81"/>
      <c r="H370" s="81"/>
    </row>
    <row r="371" spans="4:8" ht="15.75">
      <c r="D371" s="81"/>
      <c r="E371" s="81"/>
      <c r="F371" s="81"/>
      <c r="G371" s="81"/>
      <c r="H371" s="81"/>
    </row>
    <row r="372" spans="4:8" ht="15.75">
      <c r="D372" s="81"/>
      <c r="E372" s="81"/>
      <c r="F372" s="81"/>
      <c r="G372" s="81"/>
      <c r="H372" s="81"/>
    </row>
    <row r="373" spans="4:8" ht="15.75">
      <c r="D373" s="81"/>
      <c r="E373" s="81"/>
      <c r="F373" s="81"/>
      <c r="G373" s="81"/>
      <c r="H373" s="81"/>
    </row>
    <row r="374" spans="4:8" ht="15.75">
      <c r="D374" s="81"/>
      <c r="E374" s="81"/>
      <c r="F374" s="81"/>
      <c r="G374" s="81"/>
      <c r="H374" s="81"/>
    </row>
    <row r="375" spans="4:8" ht="15.75">
      <c r="D375" s="81"/>
      <c r="E375" s="81"/>
      <c r="F375" s="81"/>
      <c r="G375" s="81"/>
      <c r="H375" s="81"/>
    </row>
    <row r="376" spans="4:8" ht="15.75">
      <c r="D376" s="81"/>
      <c r="E376" s="81"/>
      <c r="F376" s="81"/>
      <c r="G376" s="81"/>
      <c r="H376" s="81"/>
    </row>
    <row r="377" spans="4:8" ht="15.75">
      <c r="D377" s="81"/>
      <c r="E377" s="81"/>
      <c r="F377" s="81"/>
      <c r="G377" s="81"/>
      <c r="H377" s="81"/>
    </row>
    <row r="378" spans="4:8" ht="15.75">
      <c r="D378" s="81"/>
      <c r="E378" s="81"/>
      <c r="F378" s="81"/>
      <c r="G378" s="81"/>
      <c r="H378" s="81"/>
    </row>
    <row r="379" spans="4:8" ht="15.75">
      <c r="D379" s="81"/>
      <c r="E379" s="81"/>
      <c r="F379" s="81"/>
      <c r="G379" s="81"/>
      <c r="H379" s="81"/>
    </row>
    <row r="380" spans="4:8" ht="15.75">
      <c r="D380" s="81"/>
      <c r="E380" s="81"/>
      <c r="F380" s="81"/>
      <c r="G380" s="81"/>
      <c r="H380" s="81"/>
    </row>
    <row r="381" spans="4:8" ht="15.75">
      <c r="D381" s="81"/>
      <c r="E381" s="81"/>
      <c r="F381" s="81"/>
      <c r="G381" s="81"/>
      <c r="H381" s="81"/>
    </row>
    <row r="382" spans="4:8" ht="15.75">
      <c r="D382" s="81"/>
      <c r="E382" s="81"/>
      <c r="F382" s="81"/>
      <c r="G382" s="81"/>
      <c r="H382" s="81"/>
    </row>
    <row r="383" spans="4:8" ht="15.75">
      <c r="D383" s="81"/>
      <c r="E383" s="81"/>
      <c r="F383" s="81"/>
      <c r="G383" s="81"/>
      <c r="H383" s="81"/>
    </row>
    <row r="384" spans="4:8" ht="15.75">
      <c r="D384" s="81"/>
      <c r="E384" s="81"/>
      <c r="F384" s="81"/>
      <c r="G384" s="81"/>
      <c r="H384" s="81"/>
    </row>
    <row r="385" spans="4:8" ht="15.75">
      <c r="D385" s="81"/>
      <c r="E385" s="81"/>
      <c r="F385" s="81"/>
      <c r="G385" s="81"/>
      <c r="H385" s="81"/>
    </row>
    <row r="386" spans="4:8" ht="15.75">
      <c r="D386" s="81"/>
      <c r="E386" s="81"/>
      <c r="F386" s="81"/>
      <c r="G386" s="81"/>
      <c r="H386" s="81"/>
    </row>
    <row r="387" spans="4:8" ht="15.75">
      <c r="D387" s="81"/>
      <c r="E387" s="81"/>
      <c r="F387" s="81"/>
      <c r="G387" s="81"/>
      <c r="H387" s="81"/>
    </row>
    <row r="388" spans="4:8" ht="15.75">
      <c r="D388" s="81"/>
      <c r="E388" s="81"/>
      <c r="F388" s="81"/>
      <c r="G388" s="81"/>
      <c r="H388" s="81"/>
    </row>
    <row r="389" spans="4:8" ht="15.75">
      <c r="D389" s="81"/>
      <c r="E389" s="81"/>
      <c r="F389" s="81"/>
      <c r="G389" s="81"/>
      <c r="H389" s="81"/>
    </row>
    <row r="390" spans="4:8" ht="15.75">
      <c r="D390" s="81"/>
      <c r="E390" s="81"/>
      <c r="F390" s="81"/>
      <c r="G390" s="81"/>
      <c r="H390" s="81"/>
    </row>
    <row r="391" spans="4:8" ht="15.75">
      <c r="D391" s="81"/>
      <c r="E391" s="81"/>
      <c r="F391" s="81"/>
      <c r="G391" s="81"/>
      <c r="H391" s="81"/>
    </row>
    <row r="392" spans="4:8" ht="15.75">
      <c r="D392" s="81"/>
      <c r="E392" s="81"/>
      <c r="F392" s="81"/>
      <c r="G392" s="81"/>
      <c r="H392" s="81"/>
    </row>
    <row r="393" spans="4:8" ht="15.75">
      <c r="D393" s="81"/>
      <c r="E393" s="81"/>
      <c r="F393" s="81"/>
      <c r="G393" s="81"/>
      <c r="H393" s="81"/>
    </row>
    <row r="394" spans="4:8" ht="15.75">
      <c r="D394" s="81"/>
      <c r="E394" s="81"/>
      <c r="F394" s="81"/>
      <c r="G394" s="81"/>
      <c r="H394" s="81"/>
    </row>
    <row r="395" spans="4:8" ht="15.75">
      <c r="D395" s="81"/>
      <c r="E395" s="81"/>
      <c r="F395" s="81"/>
      <c r="G395" s="81"/>
      <c r="H395" s="81"/>
    </row>
    <row r="396" spans="4:8" ht="15.75">
      <c r="D396" s="81"/>
      <c r="E396" s="81"/>
      <c r="F396" s="81"/>
      <c r="G396" s="81"/>
      <c r="H396" s="81"/>
    </row>
    <row r="397" spans="4:8" ht="15.75">
      <c r="D397" s="81"/>
      <c r="E397" s="81"/>
      <c r="F397" s="81"/>
      <c r="G397" s="81"/>
      <c r="H397" s="81"/>
    </row>
    <row r="398" spans="4:8" ht="15.75">
      <c r="D398" s="81"/>
      <c r="E398" s="81"/>
      <c r="F398" s="81"/>
      <c r="G398" s="81"/>
      <c r="H398" s="81"/>
    </row>
    <row r="399" spans="4:8" ht="15.75">
      <c r="D399" s="81"/>
      <c r="E399" s="81"/>
      <c r="F399" s="81"/>
      <c r="G399" s="81"/>
      <c r="H399" s="81"/>
    </row>
    <row r="400" spans="4:8" ht="15.75">
      <c r="D400" s="81"/>
      <c r="E400" s="81"/>
      <c r="F400" s="81"/>
      <c r="G400" s="81"/>
      <c r="H400" s="81"/>
    </row>
    <row r="401" spans="4:8" ht="15.75">
      <c r="D401" s="81"/>
      <c r="E401" s="81"/>
      <c r="F401" s="81"/>
      <c r="G401" s="81"/>
      <c r="H401" s="81"/>
    </row>
    <row r="402" spans="4:8" ht="15.75">
      <c r="D402" s="81"/>
      <c r="E402" s="81"/>
      <c r="F402" s="81"/>
      <c r="G402" s="81"/>
      <c r="H402" s="81"/>
    </row>
    <row r="403" spans="4:8" ht="15.75">
      <c r="D403" s="81"/>
      <c r="E403" s="81"/>
      <c r="F403" s="81"/>
      <c r="G403" s="81"/>
      <c r="H403" s="81"/>
    </row>
    <row r="404" spans="4:8" ht="15.75">
      <c r="D404" s="81"/>
      <c r="E404" s="81"/>
      <c r="F404" s="81"/>
      <c r="G404" s="81"/>
      <c r="H404" s="81"/>
    </row>
    <row r="405" spans="4:8" ht="15.75">
      <c r="D405" s="81"/>
      <c r="E405" s="81"/>
      <c r="F405" s="81"/>
      <c r="G405" s="81"/>
      <c r="H405" s="81"/>
    </row>
    <row r="406" spans="4:8" ht="15.75">
      <c r="D406" s="81"/>
      <c r="E406" s="81"/>
      <c r="F406" s="81"/>
      <c r="G406" s="81"/>
      <c r="H406" s="81"/>
    </row>
    <row r="407" spans="4:8" ht="15.75">
      <c r="D407" s="81"/>
      <c r="E407" s="81"/>
      <c r="F407" s="81"/>
      <c r="G407" s="81"/>
      <c r="H407" s="81"/>
    </row>
    <row r="408" spans="4:8" ht="15.75">
      <c r="D408" s="81"/>
      <c r="E408" s="81"/>
      <c r="F408" s="81"/>
      <c r="G408" s="81"/>
      <c r="H408" s="81"/>
    </row>
    <row r="409" spans="4:8" ht="15.75">
      <c r="D409" s="81"/>
      <c r="E409" s="81"/>
      <c r="F409" s="81"/>
      <c r="G409" s="81"/>
      <c r="H409" s="81"/>
    </row>
    <row r="410" spans="4:8" ht="15.75">
      <c r="D410" s="81"/>
      <c r="E410" s="81"/>
      <c r="F410" s="81"/>
      <c r="G410" s="81"/>
      <c r="H410" s="81"/>
    </row>
    <row r="411" spans="4:8" ht="15.75">
      <c r="D411" s="81"/>
      <c r="E411" s="81"/>
      <c r="F411" s="81"/>
      <c r="G411" s="81"/>
      <c r="H411" s="81"/>
    </row>
    <row r="412" spans="4:8" ht="15.75">
      <c r="D412" s="81"/>
      <c r="E412" s="81"/>
      <c r="F412" s="81"/>
      <c r="G412" s="81"/>
      <c r="H412" s="81"/>
    </row>
    <row r="413" spans="4:8" ht="15.75">
      <c r="D413" s="81"/>
      <c r="E413" s="81"/>
      <c r="F413" s="81"/>
      <c r="G413" s="81"/>
      <c r="H413" s="81"/>
    </row>
    <row r="414" spans="4:8" ht="15.75">
      <c r="D414" s="81"/>
      <c r="E414" s="81"/>
      <c r="F414" s="81"/>
      <c r="G414" s="81"/>
      <c r="H414" s="81"/>
    </row>
    <row r="415" spans="4:8" ht="15.75">
      <c r="D415" s="81"/>
      <c r="E415" s="81"/>
      <c r="F415" s="81"/>
      <c r="G415" s="81"/>
      <c r="H415" s="81"/>
    </row>
    <row r="416" spans="4:8" ht="15.75">
      <c r="D416" s="81"/>
      <c r="E416" s="81"/>
      <c r="F416" s="81"/>
      <c r="G416" s="81"/>
      <c r="H416" s="81"/>
    </row>
    <row r="417" spans="4:8" ht="15.75">
      <c r="D417" s="81"/>
      <c r="E417" s="81"/>
      <c r="F417" s="81"/>
      <c r="G417" s="81"/>
      <c r="H417" s="81"/>
    </row>
    <row r="418" spans="4:8" ht="15.75">
      <c r="D418" s="81"/>
      <c r="E418" s="81"/>
      <c r="F418" s="81"/>
      <c r="G418" s="81"/>
      <c r="H418" s="81"/>
    </row>
    <row r="419" spans="4:8" ht="15.75">
      <c r="D419" s="81"/>
      <c r="E419" s="81"/>
      <c r="F419" s="81"/>
      <c r="G419" s="81"/>
      <c r="H419" s="81"/>
    </row>
    <row r="420" spans="4:8" ht="15.75">
      <c r="D420" s="81"/>
      <c r="E420" s="81"/>
      <c r="F420" s="81"/>
      <c r="G420" s="81"/>
      <c r="H420" s="81"/>
    </row>
    <row r="421" spans="4:8" ht="15.75">
      <c r="D421" s="81"/>
      <c r="E421" s="81"/>
      <c r="F421" s="81"/>
      <c r="G421" s="81"/>
      <c r="H421" s="81"/>
    </row>
    <row r="422" spans="4:8" ht="15.75">
      <c r="D422" s="81"/>
      <c r="E422" s="81"/>
      <c r="F422" s="81"/>
      <c r="G422" s="81"/>
      <c r="H422" s="81"/>
    </row>
    <row r="423" spans="4:8" ht="15.75">
      <c r="D423" s="81"/>
      <c r="E423" s="81"/>
      <c r="F423" s="81"/>
      <c r="G423" s="81"/>
      <c r="H423" s="81"/>
    </row>
    <row r="424" spans="4:8" ht="15.75">
      <c r="D424" s="81"/>
      <c r="E424" s="81"/>
      <c r="F424" s="81"/>
      <c r="G424" s="81"/>
      <c r="H424" s="81"/>
    </row>
    <row r="425" spans="4:8" ht="15.75">
      <c r="D425" s="81"/>
      <c r="E425" s="81"/>
      <c r="F425" s="81"/>
      <c r="G425" s="81"/>
      <c r="H425" s="81"/>
    </row>
    <row r="426" spans="4:8" ht="15.75">
      <c r="D426" s="81"/>
      <c r="E426" s="81"/>
      <c r="F426" s="81"/>
      <c r="G426" s="81"/>
      <c r="H426" s="81"/>
    </row>
    <row r="427" spans="4:8" ht="15.75">
      <c r="D427" s="81"/>
      <c r="E427" s="81"/>
      <c r="F427" s="81"/>
      <c r="G427" s="81"/>
      <c r="H427" s="81"/>
    </row>
    <row r="428" spans="4:8" ht="15.75">
      <c r="D428" s="81"/>
      <c r="E428" s="81"/>
      <c r="F428" s="81"/>
      <c r="G428" s="81"/>
      <c r="H428" s="81"/>
    </row>
    <row r="429" spans="4:8" ht="15.75">
      <c r="D429" s="81"/>
      <c r="E429" s="81"/>
      <c r="F429" s="81"/>
      <c r="G429" s="81"/>
      <c r="H429" s="81"/>
    </row>
    <row r="430" spans="4:8" ht="15.75">
      <c r="D430" s="81"/>
      <c r="E430" s="81"/>
      <c r="F430" s="81"/>
      <c r="G430" s="81"/>
      <c r="H430" s="81"/>
    </row>
    <row r="431" spans="4:8" ht="15.75">
      <c r="D431" s="81"/>
      <c r="E431" s="81"/>
      <c r="F431" s="81"/>
      <c r="G431" s="81"/>
      <c r="H431" s="81"/>
    </row>
    <row r="432" spans="4:8" ht="15.75">
      <c r="D432" s="81"/>
      <c r="E432" s="81"/>
      <c r="F432" s="81"/>
      <c r="G432" s="81"/>
      <c r="H432" s="81"/>
    </row>
    <row r="433" spans="4:8" ht="15.75">
      <c r="D433" s="81"/>
      <c r="E433" s="81"/>
      <c r="F433" s="81"/>
      <c r="G433" s="81"/>
      <c r="H433" s="81"/>
    </row>
    <row r="434" spans="4:8" ht="15.75">
      <c r="D434" s="81"/>
      <c r="E434" s="81"/>
      <c r="F434" s="81"/>
      <c r="G434" s="81"/>
      <c r="H434" s="81"/>
    </row>
    <row r="435" spans="4:8" ht="15.75">
      <c r="D435" s="81"/>
      <c r="E435" s="81"/>
      <c r="F435" s="81"/>
      <c r="G435" s="81"/>
      <c r="H435" s="81"/>
    </row>
    <row r="436" spans="4:8" ht="15.75">
      <c r="D436" s="81"/>
      <c r="E436" s="81"/>
      <c r="F436" s="81"/>
      <c r="G436" s="81"/>
      <c r="H436" s="81"/>
    </row>
    <row r="437" spans="4:8" ht="15.75">
      <c r="D437" s="81"/>
      <c r="E437" s="81"/>
      <c r="F437" s="81"/>
      <c r="G437" s="81"/>
      <c r="H437" s="81"/>
    </row>
    <row r="438" spans="4:8" ht="15.75">
      <c r="D438" s="81"/>
      <c r="E438" s="81"/>
      <c r="F438" s="81"/>
      <c r="G438" s="81"/>
      <c r="H438" s="81"/>
    </row>
    <row r="439" spans="4:8" ht="15.75">
      <c r="D439" s="81"/>
      <c r="E439" s="81"/>
      <c r="F439" s="81"/>
      <c r="G439" s="81"/>
      <c r="H439" s="81"/>
    </row>
    <row r="440" spans="4:8" ht="15.75">
      <c r="D440" s="81"/>
      <c r="E440" s="81"/>
      <c r="F440" s="81"/>
      <c r="G440" s="81"/>
      <c r="H440" s="81"/>
    </row>
    <row r="441" spans="4:8" ht="15.75">
      <c r="D441" s="81"/>
      <c r="E441" s="81"/>
      <c r="F441" s="81"/>
      <c r="G441" s="81"/>
      <c r="H441" s="81"/>
    </row>
    <row r="442" spans="4:8" ht="15.75">
      <c r="D442" s="81"/>
      <c r="E442" s="81"/>
      <c r="F442" s="81"/>
      <c r="G442" s="81"/>
      <c r="H442" s="81"/>
    </row>
    <row r="443" spans="4:8" ht="15.75">
      <c r="D443" s="81"/>
      <c r="E443" s="81"/>
      <c r="F443" s="81"/>
      <c r="G443" s="81"/>
      <c r="H443" s="81"/>
    </row>
    <row r="444" spans="4:8" ht="15.75">
      <c r="D444" s="81"/>
      <c r="E444" s="81"/>
      <c r="F444" s="81"/>
      <c r="G444" s="81"/>
      <c r="H444" s="81"/>
    </row>
    <row r="445" spans="4:8" ht="15.75">
      <c r="D445" s="81"/>
      <c r="E445" s="81"/>
      <c r="F445" s="81"/>
      <c r="G445" s="81"/>
      <c r="H445" s="81"/>
    </row>
    <row r="446" spans="4:8" ht="15.75">
      <c r="D446" s="81"/>
      <c r="E446" s="81"/>
      <c r="F446" s="81"/>
      <c r="G446" s="81"/>
      <c r="H446" s="81"/>
    </row>
    <row r="447" spans="4:8" ht="15.75">
      <c r="D447" s="81"/>
      <c r="E447" s="81"/>
      <c r="F447" s="81"/>
      <c r="G447" s="81"/>
      <c r="H447" s="81"/>
    </row>
    <row r="448" spans="4:8" ht="15.75">
      <c r="D448" s="81"/>
      <c r="E448" s="81"/>
      <c r="F448" s="81"/>
      <c r="G448" s="81"/>
      <c r="H448" s="81"/>
    </row>
    <row r="449" spans="4:8" ht="15.75">
      <c r="D449" s="81"/>
      <c r="E449" s="81"/>
      <c r="F449" s="81"/>
      <c r="G449" s="81"/>
      <c r="H449" s="81"/>
    </row>
    <row r="450" spans="4:8" ht="15.75">
      <c r="D450" s="81"/>
      <c r="E450" s="81"/>
      <c r="F450" s="81"/>
      <c r="G450" s="81"/>
      <c r="H450" s="81"/>
    </row>
    <row r="451" spans="4:8" ht="15.75">
      <c r="D451" s="81"/>
      <c r="E451" s="81"/>
      <c r="F451" s="81"/>
      <c r="G451" s="81"/>
      <c r="H451" s="81"/>
    </row>
    <row r="452" spans="4:8" ht="15.75">
      <c r="D452" s="81"/>
      <c r="E452" s="81"/>
      <c r="F452" s="81"/>
      <c r="G452" s="81"/>
      <c r="H452" s="81"/>
    </row>
    <row r="453" spans="4:8" ht="15.75">
      <c r="D453" s="81"/>
      <c r="E453" s="81"/>
      <c r="F453" s="81"/>
      <c r="G453" s="81"/>
      <c r="H453" s="81"/>
    </row>
    <row r="454" spans="4:8" ht="15.75">
      <c r="D454" s="81"/>
      <c r="E454" s="81"/>
      <c r="F454" s="81"/>
      <c r="G454" s="81"/>
      <c r="H454" s="81"/>
    </row>
    <row r="455" spans="4:8" ht="15.75">
      <c r="D455" s="81"/>
      <c r="E455" s="81"/>
      <c r="F455" s="81"/>
      <c r="G455" s="81"/>
      <c r="H455" s="81"/>
    </row>
    <row r="456" spans="4:8" ht="15.75">
      <c r="D456" s="81"/>
      <c r="E456" s="81"/>
      <c r="F456" s="81"/>
      <c r="G456" s="81"/>
      <c r="H456" s="81"/>
    </row>
    <row r="457" spans="4:8" ht="15.75">
      <c r="D457" s="81"/>
      <c r="E457" s="81"/>
      <c r="F457" s="81"/>
      <c r="G457" s="81"/>
      <c r="H457" s="81"/>
    </row>
    <row r="458" spans="4:8" ht="15.75">
      <c r="D458" s="81"/>
      <c r="E458" s="81"/>
      <c r="F458" s="81"/>
      <c r="G458" s="81"/>
      <c r="H458" s="81"/>
    </row>
    <row r="459" spans="4:8" ht="15.75">
      <c r="D459" s="81"/>
      <c r="E459" s="81"/>
      <c r="F459" s="81"/>
      <c r="G459" s="81"/>
      <c r="H459" s="81"/>
    </row>
    <row r="460" spans="4:8" ht="15.75">
      <c r="D460" s="81"/>
      <c r="E460" s="81"/>
      <c r="F460" s="81"/>
      <c r="G460" s="81"/>
      <c r="H460" s="81"/>
    </row>
    <row r="461" spans="4:8" ht="15.75">
      <c r="D461" s="81"/>
      <c r="E461" s="81"/>
      <c r="F461" s="81"/>
      <c r="G461" s="81"/>
      <c r="H461" s="81"/>
    </row>
    <row r="462" spans="4:8" ht="15.75">
      <c r="D462" s="81"/>
      <c r="E462" s="81"/>
      <c r="F462" s="81"/>
      <c r="G462" s="81"/>
      <c r="H462" s="81"/>
    </row>
    <row r="463" spans="4:8" ht="15.75">
      <c r="D463" s="81"/>
      <c r="E463" s="81"/>
      <c r="F463" s="81"/>
      <c r="G463" s="81"/>
      <c r="H463" s="81"/>
    </row>
    <row r="464" spans="4:8" ht="15.75">
      <c r="D464" s="81"/>
      <c r="E464" s="81"/>
      <c r="F464" s="81"/>
      <c r="G464" s="81"/>
      <c r="H464" s="81"/>
    </row>
    <row r="465" spans="4:8" ht="15.75">
      <c r="D465" s="81"/>
      <c r="E465" s="81"/>
      <c r="F465" s="81"/>
      <c r="G465" s="81"/>
      <c r="H465" s="81"/>
    </row>
    <row r="466" spans="4:8" ht="15.75">
      <c r="D466" s="81"/>
      <c r="E466" s="81"/>
      <c r="F466" s="81"/>
      <c r="G466" s="81"/>
      <c r="H466" s="81"/>
    </row>
    <row r="467" spans="4:8" ht="15.75">
      <c r="D467" s="81"/>
      <c r="E467" s="81"/>
      <c r="F467" s="81"/>
      <c r="G467" s="81"/>
      <c r="H467" s="81"/>
    </row>
    <row r="468" spans="4:8" ht="15.75">
      <c r="D468" s="81"/>
      <c r="E468" s="81"/>
      <c r="F468" s="81"/>
      <c r="G468" s="81"/>
      <c r="H468" s="81"/>
    </row>
    <row r="469" spans="4:8" ht="15.75">
      <c r="D469" s="81"/>
      <c r="E469" s="81"/>
      <c r="F469" s="81"/>
      <c r="G469" s="81"/>
      <c r="H469" s="81"/>
    </row>
    <row r="470" spans="4:8" ht="15.75">
      <c r="D470" s="81"/>
      <c r="E470" s="81"/>
      <c r="F470" s="81"/>
      <c r="G470" s="81"/>
      <c r="H470" s="81"/>
    </row>
    <row r="471" spans="4:8" ht="15.75">
      <c r="D471" s="81"/>
      <c r="E471" s="81"/>
      <c r="F471" s="81"/>
      <c r="G471" s="81"/>
      <c r="H471" s="81"/>
    </row>
    <row r="472" spans="4:8" ht="15.75">
      <c r="D472" s="81"/>
      <c r="E472" s="81"/>
      <c r="F472" s="81"/>
      <c r="G472" s="81"/>
      <c r="H472" s="81"/>
    </row>
    <row r="473" spans="4:8" ht="15.75">
      <c r="D473" s="81"/>
      <c r="E473" s="81"/>
      <c r="F473" s="81"/>
      <c r="G473" s="81"/>
      <c r="H473" s="81"/>
    </row>
    <row r="474" spans="4:8" ht="15.75">
      <c r="D474" s="81"/>
      <c r="E474" s="81"/>
      <c r="F474" s="81"/>
      <c r="G474" s="81"/>
      <c r="H474" s="81"/>
    </row>
    <row r="475" spans="4:8" ht="15.75">
      <c r="D475" s="81"/>
      <c r="E475" s="81"/>
      <c r="F475" s="81"/>
      <c r="G475" s="81"/>
      <c r="H475" s="81"/>
    </row>
    <row r="476" spans="4:8" ht="15.75">
      <c r="D476" s="81"/>
      <c r="E476" s="81"/>
      <c r="F476" s="81"/>
      <c r="G476" s="81"/>
      <c r="H476" s="81"/>
    </row>
    <row r="477" spans="4:8" ht="15.75">
      <c r="D477" s="81"/>
      <c r="E477" s="81"/>
      <c r="F477" s="81"/>
      <c r="G477" s="81"/>
      <c r="H477" s="81"/>
    </row>
    <row r="478" spans="4:8" ht="15.75">
      <c r="D478" s="81"/>
      <c r="E478" s="81"/>
      <c r="F478" s="81"/>
      <c r="G478" s="81"/>
      <c r="H478" s="81"/>
    </row>
    <row r="479" spans="4:8" ht="15.75">
      <c r="D479" s="81"/>
      <c r="E479" s="81"/>
      <c r="F479" s="81"/>
      <c r="G479" s="81"/>
      <c r="H479" s="81"/>
    </row>
    <row r="480" spans="4:8" ht="15.75">
      <c r="D480" s="81"/>
      <c r="E480" s="81"/>
      <c r="F480" s="81"/>
      <c r="G480" s="81"/>
      <c r="H480" s="81"/>
    </row>
    <row r="481" spans="4:8" ht="15.75">
      <c r="D481" s="81"/>
      <c r="E481" s="81"/>
      <c r="F481" s="81"/>
      <c r="G481" s="81"/>
      <c r="H481" s="81"/>
    </row>
    <row r="482" spans="4:8" ht="15.75">
      <c r="D482" s="81"/>
      <c r="E482" s="81"/>
      <c r="F482" s="81"/>
      <c r="G482" s="81"/>
      <c r="H482" s="81"/>
    </row>
    <row r="483" spans="4:8" ht="15.75">
      <c r="D483" s="81"/>
      <c r="E483" s="81"/>
      <c r="F483" s="81"/>
      <c r="G483" s="81"/>
      <c r="H483" s="81"/>
    </row>
    <row r="484" spans="4:8" ht="15.75">
      <c r="D484" s="81"/>
      <c r="E484" s="81"/>
      <c r="F484" s="81"/>
      <c r="G484" s="81"/>
      <c r="H484" s="81"/>
    </row>
    <row r="485" spans="4:8" ht="15.75">
      <c r="D485" s="81"/>
      <c r="E485" s="81"/>
      <c r="F485" s="81"/>
      <c r="G485" s="81"/>
      <c r="H485" s="81"/>
    </row>
    <row r="486" spans="4:8" ht="15.75">
      <c r="D486" s="81"/>
      <c r="E486" s="81"/>
      <c r="F486" s="81"/>
      <c r="G486" s="81"/>
      <c r="H486" s="81"/>
    </row>
    <row r="487" spans="4:8" ht="15.75">
      <c r="D487" s="81"/>
      <c r="E487" s="81"/>
      <c r="F487" s="81"/>
      <c r="G487" s="81"/>
      <c r="H487" s="81"/>
    </row>
    <row r="488" spans="4:8" ht="15.75">
      <c r="D488" s="81"/>
      <c r="E488" s="81"/>
      <c r="F488" s="81"/>
      <c r="G488" s="81"/>
      <c r="H488" s="81"/>
    </row>
    <row r="489" spans="4:8" ht="15.75">
      <c r="D489" s="81"/>
      <c r="E489" s="81"/>
      <c r="F489" s="81"/>
      <c r="G489" s="81"/>
      <c r="H489" s="81"/>
    </row>
    <row r="490" spans="4:8" ht="15.75">
      <c r="D490" s="81"/>
      <c r="E490" s="81"/>
      <c r="F490" s="81"/>
      <c r="G490" s="81"/>
      <c r="H490" s="81"/>
    </row>
    <row r="491" spans="4:8" ht="15.75">
      <c r="D491" s="81"/>
      <c r="E491" s="81"/>
      <c r="F491" s="81"/>
      <c r="G491" s="81"/>
      <c r="H491" s="81"/>
    </row>
    <row r="492" spans="4:8" ht="15.75">
      <c r="D492" s="81"/>
      <c r="E492" s="81"/>
      <c r="F492" s="81"/>
      <c r="G492" s="81"/>
      <c r="H492" s="81"/>
    </row>
    <row r="493" spans="4:8" ht="15.75">
      <c r="D493" s="81"/>
      <c r="E493" s="81"/>
      <c r="F493" s="81"/>
      <c r="G493" s="81"/>
      <c r="H493" s="81"/>
    </row>
    <row r="494" spans="4:8" ht="15.75">
      <c r="D494" s="81"/>
      <c r="E494" s="81"/>
      <c r="F494" s="81"/>
      <c r="G494" s="81"/>
      <c r="H494" s="81"/>
    </row>
    <row r="495" spans="4:8" ht="15.75">
      <c r="D495" s="81"/>
      <c r="E495" s="81"/>
      <c r="F495" s="81"/>
      <c r="G495" s="81"/>
      <c r="H495" s="81"/>
    </row>
    <row r="496" spans="4:8" ht="15.75">
      <c r="D496" s="81"/>
      <c r="E496" s="81"/>
      <c r="F496" s="81"/>
      <c r="G496" s="81"/>
      <c r="H496" s="81"/>
    </row>
    <row r="497" spans="4:8" ht="15.75">
      <c r="D497" s="81"/>
      <c r="E497" s="81"/>
      <c r="F497" s="81"/>
      <c r="G497" s="81"/>
      <c r="H497" s="81"/>
    </row>
    <row r="498" spans="4:8" ht="15.75">
      <c r="D498" s="81"/>
      <c r="E498" s="81"/>
      <c r="F498" s="81"/>
      <c r="G498" s="81"/>
      <c r="H498" s="81"/>
    </row>
    <row r="499" spans="4:8" ht="15.75">
      <c r="D499" s="81"/>
      <c r="E499" s="81"/>
      <c r="F499" s="81"/>
      <c r="G499" s="81"/>
      <c r="H499" s="81"/>
    </row>
    <row r="500" spans="4:8" ht="15.75">
      <c r="D500" s="81"/>
      <c r="E500" s="81"/>
      <c r="F500" s="81"/>
      <c r="G500" s="81"/>
      <c r="H500" s="81"/>
    </row>
    <row r="501" spans="4:8" ht="15.75">
      <c r="D501" s="81"/>
      <c r="E501" s="81"/>
      <c r="F501" s="81"/>
      <c r="G501" s="81"/>
      <c r="H501" s="81"/>
    </row>
    <row r="502" spans="4:8" ht="15.75">
      <c r="D502" s="81"/>
      <c r="E502" s="81"/>
      <c r="F502" s="81"/>
      <c r="G502" s="81"/>
      <c r="H502" s="81"/>
    </row>
    <row r="503" spans="4:8" ht="15.75">
      <c r="D503" s="81"/>
      <c r="E503" s="81"/>
      <c r="F503" s="81"/>
      <c r="G503" s="81"/>
      <c r="H503" s="81"/>
    </row>
    <row r="504" spans="4:8" ht="15.75">
      <c r="D504" s="81"/>
      <c r="E504" s="81"/>
      <c r="F504" s="81"/>
      <c r="G504" s="81"/>
      <c r="H504" s="81"/>
    </row>
    <row r="505" spans="4:8" ht="15.75">
      <c r="D505" s="81"/>
      <c r="E505" s="81"/>
      <c r="F505" s="81"/>
      <c r="G505" s="81"/>
      <c r="H505" s="81"/>
    </row>
    <row r="506" spans="4:8" ht="15.75">
      <c r="D506" s="81"/>
      <c r="E506" s="81"/>
      <c r="F506" s="81"/>
      <c r="G506" s="81"/>
      <c r="H506" s="81"/>
    </row>
    <row r="507" spans="4:8" ht="15.75">
      <c r="D507" s="81"/>
      <c r="E507" s="81"/>
      <c r="F507" s="81"/>
      <c r="G507" s="81"/>
      <c r="H507" s="81"/>
    </row>
    <row r="508" spans="4:8" ht="15.75">
      <c r="D508" s="81"/>
      <c r="E508" s="81"/>
      <c r="F508" s="81"/>
      <c r="G508" s="81"/>
      <c r="H508" s="81"/>
    </row>
    <row r="509" spans="4:8" ht="15.75">
      <c r="D509" s="81"/>
      <c r="E509" s="81"/>
      <c r="F509" s="81"/>
      <c r="G509" s="81"/>
      <c r="H509" s="81"/>
    </row>
    <row r="510" spans="4:8" ht="15.75">
      <c r="D510" s="81"/>
      <c r="E510" s="81"/>
      <c r="F510" s="81"/>
      <c r="G510" s="81"/>
      <c r="H510" s="81"/>
    </row>
    <row r="511" spans="4:8" ht="15.75">
      <c r="D511" s="81"/>
      <c r="E511" s="81"/>
      <c r="F511" s="81"/>
      <c r="G511" s="81"/>
      <c r="H511" s="81"/>
    </row>
    <row r="512" spans="4:8" ht="15.75">
      <c r="D512" s="81"/>
      <c r="E512" s="81"/>
      <c r="F512" s="81"/>
      <c r="G512" s="81"/>
      <c r="H512" s="81"/>
    </row>
    <row r="513" spans="4:8" ht="15.75">
      <c r="D513" s="81"/>
      <c r="E513" s="81"/>
      <c r="F513" s="81"/>
      <c r="G513" s="81"/>
      <c r="H513" s="81"/>
    </row>
    <row r="514" spans="4:8" ht="15.75">
      <c r="D514" s="81"/>
      <c r="E514" s="81"/>
      <c r="F514" s="81"/>
      <c r="G514" s="81"/>
      <c r="H514" s="81"/>
    </row>
    <row r="515" spans="4:8" ht="15.75">
      <c r="D515" s="81"/>
      <c r="E515" s="81"/>
      <c r="F515" s="81"/>
      <c r="G515" s="81"/>
      <c r="H515" s="81"/>
    </row>
    <row r="516" spans="4:8" ht="15.75">
      <c r="D516" s="81"/>
      <c r="E516" s="81"/>
      <c r="F516" s="81"/>
      <c r="G516" s="81"/>
      <c r="H516" s="81"/>
    </row>
    <row r="517" spans="4:8" ht="15.75">
      <c r="D517" s="81"/>
      <c r="E517" s="81"/>
      <c r="F517" s="81"/>
      <c r="G517" s="81"/>
      <c r="H517" s="81"/>
    </row>
    <row r="518" spans="4:8" ht="15.75">
      <c r="D518" s="81"/>
      <c r="E518" s="81"/>
      <c r="F518" s="81"/>
      <c r="G518" s="81"/>
      <c r="H518" s="81"/>
    </row>
    <row r="519" spans="4:8" ht="15.75">
      <c r="D519" s="81"/>
      <c r="E519" s="81"/>
      <c r="F519" s="81"/>
      <c r="G519" s="81"/>
      <c r="H519" s="81"/>
    </row>
    <row r="520" spans="4:8" ht="15.75">
      <c r="D520" s="81"/>
      <c r="E520" s="81"/>
      <c r="F520" s="81"/>
      <c r="G520" s="81"/>
      <c r="H520" s="81"/>
    </row>
    <row r="521" spans="4:8" ht="15.75">
      <c r="D521" s="81"/>
      <c r="E521" s="81"/>
      <c r="F521" s="81"/>
      <c r="G521" s="81"/>
      <c r="H521" s="81"/>
    </row>
    <row r="522" spans="4:8" ht="15.75">
      <c r="D522" s="81"/>
      <c r="E522" s="81"/>
      <c r="F522" s="81"/>
      <c r="G522" s="81"/>
      <c r="H522" s="81"/>
    </row>
    <row r="523" spans="4:8" ht="15.75">
      <c r="D523" s="81"/>
      <c r="E523" s="81"/>
      <c r="F523" s="81"/>
      <c r="G523" s="81"/>
      <c r="H523" s="81"/>
    </row>
    <row r="524" spans="4:8" ht="15.75">
      <c r="D524" s="81"/>
      <c r="E524" s="81"/>
      <c r="F524" s="81"/>
      <c r="G524" s="81"/>
      <c r="H524" s="81"/>
    </row>
    <row r="525" spans="4:8" ht="15.75">
      <c r="D525" s="81"/>
      <c r="E525" s="81"/>
      <c r="F525" s="81"/>
      <c r="G525" s="81"/>
      <c r="H525" s="81"/>
    </row>
    <row r="526" spans="4:8" ht="15.75">
      <c r="D526" s="81"/>
      <c r="E526" s="81"/>
      <c r="F526" s="81"/>
      <c r="G526" s="81"/>
      <c r="H526" s="81"/>
    </row>
    <row r="527" spans="4:8" ht="15.75">
      <c r="D527" s="81"/>
      <c r="E527" s="81"/>
      <c r="F527" s="81"/>
      <c r="G527" s="81"/>
      <c r="H527" s="81"/>
    </row>
    <row r="528" spans="4:8" ht="15.75">
      <c r="D528" s="81"/>
      <c r="E528" s="81"/>
      <c r="F528" s="81"/>
      <c r="G528" s="81"/>
      <c r="H528" s="81"/>
    </row>
    <row r="529" spans="4:8" ht="15.75">
      <c r="D529" s="81"/>
      <c r="E529" s="81"/>
      <c r="F529" s="81"/>
      <c r="G529" s="81"/>
      <c r="H529" s="81"/>
    </row>
    <row r="530" spans="4:8" ht="15.75">
      <c r="D530" s="81"/>
      <c r="E530" s="81"/>
      <c r="F530" s="81"/>
      <c r="G530" s="81"/>
      <c r="H530" s="81"/>
    </row>
    <row r="531" spans="4:8" ht="15.75">
      <c r="D531" s="81"/>
      <c r="E531" s="81"/>
      <c r="F531" s="81"/>
      <c r="G531" s="81"/>
      <c r="H531" s="81"/>
    </row>
    <row r="532" spans="4:8" ht="15.75">
      <c r="D532" s="81"/>
      <c r="E532" s="81"/>
      <c r="F532" s="81"/>
      <c r="G532" s="81"/>
      <c r="H532" s="81"/>
    </row>
    <row r="533" spans="4:8" ht="15.75">
      <c r="D533" s="81"/>
      <c r="E533" s="81"/>
      <c r="F533" s="81"/>
      <c r="G533" s="81"/>
      <c r="H533" s="81"/>
    </row>
    <row r="534" spans="4:8" ht="15.75">
      <c r="D534" s="81"/>
      <c r="E534" s="81"/>
      <c r="F534" s="81"/>
      <c r="G534" s="81"/>
      <c r="H534" s="81"/>
    </row>
    <row r="535" spans="4:8" ht="15.75">
      <c r="D535" s="81"/>
      <c r="E535" s="81"/>
      <c r="F535" s="81"/>
      <c r="G535" s="81"/>
      <c r="H535" s="81"/>
    </row>
    <row r="536" spans="4:8" ht="15.75">
      <c r="D536" s="81"/>
      <c r="E536" s="81"/>
      <c r="F536" s="81"/>
      <c r="G536" s="81"/>
      <c r="H536" s="81"/>
    </row>
    <row r="537" spans="4:8" ht="15.75">
      <c r="D537" s="81"/>
      <c r="E537" s="81"/>
      <c r="F537" s="81"/>
      <c r="G537" s="81"/>
      <c r="H537" s="81"/>
    </row>
    <row r="538" spans="4:8" ht="15.75">
      <c r="D538" s="81"/>
      <c r="E538" s="81"/>
      <c r="F538" s="81"/>
      <c r="G538" s="81"/>
      <c r="H538" s="81"/>
    </row>
    <row r="539" spans="4:8" ht="15.75">
      <c r="D539" s="81"/>
      <c r="E539" s="81"/>
      <c r="F539" s="81"/>
      <c r="G539" s="81"/>
      <c r="H539" s="81"/>
    </row>
    <row r="540" spans="4:8" ht="15.75">
      <c r="D540" s="81"/>
      <c r="E540" s="81"/>
      <c r="F540" s="81"/>
      <c r="G540" s="81"/>
      <c r="H540" s="81"/>
    </row>
    <row r="541" spans="4:8" ht="15.75">
      <c r="D541" s="81"/>
      <c r="E541" s="81"/>
      <c r="F541" s="81"/>
      <c r="G541" s="81"/>
      <c r="H541" s="81"/>
    </row>
    <row r="542" spans="4:8" ht="15.75">
      <c r="D542" s="81"/>
      <c r="E542" s="81"/>
      <c r="F542" s="81"/>
      <c r="G542" s="81"/>
      <c r="H542" s="81"/>
    </row>
    <row r="543" spans="4:8" ht="15.75">
      <c r="D543" s="81"/>
      <c r="E543" s="81"/>
      <c r="F543" s="81"/>
      <c r="G543" s="81"/>
      <c r="H543" s="81"/>
    </row>
    <row r="544" spans="4:8" ht="15.75">
      <c r="D544" s="81"/>
      <c r="E544" s="81"/>
      <c r="F544" s="81"/>
      <c r="G544" s="81"/>
      <c r="H544" s="81"/>
    </row>
    <row r="545" spans="4:8" ht="15.75">
      <c r="D545" s="81"/>
      <c r="E545" s="81"/>
      <c r="F545" s="81"/>
      <c r="G545" s="81"/>
      <c r="H545" s="81"/>
    </row>
    <row r="546" spans="4:8" ht="15.75">
      <c r="D546" s="81"/>
      <c r="E546" s="81"/>
      <c r="F546" s="81"/>
      <c r="G546" s="81"/>
      <c r="H546" s="81"/>
    </row>
    <row r="547" spans="4:8" ht="15.75">
      <c r="D547" s="81"/>
      <c r="E547" s="81"/>
      <c r="F547" s="81"/>
      <c r="G547" s="81"/>
      <c r="H547" s="81"/>
    </row>
    <row r="548" spans="4:8" ht="15.75">
      <c r="D548" s="81"/>
      <c r="E548" s="81"/>
      <c r="F548" s="81"/>
      <c r="G548" s="81"/>
      <c r="H548" s="81"/>
    </row>
    <row r="549" spans="4:8" ht="15.75">
      <c r="D549" s="81"/>
      <c r="E549" s="81"/>
      <c r="F549" s="81"/>
      <c r="G549" s="81"/>
      <c r="H549" s="81"/>
    </row>
    <row r="550" spans="4:8" ht="15.75">
      <c r="D550" s="81"/>
      <c r="E550" s="81"/>
      <c r="F550" s="81"/>
      <c r="G550" s="81"/>
      <c r="H550" s="81"/>
    </row>
    <row r="551" spans="4:8" ht="15.75">
      <c r="D551" s="81"/>
      <c r="E551" s="81"/>
      <c r="F551" s="81"/>
      <c r="G551" s="81"/>
      <c r="H551" s="81"/>
    </row>
    <row r="552" spans="4:8" ht="15.75">
      <c r="D552" s="81"/>
      <c r="E552" s="81"/>
      <c r="F552" s="81"/>
      <c r="G552" s="81"/>
      <c r="H552" s="81"/>
    </row>
    <row r="553" spans="4:8" ht="15.75">
      <c r="D553" s="81"/>
      <c r="E553" s="81"/>
      <c r="F553" s="81"/>
      <c r="G553" s="81"/>
      <c r="H553" s="81"/>
    </row>
    <row r="554" spans="4:8" ht="15.75">
      <c r="D554" s="81"/>
      <c r="E554" s="81"/>
      <c r="F554" s="81"/>
      <c r="G554" s="81"/>
      <c r="H554" s="81"/>
    </row>
    <row r="555" spans="4:8" ht="15.75">
      <c r="D555" s="81"/>
      <c r="E555" s="81"/>
      <c r="F555" s="81"/>
      <c r="G555" s="81"/>
      <c r="H555" s="81"/>
    </row>
    <row r="556" spans="4:8" ht="15.75">
      <c r="D556" s="81"/>
      <c r="E556" s="81"/>
      <c r="F556" s="81"/>
      <c r="G556" s="81"/>
      <c r="H556" s="81"/>
    </row>
    <row r="557" spans="4:8" ht="15.75">
      <c r="D557" s="81"/>
      <c r="E557" s="81"/>
      <c r="F557" s="81"/>
      <c r="G557" s="81"/>
      <c r="H557" s="81"/>
    </row>
    <row r="558" spans="4:8" ht="15.75">
      <c r="D558" s="81"/>
      <c r="E558" s="81"/>
      <c r="F558" s="81"/>
      <c r="G558" s="81"/>
      <c r="H558" s="81"/>
    </row>
    <row r="559" spans="4:8" ht="15.75">
      <c r="D559" s="81"/>
      <c r="E559" s="81"/>
      <c r="F559" s="81"/>
      <c r="G559" s="81"/>
      <c r="H559" s="81"/>
    </row>
    <row r="560" spans="4:8" ht="15.75">
      <c r="D560" s="81"/>
      <c r="E560" s="81"/>
      <c r="F560" s="81"/>
      <c r="G560" s="81"/>
      <c r="H560" s="81"/>
    </row>
    <row r="561" spans="4:8" ht="15.75">
      <c r="D561" s="81"/>
      <c r="E561" s="81"/>
      <c r="F561" s="81"/>
      <c r="G561" s="81"/>
      <c r="H561" s="81"/>
    </row>
    <row r="562" spans="4:8" ht="15.75">
      <c r="D562" s="81"/>
      <c r="E562" s="81"/>
      <c r="F562" s="81"/>
      <c r="G562" s="81"/>
      <c r="H562" s="81"/>
    </row>
    <row r="563" spans="4:8" ht="15.75">
      <c r="D563" s="81"/>
      <c r="E563" s="81"/>
      <c r="F563" s="81"/>
      <c r="G563" s="81"/>
      <c r="H563" s="81"/>
    </row>
    <row r="564" spans="4:8" ht="15.75">
      <c r="D564" s="81"/>
      <c r="E564" s="81"/>
      <c r="F564" s="81"/>
      <c r="G564" s="81"/>
      <c r="H564" s="81"/>
    </row>
    <row r="565" spans="4:8" ht="15.75">
      <c r="D565" s="81"/>
      <c r="E565" s="81"/>
      <c r="F565" s="81"/>
      <c r="G565" s="81"/>
      <c r="H565" s="81"/>
    </row>
    <row r="566" spans="4:8" ht="15.75">
      <c r="D566" s="81"/>
      <c r="E566" s="81"/>
      <c r="F566" s="81"/>
      <c r="G566" s="81"/>
      <c r="H566" s="81"/>
    </row>
    <row r="567" spans="4:8" ht="15.75">
      <c r="D567" s="81"/>
      <c r="E567" s="81"/>
      <c r="F567" s="81"/>
      <c r="G567" s="81"/>
      <c r="H567" s="81"/>
    </row>
    <row r="568" spans="4:8" ht="15.75">
      <c r="D568" s="81"/>
      <c r="E568" s="81"/>
      <c r="F568" s="81"/>
      <c r="G568" s="81"/>
      <c r="H568" s="81"/>
    </row>
    <row r="569" spans="4:8" ht="15.75">
      <c r="D569" s="81"/>
      <c r="E569" s="81"/>
      <c r="F569" s="81"/>
      <c r="G569" s="81"/>
      <c r="H569" s="81"/>
    </row>
    <row r="570" spans="4:8" ht="15.75">
      <c r="D570" s="81"/>
      <c r="E570" s="81"/>
      <c r="F570" s="81"/>
      <c r="G570" s="81"/>
      <c r="H570" s="81"/>
    </row>
    <row r="571" spans="4:8" ht="15.75">
      <c r="D571" s="81"/>
      <c r="E571" s="81"/>
      <c r="F571" s="81"/>
      <c r="G571" s="81"/>
      <c r="H571" s="81"/>
    </row>
    <row r="572" spans="4:8" ht="15.75">
      <c r="D572" s="81"/>
      <c r="E572" s="81"/>
      <c r="F572" s="81"/>
      <c r="G572" s="81"/>
      <c r="H572" s="81"/>
    </row>
    <row r="573" spans="4:8" ht="15.75">
      <c r="D573" s="81"/>
      <c r="E573" s="81"/>
      <c r="F573" s="81"/>
      <c r="G573" s="81"/>
      <c r="H573" s="81"/>
    </row>
    <row r="574" spans="4:8" ht="15.75">
      <c r="D574" s="81"/>
      <c r="E574" s="81"/>
      <c r="F574" s="81"/>
      <c r="G574" s="81"/>
      <c r="H574" s="81"/>
    </row>
    <row r="575" spans="4:8" ht="15.75">
      <c r="D575" s="81"/>
      <c r="E575" s="81"/>
      <c r="F575" s="81"/>
      <c r="G575" s="81"/>
      <c r="H575" s="81"/>
    </row>
    <row r="576" spans="4:8" ht="15.75">
      <c r="D576" s="81"/>
      <c r="E576" s="81"/>
      <c r="F576" s="81"/>
      <c r="G576" s="81"/>
      <c r="H576" s="81"/>
    </row>
    <row r="577" spans="4:8" ht="15.75">
      <c r="D577" s="81"/>
      <c r="E577" s="81"/>
      <c r="F577" s="81"/>
      <c r="G577" s="81"/>
      <c r="H577" s="81"/>
    </row>
    <row r="578" spans="4:8" ht="15.75">
      <c r="D578" s="81"/>
      <c r="E578" s="81"/>
      <c r="F578" s="81"/>
      <c r="G578" s="81"/>
      <c r="H578" s="81"/>
    </row>
    <row r="579" spans="4:8" ht="15.75">
      <c r="D579" s="81"/>
      <c r="E579" s="81"/>
      <c r="F579" s="81"/>
      <c r="G579" s="81"/>
      <c r="H579" s="81"/>
    </row>
    <row r="580" spans="4:8" ht="15.75">
      <c r="D580" s="81"/>
      <c r="E580" s="81"/>
      <c r="F580" s="81"/>
      <c r="G580" s="81"/>
      <c r="H580" s="81"/>
    </row>
    <row r="581" spans="4:8" ht="15.75">
      <c r="D581" s="81"/>
      <c r="E581" s="81"/>
      <c r="F581" s="81"/>
      <c r="G581" s="81"/>
      <c r="H581" s="81"/>
    </row>
    <row r="582" spans="4:8" ht="15.75">
      <c r="D582" s="81"/>
      <c r="E582" s="81"/>
      <c r="F582" s="81"/>
      <c r="G582" s="81"/>
      <c r="H582" s="81"/>
    </row>
    <row r="583" spans="4:8" ht="15.75">
      <c r="D583" s="81"/>
      <c r="E583" s="81"/>
      <c r="F583" s="81"/>
      <c r="G583" s="81"/>
      <c r="H583" s="81"/>
    </row>
    <row r="584" spans="4:8" ht="15.75">
      <c r="D584" s="81"/>
      <c r="E584" s="81"/>
      <c r="F584" s="81"/>
      <c r="G584" s="81"/>
      <c r="H584" s="81"/>
    </row>
    <row r="585" spans="4:8" ht="15.75">
      <c r="D585" s="81"/>
      <c r="E585" s="81"/>
      <c r="F585" s="81"/>
      <c r="G585" s="81"/>
      <c r="H585" s="81"/>
    </row>
    <row r="586" spans="4:8" ht="15.75">
      <c r="D586" s="81"/>
      <c r="E586" s="81"/>
      <c r="F586" s="81"/>
      <c r="G586" s="81"/>
      <c r="H586" s="81"/>
    </row>
    <row r="587" spans="4:8" ht="15.75">
      <c r="D587" s="81"/>
      <c r="E587" s="81"/>
      <c r="F587" s="81"/>
      <c r="G587" s="81"/>
      <c r="H587" s="81"/>
    </row>
    <row r="588" spans="4:8" ht="15.75">
      <c r="D588" s="81"/>
      <c r="E588" s="81"/>
      <c r="F588" s="81"/>
      <c r="G588" s="81"/>
      <c r="H588" s="81"/>
    </row>
    <row r="589" spans="4:8" ht="15.75">
      <c r="D589" s="81"/>
      <c r="E589" s="81"/>
      <c r="F589" s="81"/>
      <c r="G589" s="81"/>
      <c r="H589" s="81"/>
    </row>
    <row r="590" spans="4:8" ht="15.75">
      <c r="D590" s="81"/>
      <c r="E590" s="81"/>
      <c r="F590" s="81"/>
      <c r="G590" s="81"/>
      <c r="H590" s="81"/>
    </row>
    <row r="591" spans="4:8" ht="15.75">
      <c r="D591" s="81"/>
      <c r="E591" s="81"/>
      <c r="F591" s="81"/>
      <c r="G591" s="81"/>
      <c r="H591" s="81"/>
    </row>
    <row r="592" spans="4:8" ht="15.75">
      <c r="D592" s="81"/>
      <c r="E592" s="81"/>
      <c r="F592" s="81"/>
      <c r="G592" s="81"/>
      <c r="H592" s="81"/>
    </row>
    <row r="593" spans="4:8" ht="15.75">
      <c r="D593" s="81"/>
      <c r="E593" s="81"/>
      <c r="F593" s="81"/>
      <c r="G593" s="81"/>
      <c r="H593" s="81"/>
    </row>
    <row r="594" spans="4:8" ht="15.75">
      <c r="D594" s="81"/>
      <c r="E594" s="81"/>
      <c r="F594" s="81"/>
      <c r="G594" s="81"/>
      <c r="H594" s="81"/>
    </row>
    <row r="595" spans="4:8" ht="15.75">
      <c r="D595" s="81"/>
      <c r="E595" s="81"/>
      <c r="F595" s="81"/>
      <c r="G595" s="81"/>
      <c r="H595" s="81"/>
    </row>
    <row r="596" spans="4:8" ht="15.75">
      <c r="D596" s="81"/>
      <c r="E596" s="81"/>
      <c r="F596" s="81"/>
      <c r="G596" s="81"/>
      <c r="H596" s="81"/>
    </row>
    <row r="597" spans="4:8" ht="15.75">
      <c r="D597" s="81"/>
      <c r="E597" s="81"/>
      <c r="F597" s="81"/>
      <c r="G597" s="81"/>
      <c r="H597" s="81"/>
    </row>
    <row r="598" spans="4:8" ht="15.75">
      <c r="D598" s="81"/>
      <c r="E598" s="81"/>
      <c r="F598" s="81"/>
      <c r="G598" s="81"/>
      <c r="H598" s="81"/>
    </row>
    <row r="599" spans="4:8" ht="15.75">
      <c r="D599" s="81"/>
      <c r="E599" s="81"/>
      <c r="F599" s="81"/>
      <c r="G599" s="81"/>
      <c r="H599" s="81"/>
    </row>
    <row r="600" spans="4:8" ht="15.75">
      <c r="D600" s="81"/>
      <c r="E600" s="81"/>
      <c r="F600" s="81"/>
      <c r="G600" s="81"/>
      <c r="H600" s="81"/>
    </row>
    <row r="601" spans="4:8" ht="15.75">
      <c r="D601" s="81"/>
      <c r="E601" s="81"/>
      <c r="F601" s="81"/>
      <c r="G601" s="81"/>
      <c r="H601" s="81"/>
    </row>
    <row r="602" spans="4:8" ht="15.75">
      <c r="D602" s="81"/>
      <c r="E602" s="81"/>
      <c r="F602" s="81"/>
      <c r="G602" s="81"/>
      <c r="H602" s="81"/>
    </row>
    <row r="603" spans="4:8" ht="15.75">
      <c r="D603" s="81"/>
      <c r="E603" s="81"/>
      <c r="F603" s="81"/>
      <c r="G603" s="81"/>
      <c r="H603" s="81"/>
    </row>
    <row r="604" spans="4:8" ht="15.75">
      <c r="D604" s="81"/>
      <c r="E604" s="81"/>
      <c r="F604" s="81"/>
      <c r="G604" s="81"/>
      <c r="H604" s="81"/>
    </row>
    <row r="605" spans="4:8" ht="15.75">
      <c r="D605" s="81"/>
      <c r="E605" s="81"/>
      <c r="F605" s="81"/>
      <c r="G605" s="81"/>
      <c r="H605" s="81"/>
    </row>
    <row r="606" spans="4:8" ht="15.75">
      <c r="D606" s="81"/>
      <c r="E606" s="81"/>
      <c r="F606" s="81"/>
      <c r="G606" s="81"/>
      <c r="H606" s="81"/>
    </row>
    <row r="607" spans="4:8" ht="15.75">
      <c r="D607" s="81"/>
      <c r="E607" s="81"/>
      <c r="F607" s="81"/>
      <c r="G607" s="81"/>
      <c r="H607" s="81"/>
    </row>
    <row r="608" spans="4:8" ht="15.75">
      <c r="D608" s="81"/>
      <c r="E608" s="81"/>
      <c r="F608" s="81"/>
      <c r="G608" s="81"/>
      <c r="H608" s="81"/>
    </row>
    <row r="609" spans="4:8" ht="15.75">
      <c r="D609" s="81"/>
      <c r="E609" s="81"/>
      <c r="F609" s="81"/>
      <c r="G609" s="81"/>
      <c r="H609" s="81"/>
    </row>
    <row r="610" spans="4:8" ht="15.75">
      <c r="D610" s="81"/>
      <c r="E610" s="81"/>
      <c r="F610" s="81"/>
      <c r="G610" s="81"/>
      <c r="H610" s="81"/>
    </row>
    <row r="611" spans="4:8" ht="15.75">
      <c r="D611" s="81"/>
      <c r="E611" s="81"/>
      <c r="F611" s="81"/>
      <c r="G611" s="81"/>
      <c r="H611" s="81"/>
    </row>
    <row r="612" spans="4:8" ht="15.75">
      <c r="D612" s="81"/>
      <c r="E612" s="81"/>
      <c r="F612" s="81"/>
      <c r="G612" s="81"/>
      <c r="H612" s="81"/>
    </row>
    <row r="613" spans="4:8" ht="15.75">
      <c r="D613" s="81"/>
      <c r="E613" s="81"/>
      <c r="F613" s="81"/>
      <c r="G613" s="81"/>
      <c r="H613" s="81"/>
    </row>
    <row r="614" spans="4:8" ht="15.75">
      <c r="D614" s="81"/>
      <c r="E614" s="81"/>
      <c r="F614" s="81"/>
      <c r="G614" s="81"/>
      <c r="H614" s="81"/>
    </row>
    <row r="615" spans="4:8" ht="15.75">
      <c r="D615" s="81"/>
      <c r="E615" s="81"/>
      <c r="F615" s="81"/>
      <c r="G615" s="81"/>
      <c r="H615" s="81"/>
    </row>
    <row r="616" spans="4:8" ht="15.75">
      <c r="D616" s="81"/>
      <c r="E616" s="81"/>
      <c r="F616" s="81"/>
      <c r="G616" s="81"/>
      <c r="H616" s="81"/>
    </row>
    <row r="617" spans="4:8" ht="15.75">
      <c r="D617" s="81"/>
      <c r="E617" s="81"/>
      <c r="F617" s="81"/>
      <c r="G617" s="81"/>
      <c r="H617" s="81"/>
    </row>
    <row r="618" spans="4:8" ht="15.75">
      <c r="D618" s="81"/>
      <c r="E618" s="81"/>
      <c r="F618" s="81"/>
      <c r="G618" s="81"/>
      <c r="H618" s="81"/>
    </row>
    <row r="619" spans="4:8" ht="15.75">
      <c r="D619" s="81"/>
      <c r="E619" s="81"/>
      <c r="F619" s="81"/>
      <c r="G619" s="81"/>
      <c r="H619" s="81"/>
    </row>
    <row r="620" spans="4:8" ht="15.75">
      <c r="D620" s="81"/>
      <c r="E620" s="81"/>
      <c r="F620" s="81"/>
      <c r="G620" s="81"/>
      <c r="H620" s="81"/>
    </row>
    <row r="621" spans="4:8" ht="15.75">
      <c r="D621" s="81"/>
      <c r="E621" s="81"/>
      <c r="F621" s="81"/>
      <c r="G621" s="81"/>
      <c r="H621" s="81"/>
    </row>
    <row r="622" spans="4:8" ht="15.75">
      <c r="D622" s="81"/>
      <c r="E622" s="81"/>
      <c r="F622" s="81"/>
      <c r="G622" s="81"/>
      <c r="H622" s="81"/>
    </row>
    <row r="623" spans="4:8" ht="15.75">
      <c r="D623" s="81"/>
      <c r="E623" s="81"/>
      <c r="F623" s="81"/>
      <c r="G623" s="81"/>
      <c r="H623" s="81"/>
    </row>
    <row r="624" spans="4:8" ht="15.75">
      <c r="D624" s="81"/>
      <c r="E624" s="81"/>
      <c r="F624" s="81"/>
      <c r="G624" s="81"/>
      <c r="H624" s="81"/>
    </row>
    <row r="625" spans="4:8" ht="15.75">
      <c r="D625" s="81"/>
      <c r="E625" s="81"/>
      <c r="F625" s="81"/>
      <c r="G625" s="81"/>
      <c r="H625" s="81"/>
    </row>
    <row r="626" spans="4:8" ht="15.75">
      <c r="D626" s="81"/>
      <c r="E626" s="81"/>
      <c r="F626" s="81"/>
      <c r="G626" s="81"/>
      <c r="H626" s="81"/>
    </row>
    <row r="627" spans="4:8" ht="15.75">
      <c r="D627" s="81"/>
      <c r="E627" s="81"/>
      <c r="F627" s="81"/>
      <c r="G627" s="81"/>
      <c r="H627" s="81"/>
    </row>
    <row r="628" spans="4:8" ht="15.75">
      <c r="D628" s="81"/>
      <c r="E628" s="81"/>
      <c r="F628" s="81"/>
      <c r="G628" s="81"/>
      <c r="H628" s="81"/>
    </row>
    <row r="629" spans="4:8" ht="15.75">
      <c r="D629" s="81"/>
      <c r="E629" s="81"/>
      <c r="F629" s="81"/>
      <c r="G629" s="81"/>
      <c r="H629" s="81"/>
    </row>
    <row r="630" spans="4:8" ht="15.75">
      <c r="D630" s="81"/>
      <c r="E630" s="81"/>
      <c r="F630" s="81"/>
      <c r="G630" s="81"/>
      <c r="H630" s="81"/>
    </row>
    <row r="631" spans="4:8" ht="15.75">
      <c r="D631" s="81"/>
      <c r="E631" s="81"/>
      <c r="F631" s="81"/>
      <c r="G631" s="81"/>
      <c r="H631" s="81"/>
    </row>
    <row r="632" spans="4:8" ht="15.75">
      <c r="D632" s="81"/>
      <c r="E632" s="81"/>
      <c r="F632" s="81"/>
      <c r="G632" s="81"/>
      <c r="H632" s="81"/>
    </row>
    <row r="633" spans="4:8" ht="15.75">
      <c r="D633" s="81"/>
      <c r="E633" s="81"/>
      <c r="F633" s="81"/>
      <c r="G633" s="81"/>
      <c r="H633" s="81"/>
    </row>
    <row r="634" spans="4:8" ht="15.75">
      <c r="D634" s="81"/>
      <c r="E634" s="81"/>
      <c r="F634" s="81"/>
      <c r="G634" s="81"/>
      <c r="H634" s="81"/>
    </row>
    <row r="635" spans="4:8" ht="15.75">
      <c r="D635" s="81"/>
      <c r="E635" s="81"/>
      <c r="F635" s="81"/>
      <c r="G635" s="81"/>
      <c r="H635" s="81"/>
    </row>
    <row r="636" spans="4:8" ht="15.75">
      <c r="D636" s="81"/>
      <c r="E636" s="81"/>
      <c r="F636" s="81"/>
      <c r="G636" s="81"/>
      <c r="H636" s="81"/>
    </row>
    <row r="637" spans="4:8" ht="15.75">
      <c r="D637" s="81"/>
      <c r="E637" s="81"/>
      <c r="F637" s="81"/>
      <c r="G637" s="81"/>
      <c r="H637" s="81"/>
    </row>
    <row r="638" spans="4:8" ht="15.75">
      <c r="D638" s="81"/>
      <c r="E638" s="81"/>
      <c r="F638" s="81"/>
      <c r="G638" s="81"/>
      <c r="H638" s="81"/>
    </row>
    <row r="639" spans="4:8" ht="15.75">
      <c r="D639" s="81"/>
      <c r="E639" s="81"/>
      <c r="F639" s="81"/>
      <c r="G639" s="81"/>
      <c r="H639" s="81"/>
    </row>
    <row r="640" spans="4:8" ht="15.75">
      <c r="D640" s="81"/>
      <c r="E640" s="81"/>
      <c r="F640" s="81"/>
      <c r="G640" s="81"/>
      <c r="H640" s="81"/>
    </row>
    <row r="641" spans="4:8" ht="15.75">
      <c r="D641" s="81"/>
      <c r="E641" s="81"/>
      <c r="F641" s="81"/>
      <c r="G641" s="81"/>
      <c r="H641" s="81"/>
    </row>
    <row r="642" spans="4:8" ht="15.75">
      <c r="D642" s="81"/>
      <c r="E642" s="81"/>
      <c r="F642" s="81"/>
      <c r="G642" s="81"/>
      <c r="H642" s="81"/>
    </row>
    <row r="643" spans="4:8" ht="15.75">
      <c r="D643" s="81"/>
      <c r="E643" s="81"/>
      <c r="F643" s="81"/>
      <c r="G643" s="81"/>
      <c r="H643" s="81"/>
    </row>
    <row r="644" spans="4:8" ht="15.75">
      <c r="D644" s="81"/>
      <c r="E644" s="81"/>
      <c r="F644" s="81"/>
      <c r="G644" s="81"/>
      <c r="H644" s="81"/>
    </row>
    <row r="645" spans="4:8" ht="15.75">
      <c r="D645" s="81"/>
      <c r="E645" s="81"/>
      <c r="F645" s="81"/>
      <c r="G645" s="81"/>
      <c r="H645" s="81"/>
    </row>
    <row r="646" spans="4:8" ht="15.75">
      <c r="D646" s="81"/>
      <c r="E646" s="81"/>
      <c r="F646" s="81"/>
      <c r="G646" s="81"/>
      <c r="H646" s="81"/>
    </row>
    <row r="647" spans="4:8" ht="15.75">
      <c r="D647" s="81"/>
      <c r="E647" s="81"/>
      <c r="F647" s="81"/>
      <c r="G647" s="81"/>
      <c r="H647" s="81"/>
    </row>
    <row r="648" spans="4:8" ht="15.75">
      <c r="D648" s="81"/>
      <c r="E648" s="81"/>
      <c r="F648" s="81"/>
      <c r="G648" s="81"/>
      <c r="H648" s="81"/>
    </row>
    <row r="649" spans="4:8" ht="15.75">
      <c r="D649" s="81"/>
      <c r="E649" s="81"/>
      <c r="F649" s="81"/>
      <c r="G649" s="81"/>
      <c r="H649" s="81"/>
    </row>
    <row r="650" spans="4:8" ht="15.75">
      <c r="D650" s="81"/>
      <c r="E650" s="81"/>
      <c r="F650" s="81"/>
      <c r="G650" s="81"/>
      <c r="H650" s="81"/>
    </row>
    <row r="651" spans="4:8" ht="15.75">
      <c r="D651" s="81"/>
      <c r="E651" s="81"/>
      <c r="F651" s="81"/>
      <c r="G651" s="81"/>
      <c r="H651" s="81"/>
    </row>
    <row r="652" spans="4:8" ht="15.75">
      <c r="D652" s="81"/>
      <c r="E652" s="81"/>
      <c r="F652" s="81"/>
      <c r="G652" s="81"/>
      <c r="H652" s="81"/>
    </row>
    <row r="653" spans="4:8" ht="15.75">
      <c r="D653" s="81"/>
      <c r="E653" s="81"/>
      <c r="F653" s="81"/>
      <c r="G653" s="81"/>
      <c r="H653" s="81"/>
    </row>
    <row r="654" spans="4:8" ht="15.75">
      <c r="D654" s="81"/>
      <c r="E654" s="81"/>
      <c r="F654" s="81"/>
      <c r="G654" s="81"/>
      <c r="H654" s="81"/>
    </row>
    <row r="655" spans="4:8" ht="15.75">
      <c r="D655" s="81"/>
      <c r="E655" s="81"/>
      <c r="F655" s="81"/>
      <c r="G655" s="81"/>
      <c r="H655" s="81"/>
    </row>
    <row r="656" spans="4:8" ht="15.75">
      <c r="D656" s="81"/>
      <c r="E656" s="81"/>
      <c r="F656" s="81"/>
      <c r="G656" s="81"/>
      <c r="H656" s="81"/>
    </row>
    <row r="657" spans="4:8" ht="15.75">
      <c r="D657" s="81"/>
      <c r="E657" s="81"/>
      <c r="F657" s="81"/>
      <c r="G657" s="81"/>
      <c r="H657" s="81"/>
    </row>
    <row r="658" spans="4:8" ht="15.75">
      <c r="D658" s="81"/>
      <c r="E658" s="81"/>
      <c r="F658" s="81"/>
      <c r="G658" s="81"/>
      <c r="H658" s="81"/>
    </row>
    <row r="659" spans="4:8" ht="15.75">
      <c r="D659" s="81"/>
      <c r="E659" s="81"/>
      <c r="F659" s="81"/>
      <c r="G659" s="81"/>
      <c r="H659" s="81"/>
    </row>
    <row r="660" spans="4:8" ht="15.75">
      <c r="D660" s="81"/>
      <c r="E660" s="81"/>
      <c r="F660" s="81"/>
      <c r="G660" s="81"/>
      <c r="H660" s="81"/>
    </row>
    <row r="661" spans="4:8" ht="15.75">
      <c r="D661" s="81"/>
      <c r="E661" s="81"/>
      <c r="F661" s="81"/>
      <c r="G661" s="81"/>
      <c r="H661" s="81"/>
    </row>
    <row r="662" spans="4:8" ht="15.75">
      <c r="D662" s="81"/>
      <c r="E662" s="81"/>
      <c r="F662" s="81"/>
      <c r="G662" s="81"/>
      <c r="H662" s="81"/>
    </row>
    <row r="663" spans="4:8" ht="15.75">
      <c r="D663" s="81"/>
      <c r="E663" s="81"/>
      <c r="F663" s="81"/>
      <c r="G663" s="81"/>
      <c r="H663" s="81"/>
    </row>
    <row r="664" spans="4:8" ht="15.75">
      <c r="D664" s="81"/>
      <c r="E664" s="81"/>
      <c r="F664" s="81"/>
      <c r="G664" s="81"/>
      <c r="H664" s="81"/>
    </row>
    <row r="665" spans="4:8" ht="15.75">
      <c r="D665" s="81"/>
      <c r="E665" s="81"/>
      <c r="F665" s="81"/>
      <c r="G665" s="81"/>
      <c r="H665" s="81"/>
    </row>
    <row r="666" spans="4:8" ht="15.75">
      <c r="D666" s="81"/>
      <c r="E666" s="81"/>
      <c r="F666" s="81"/>
      <c r="G666" s="81"/>
      <c r="H666" s="81"/>
    </row>
    <row r="667" spans="4:8" ht="15.75">
      <c r="D667" s="81"/>
      <c r="E667" s="81"/>
      <c r="F667" s="81"/>
      <c r="G667" s="81"/>
      <c r="H667" s="81"/>
    </row>
    <row r="668" spans="4:8" ht="15.75">
      <c r="D668" s="81"/>
      <c r="E668" s="81"/>
      <c r="F668" s="81"/>
      <c r="G668" s="81"/>
      <c r="H668" s="81"/>
    </row>
    <row r="669" spans="4:8" ht="15.75">
      <c r="D669" s="81"/>
      <c r="E669" s="81"/>
      <c r="F669" s="81"/>
      <c r="G669" s="81"/>
      <c r="H669" s="81"/>
    </row>
    <row r="670" spans="4:8" ht="15.75">
      <c r="D670" s="81"/>
      <c r="E670" s="81"/>
      <c r="F670" s="81"/>
      <c r="G670" s="81"/>
      <c r="H670" s="81"/>
    </row>
    <row r="671" spans="4:8" ht="15.75">
      <c r="D671" s="81"/>
      <c r="E671" s="81"/>
      <c r="F671" s="81"/>
      <c r="G671" s="81"/>
      <c r="H671" s="81"/>
    </row>
    <row r="672" spans="4:8" ht="15.75">
      <c r="D672" s="81"/>
      <c r="E672" s="81"/>
      <c r="F672" s="81"/>
      <c r="G672" s="81"/>
      <c r="H672" s="81"/>
    </row>
    <row r="673" spans="4:8" ht="15.75">
      <c r="D673" s="81"/>
      <c r="E673" s="81"/>
      <c r="F673" s="81"/>
      <c r="G673" s="81"/>
      <c r="H673" s="81"/>
    </row>
    <row r="674" spans="4:8" ht="15.75">
      <c r="D674" s="81"/>
      <c r="E674" s="81"/>
      <c r="F674" s="81"/>
      <c r="G674" s="81"/>
      <c r="H674" s="81"/>
    </row>
    <row r="675" spans="4:8" ht="15.75">
      <c r="D675" s="81"/>
      <c r="E675" s="81"/>
      <c r="F675" s="81"/>
      <c r="G675" s="81"/>
      <c r="H675" s="81"/>
    </row>
    <row r="676" spans="4:8" ht="15.75">
      <c r="D676" s="81"/>
      <c r="E676" s="81"/>
      <c r="F676" s="81"/>
      <c r="G676" s="81"/>
      <c r="H676" s="81"/>
    </row>
    <row r="677" spans="4:8" ht="15.75">
      <c r="D677" s="81"/>
      <c r="E677" s="81"/>
      <c r="F677" s="81"/>
      <c r="G677" s="81"/>
      <c r="H677" s="81"/>
    </row>
    <row r="678" spans="4:8" ht="15.75">
      <c r="D678" s="81"/>
      <c r="E678" s="81"/>
      <c r="F678" s="81"/>
      <c r="G678" s="81"/>
      <c r="H678" s="81"/>
    </row>
    <row r="679" spans="4:8" ht="15.75">
      <c r="D679" s="81"/>
      <c r="E679" s="81"/>
      <c r="F679" s="81"/>
      <c r="G679" s="81"/>
      <c r="H679" s="81"/>
    </row>
    <row r="680" spans="4:8" ht="15.75">
      <c r="D680" s="81"/>
      <c r="E680" s="81"/>
      <c r="F680" s="81"/>
      <c r="G680" s="81"/>
      <c r="H680" s="81"/>
    </row>
    <row r="681" spans="4:8" ht="15.75">
      <c r="D681" s="81"/>
      <c r="E681" s="81"/>
      <c r="F681" s="81"/>
      <c r="G681" s="81"/>
      <c r="H681" s="81"/>
    </row>
    <row r="682" spans="4:8" ht="15.75">
      <c r="D682" s="81"/>
      <c r="E682" s="81"/>
      <c r="F682" s="81"/>
      <c r="G682" s="81"/>
      <c r="H682" s="81"/>
    </row>
    <row r="683" spans="4:8" ht="15.75">
      <c r="D683" s="81"/>
      <c r="E683" s="81"/>
      <c r="F683" s="81"/>
      <c r="G683" s="81"/>
      <c r="H683" s="81"/>
    </row>
    <row r="684" spans="4:8" ht="15.75">
      <c r="D684" s="81"/>
      <c r="E684" s="81"/>
      <c r="F684" s="81"/>
      <c r="G684" s="81"/>
      <c r="H684" s="81"/>
    </row>
    <row r="685" spans="4:8" ht="15.75">
      <c r="D685" s="81"/>
      <c r="E685" s="81"/>
      <c r="F685" s="81"/>
      <c r="G685" s="81"/>
      <c r="H685" s="81"/>
    </row>
    <row r="686" spans="4:8" ht="15.75">
      <c r="D686" s="81"/>
      <c r="E686" s="81"/>
      <c r="F686" s="81"/>
      <c r="G686" s="81"/>
      <c r="H686" s="81"/>
    </row>
    <row r="687" spans="4:8" ht="15.75">
      <c r="D687" s="81"/>
      <c r="E687" s="81"/>
      <c r="F687" s="81"/>
      <c r="G687" s="81"/>
      <c r="H687" s="81"/>
    </row>
    <row r="688" spans="4:8" ht="15.75">
      <c r="D688" s="81"/>
      <c r="E688" s="81"/>
      <c r="F688" s="81"/>
      <c r="G688" s="81"/>
      <c r="H688" s="81"/>
    </row>
    <row r="689" spans="4:8" ht="15.75">
      <c r="D689" s="81"/>
      <c r="E689" s="81"/>
      <c r="F689" s="81"/>
      <c r="G689" s="81"/>
      <c r="H689" s="81"/>
    </row>
    <row r="690" spans="4:8" ht="15.75">
      <c r="D690" s="81"/>
      <c r="E690" s="81"/>
      <c r="F690" s="81"/>
      <c r="G690" s="81"/>
      <c r="H690" s="81"/>
    </row>
    <row r="691" spans="4:8" ht="15.75">
      <c r="D691" s="81"/>
      <c r="E691" s="81"/>
      <c r="F691" s="81"/>
      <c r="G691" s="81"/>
      <c r="H691" s="81"/>
    </row>
    <row r="692" spans="4:8" ht="15.75">
      <c r="D692" s="81"/>
      <c r="E692" s="81"/>
      <c r="F692" s="81"/>
      <c r="G692" s="81"/>
      <c r="H692" s="81"/>
    </row>
    <row r="693" spans="4:8" ht="15.75">
      <c r="D693" s="81"/>
      <c r="E693" s="81"/>
      <c r="F693" s="81"/>
      <c r="G693" s="81"/>
      <c r="H693" s="81"/>
    </row>
    <row r="694" spans="4:8" ht="15.75">
      <c r="D694" s="81"/>
      <c r="E694" s="81"/>
      <c r="F694" s="81"/>
      <c r="G694" s="81"/>
      <c r="H694" s="81"/>
    </row>
    <row r="695" spans="4:8" ht="15.75">
      <c r="D695" s="81"/>
      <c r="E695" s="81"/>
      <c r="F695" s="81"/>
      <c r="G695" s="81"/>
      <c r="H695" s="81"/>
    </row>
    <row r="696" spans="4:8" ht="15.75">
      <c r="D696" s="81"/>
      <c r="E696" s="81"/>
      <c r="F696" s="81"/>
      <c r="G696" s="81"/>
      <c r="H696" s="81"/>
    </row>
    <row r="697" spans="4:8" ht="15.75">
      <c r="D697" s="81"/>
      <c r="E697" s="81"/>
      <c r="F697" s="81"/>
      <c r="G697" s="81"/>
      <c r="H697" s="81"/>
    </row>
    <row r="698" spans="4:8" ht="15.75">
      <c r="D698" s="81"/>
      <c r="E698" s="81"/>
      <c r="F698" s="81"/>
      <c r="G698" s="81"/>
      <c r="H698" s="81"/>
    </row>
    <row r="699" spans="4:8" ht="15.75">
      <c r="D699" s="81"/>
      <c r="E699" s="81"/>
      <c r="F699" s="81"/>
      <c r="G699" s="81"/>
      <c r="H699" s="81"/>
    </row>
    <row r="700" spans="4:8" ht="15.75">
      <c r="D700" s="81"/>
      <c r="E700" s="81"/>
      <c r="F700" s="81"/>
      <c r="G700" s="81"/>
      <c r="H700" s="81"/>
    </row>
    <row r="701" spans="4:8" ht="15.75">
      <c r="D701" s="81"/>
      <c r="E701" s="81"/>
      <c r="F701" s="81"/>
      <c r="G701" s="81"/>
      <c r="H701" s="81"/>
    </row>
    <row r="702" spans="4:8" ht="15.75">
      <c r="D702" s="81"/>
      <c r="E702" s="81"/>
      <c r="F702" s="81"/>
      <c r="G702" s="81"/>
      <c r="H702" s="81"/>
    </row>
    <row r="703" spans="4:8" ht="15.75">
      <c r="D703" s="81"/>
      <c r="E703" s="81"/>
      <c r="F703" s="81"/>
      <c r="G703" s="81"/>
      <c r="H703" s="81"/>
    </row>
    <row r="704" spans="4:8" ht="15.75">
      <c r="D704" s="81"/>
      <c r="E704" s="81"/>
      <c r="F704" s="81"/>
      <c r="G704" s="81"/>
      <c r="H704" s="81"/>
    </row>
    <row r="705" spans="4:8" ht="15.75">
      <c r="D705" s="81"/>
      <c r="E705" s="81"/>
      <c r="F705" s="81"/>
      <c r="G705" s="81"/>
      <c r="H705" s="81"/>
    </row>
    <row r="706" spans="4:8" ht="15.75">
      <c r="D706" s="81"/>
      <c r="E706" s="81"/>
      <c r="F706" s="81"/>
      <c r="G706" s="81"/>
      <c r="H706" s="81"/>
    </row>
    <row r="707" spans="4:8" ht="15.75">
      <c r="D707" s="81"/>
      <c r="E707" s="81"/>
      <c r="F707" s="81"/>
      <c r="G707" s="81"/>
      <c r="H707" s="81"/>
    </row>
    <row r="708" spans="4:8" ht="15.75">
      <c r="D708" s="81"/>
      <c r="E708" s="81"/>
      <c r="F708" s="81"/>
      <c r="G708" s="81"/>
      <c r="H708" s="81"/>
    </row>
    <row r="709" spans="4:8" ht="15.75">
      <c r="D709" s="81"/>
      <c r="E709" s="81"/>
      <c r="F709" s="81"/>
      <c r="G709" s="81"/>
      <c r="H709" s="81"/>
    </row>
    <row r="710" spans="4:8" ht="15.75">
      <c r="D710" s="81"/>
      <c r="E710" s="81"/>
      <c r="F710" s="81"/>
      <c r="G710" s="81"/>
      <c r="H710" s="81"/>
    </row>
    <row r="711" spans="4:8" ht="15.75">
      <c r="D711" s="81"/>
      <c r="E711" s="81"/>
      <c r="F711" s="81"/>
      <c r="G711" s="81"/>
      <c r="H711" s="81"/>
    </row>
    <row r="712" spans="4:8" ht="15.75">
      <c r="D712" s="81"/>
      <c r="E712" s="81"/>
      <c r="F712" s="81"/>
      <c r="G712" s="81"/>
      <c r="H712" s="81"/>
    </row>
    <row r="713" spans="4:8" ht="15.75">
      <c r="D713" s="81"/>
      <c r="E713" s="81"/>
      <c r="F713" s="81"/>
      <c r="G713" s="81"/>
      <c r="H713" s="81"/>
    </row>
    <row r="714" spans="4:8" ht="15.75">
      <c r="D714" s="81"/>
      <c r="E714" s="81"/>
      <c r="F714" s="81"/>
      <c r="G714" s="81"/>
      <c r="H714" s="81"/>
    </row>
    <row r="715" spans="4:8" ht="15.75">
      <c r="D715" s="81"/>
      <c r="E715" s="81"/>
      <c r="F715" s="81"/>
      <c r="G715" s="81"/>
      <c r="H715" s="81"/>
    </row>
    <row r="716" spans="4:8" ht="15.75">
      <c r="D716" s="81"/>
      <c r="E716" s="81"/>
      <c r="F716" s="81"/>
      <c r="G716" s="81"/>
      <c r="H716" s="81"/>
    </row>
    <row r="717" spans="4:8" ht="15.75">
      <c r="D717" s="81"/>
      <c r="E717" s="81"/>
      <c r="F717" s="81"/>
      <c r="G717" s="81"/>
      <c r="H717" s="81"/>
    </row>
    <row r="718" spans="4:8" ht="15.75">
      <c r="D718" s="81"/>
      <c r="E718" s="81"/>
      <c r="F718" s="81"/>
      <c r="G718" s="81"/>
      <c r="H718" s="81"/>
    </row>
    <row r="719" spans="4:8" ht="15.75">
      <c r="D719" s="81"/>
      <c r="E719" s="81"/>
      <c r="F719" s="81"/>
      <c r="G719" s="81"/>
      <c r="H719" s="81"/>
    </row>
    <row r="720" spans="4:8" ht="15.75">
      <c r="D720" s="81"/>
      <c r="E720" s="81"/>
      <c r="F720" s="81"/>
      <c r="G720" s="81"/>
      <c r="H720" s="81"/>
    </row>
    <row r="721" spans="4:8" ht="15.75">
      <c r="D721" s="81"/>
      <c r="E721" s="81"/>
      <c r="F721" s="81"/>
      <c r="G721" s="81"/>
      <c r="H721" s="81"/>
    </row>
    <row r="722" spans="4:8" ht="15.75">
      <c r="D722" s="81"/>
      <c r="E722" s="81"/>
      <c r="F722" s="81"/>
      <c r="G722" s="81"/>
      <c r="H722" s="81"/>
    </row>
    <row r="723" spans="4:8" ht="15.75">
      <c r="D723" s="81"/>
      <c r="E723" s="81"/>
      <c r="F723" s="81"/>
      <c r="G723" s="81"/>
      <c r="H723" s="81"/>
    </row>
    <row r="724" spans="4:8" ht="15.75">
      <c r="D724" s="81"/>
      <c r="E724" s="81"/>
      <c r="F724" s="81"/>
      <c r="G724" s="81"/>
      <c r="H724" s="81"/>
    </row>
    <row r="725" spans="4:8" ht="15.75">
      <c r="D725" s="81"/>
      <c r="E725" s="81"/>
      <c r="F725" s="81"/>
      <c r="G725" s="81"/>
      <c r="H725" s="81"/>
    </row>
    <row r="726" spans="4:8" ht="15.75">
      <c r="D726" s="81"/>
      <c r="E726" s="81"/>
      <c r="F726" s="81"/>
      <c r="G726" s="81"/>
      <c r="H726" s="81"/>
    </row>
    <row r="727" spans="4:8" ht="15.75">
      <c r="D727" s="81"/>
      <c r="E727" s="81"/>
      <c r="F727" s="81"/>
      <c r="G727" s="81"/>
      <c r="H727" s="81"/>
    </row>
    <row r="728" spans="4:8" ht="15.75">
      <c r="D728" s="81"/>
      <c r="E728" s="81"/>
      <c r="F728" s="81"/>
      <c r="G728" s="81"/>
      <c r="H728" s="81"/>
    </row>
    <row r="729" spans="4:8" ht="15.75">
      <c r="D729" s="81"/>
      <c r="E729" s="81"/>
      <c r="F729" s="81"/>
      <c r="G729" s="81"/>
      <c r="H729" s="81"/>
    </row>
    <row r="730" spans="4:8" ht="15.75">
      <c r="D730" s="81"/>
      <c r="E730" s="81"/>
      <c r="F730" s="81"/>
      <c r="G730" s="81"/>
      <c r="H730" s="81"/>
    </row>
    <row r="731" spans="4:8" ht="15.75">
      <c r="D731" s="81"/>
      <c r="E731" s="81"/>
      <c r="F731" s="81"/>
      <c r="G731" s="81"/>
      <c r="H731" s="81"/>
    </row>
    <row r="732" spans="4:8" ht="15.75">
      <c r="D732" s="81"/>
      <c r="E732" s="81"/>
      <c r="F732" s="81"/>
      <c r="G732" s="81"/>
      <c r="H732" s="81"/>
    </row>
    <row r="733" spans="4:8" ht="15.75">
      <c r="D733" s="81"/>
      <c r="E733" s="81"/>
      <c r="F733" s="81"/>
      <c r="G733" s="81"/>
      <c r="H733" s="81"/>
    </row>
    <row r="734" spans="4:8" ht="15.75">
      <c r="D734" s="81"/>
      <c r="E734" s="81"/>
      <c r="F734" s="81"/>
      <c r="G734" s="81"/>
      <c r="H734" s="81"/>
    </row>
    <row r="735" spans="4:8" ht="15.75">
      <c r="D735" s="81"/>
      <c r="E735" s="81"/>
      <c r="F735" s="81"/>
      <c r="G735" s="81"/>
      <c r="H735" s="81"/>
    </row>
    <row r="736" spans="4:8" ht="15.75">
      <c r="D736" s="81"/>
      <c r="E736" s="81"/>
      <c r="F736" s="81"/>
      <c r="G736" s="81"/>
      <c r="H736" s="81"/>
    </row>
    <row r="737" spans="4:8" ht="15.75">
      <c r="D737" s="81"/>
      <c r="E737" s="81"/>
      <c r="F737" s="81"/>
      <c r="G737" s="81"/>
      <c r="H737" s="81"/>
    </row>
    <row r="738" spans="4:8" ht="15.75">
      <c r="D738" s="81"/>
      <c r="E738" s="81"/>
      <c r="F738" s="81"/>
      <c r="G738" s="81"/>
      <c r="H738" s="81"/>
    </row>
    <row r="739" spans="4:8" ht="15.75">
      <c r="D739" s="81"/>
      <c r="E739" s="81"/>
      <c r="F739" s="81"/>
      <c r="G739" s="81"/>
      <c r="H739" s="81"/>
    </row>
    <row r="740" spans="4:8" ht="15.75">
      <c r="D740" s="81"/>
      <c r="E740" s="81"/>
      <c r="F740" s="81"/>
      <c r="G740" s="81"/>
      <c r="H740" s="81"/>
    </row>
    <row r="741" spans="4:8" ht="15.75">
      <c r="D741" s="81"/>
      <c r="E741" s="81"/>
      <c r="F741" s="81"/>
      <c r="G741" s="81"/>
      <c r="H741" s="81"/>
    </row>
    <row r="742" spans="4:8" ht="15.75">
      <c r="D742" s="81"/>
      <c r="E742" s="81"/>
      <c r="F742" s="81"/>
      <c r="G742" s="81"/>
      <c r="H742" s="81"/>
    </row>
    <row r="743" spans="4:8" ht="15.75">
      <c r="D743" s="81"/>
      <c r="E743" s="81"/>
      <c r="F743" s="81"/>
      <c r="G743" s="81"/>
      <c r="H743" s="81"/>
    </row>
    <row r="744" spans="4:8" ht="15.75">
      <c r="D744" s="81"/>
      <c r="E744" s="81"/>
      <c r="F744" s="81"/>
      <c r="G744" s="81"/>
      <c r="H744" s="81"/>
    </row>
    <row r="745" spans="4:8" ht="15.75">
      <c r="D745" s="81"/>
      <c r="E745" s="81"/>
      <c r="F745" s="81"/>
      <c r="G745" s="81"/>
      <c r="H745" s="81"/>
    </row>
    <row r="746" spans="4:8" ht="15.75">
      <c r="D746" s="81"/>
      <c r="E746" s="81"/>
      <c r="F746" s="81"/>
      <c r="G746" s="81"/>
      <c r="H746" s="81"/>
    </row>
    <row r="747" spans="4:8" ht="15.75">
      <c r="D747" s="81"/>
      <c r="E747" s="81"/>
      <c r="F747" s="81"/>
      <c r="G747" s="81"/>
      <c r="H747" s="81"/>
    </row>
    <row r="748" spans="4:8" ht="15.75">
      <c r="D748" s="81"/>
      <c r="E748" s="81"/>
      <c r="F748" s="81"/>
      <c r="G748" s="81"/>
      <c r="H748" s="81"/>
    </row>
    <row r="749" spans="4:8" ht="15.75">
      <c r="D749" s="81"/>
      <c r="E749" s="81"/>
      <c r="F749" s="81"/>
      <c r="G749" s="81"/>
      <c r="H749" s="81"/>
    </row>
    <row r="750" spans="4:8" ht="15.75">
      <c r="D750" s="81"/>
      <c r="E750" s="81"/>
      <c r="F750" s="81"/>
      <c r="G750" s="81"/>
      <c r="H750" s="81"/>
    </row>
    <row r="751" spans="4:8" ht="15.75">
      <c r="D751" s="81"/>
      <c r="E751" s="81"/>
      <c r="F751" s="81"/>
      <c r="G751" s="81"/>
      <c r="H751" s="81"/>
    </row>
    <row r="752" spans="4:8" ht="15.75">
      <c r="D752" s="81"/>
      <c r="E752" s="81"/>
      <c r="F752" s="81"/>
      <c r="G752" s="81"/>
      <c r="H752" s="81"/>
    </row>
    <row r="753" spans="4:8" ht="15.75">
      <c r="D753" s="81"/>
      <c r="E753" s="81"/>
      <c r="F753" s="81"/>
      <c r="G753" s="81"/>
      <c r="H753" s="81"/>
    </row>
    <row r="754" spans="4:8" ht="15.75">
      <c r="D754" s="81"/>
      <c r="E754" s="81"/>
      <c r="F754" s="81"/>
      <c r="G754" s="81"/>
      <c r="H754" s="81"/>
    </row>
    <row r="755" spans="4:8" ht="15.75">
      <c r="D755" s="81"/>
      <c r="E755" s="81"/>
      <c r="F755" s="81"/>
      <c r="G755" s="81"/>
      <c r="H755" s="81"/>
    </row>
    <row r="756" spans="4:8" ht="15.75">
      <c r="D756" s="81"/>
      <c r="E756" s="81"/>
      <c r="F756" s="81"/>
      <c r="G756" s="81"/>
      <c r="H756" s="81"/>
    </row>
    <row r="757" spans="4:8" ht="15.75">
      <c r="D757" s="81"/>
      <c r="E757" s="81"/>
      <c r="F757" s="81"/>
      <c r="G757" s="81"/>
      <c r="H757" s="81"/>
    </row>
    <row r="758" spans="4:8" ht="15.75">
      <c r="D758" s="81"/>
      <c r="E758" s="81"/>
      <c r="F758" s="81"/>
      <c r="G758" s="81"/>
      <c r="H758" s="81"/>
    </row>
    <row r="759" spans="4:8" ht="15.75">
      <c r="D759" s="81"/>
      <c r="E759" s="81"/>
      <c r="F759" s="81"/>
      <c r="G759" s="81"/>
      <c r="H759" s="81"/>
    </row>
    <row r="760" spans="4:8" ht="15.75">
      <c r="D760" s="81"/>
      <c r="E760" s="81"/>
      <c r="F760" s="81"/>
      <c r="G760" s="81"/>
      <c r="H760" s="81"/>
    </row>
    <row r="761" spans="4:8" ht="15.75">
      <c r="D761" s="81"/>
      <c r="E761" s="81"/>
      <c r="F761" s="81"/>
      <c r="G761" s="81"/>
      <c r="H761" s="81"/>
    </row>
    <row r="762" spans="4:8" ht="15.75">
      <c r="D762" s="81"/>
      <c r="E762" s="81"/>
      <c r="F762" s="81"/>
      <c r="G762" s="81"/>
      <c r="H762" s="81"/>
    </row>
    <row r="763" spans="4:8" ht="15.75">
      <c r="D763" s="81"/>
      <c r="E763" s="81"/>
      <c r="F763" s="81"/>
      <c r="G763" s="81"/>
      <c r="H763" s="81"/>
    </row>
    <row r="764" spans="4:8" ht="15.75">
      <c r="D764" s="81"/>
      <c r="E764" s="81"/>
      <c r="F764" s="81"/>
      <c r="G764" s="81"/>
      <c r="H764" s="81"/>
    </row>
    <row r="765" spans="4:8" ht="15.75">
      <c r="D765" s="81"/>
      <c r="E765" s="81"/>
      <c r="F765" s="81"/>
      <c r="G765" s="81"/>
      <c r="H765" s="81"/>
    </row>
    <row r="766" spans="4:8" ht="15.75">
      <c r="D766" s="81"/>
      <c r="E766" s="81"/>
      <c r="F766" s="81"/>
      <c r="G766" s="81"/>
      <c r="H766" s="81"/>
    </row>
    <row r="767" spans="4:8" ht="15.75">
      <c r="D767" s="81"/>
      <c r="E767" s="81"/>
      <c r="F767" s="81"/>
      <c r="G767" s="81"/>
      <c r="H767" s="81"/>
    </row>
    <row r="768" spans="4:8" ht="15.75">
      <c r="D768" s="81"/>
      <c r="E768" s="81"/>
      <c r="F768" s="81"/>
      <c r="G768" s="81"/>
      <c r="H768" s="81"/>
    </row>
    <row r="769" spans="4:8" ht="15.75">
      <c r="D769" s="81"/>
      <c r="E769" s="81"/>
      <c r="F769" s="81"/>
      <c r="G769" s="81"/>
      <c r="H769" s="81"/>
    </row>
    <row r="770" spans="4:8" ht="15.75">
      <c r="D770" s="81"/>
      <c r="E770" s="81"/>
      <c r="F770" s="81"/>
      <c r="G770" s="81"/>
      <c r="H770" s="81"/>
    </row>
    <row r="771" spans="4:8" ht="15.75">
      <c r="D771" s="81"/>
      <c r="E771" s="81"/>
      <c r="F771" s="81"/>
      <c r="G771" s="81"/>
      <c r="H771" s="81"/>
    </row>
    <row r="772" spans="4:8" ht="15.75">
      <c r="D772" s="81"/>
      <c r="E772" s="81"/>
      <c r="F772" s="81"/>
      <c r="G772" s="81"/>
      <c r="H772" s="81"/>
    </row>
    <row r="773" spans="4:8" ht="15.75">
      <c r="D773" s="81"/>
      <c r="E773" s="81"/>
      <c r="F773" s="81"/>
      <c r="G773" s="81"/>
      <c r="H773" s="81"/>
    </row>
    <row r="774" spans="4:8" ht="15.75">
      <c r="D774" s="81"/>
      <c r="E774" s="81"/>
      <c r="F774" s="81"/>
      <c r="G774" s="81"/>
      <c r="H774" s="81"/>
    </row>
    <row r="775" spans="4:8" ht="15.75">
      <c r="D775" s="81"/>
      <c r="E775" s="81"/>
      <c r="F775" s="81"/>
      <c r="G775" s="81"/>
      <c r="H775" s="81"/>
    </row>
    <row r="776" spans="4:8" ht="15.75">
      <c r="D776" s="81"/>
      <c r="E776" s="81"/>
      <c r="F776" s="81"/>
      <c r="G776" s="81"/>
      <c r="H776" s="81"/>
    </row>
    <row r="777" spans="4:8" ht="15.75">
      <c r="D777" s="81"/>
      <c r="E777" s="81"/>
      <c r="F777" s="81"/>
      <c r="G777" s="81"/>
      <c r="H777" s="81"/>
    </row>
    <row r="778" spans="4:8" ht="15.75">
      <c r="D778" s="81"/>
      <c r="E778" s="81"/>
      <c r="F778" s="81"/>
      <c r="G778" s="81"/>
      <c r="H778" s="81"/>
    </row>
    <row r="779" spans="4:8" ht="15.75">
      <c r="D779" s="81"/>
      <c r="E779" s="81"/>
      <c r="F779" s="81"/>
      <c r="G779" s="81"/>
      <c r="H779" s="81"/>
    </row>
    <row r="780" spans="4:8" ht="15.75">
      <c r="D780" s="81"/>
      <c r="E780" s="81"/>
      <c r="F780" s="81"/>
      <c r="G780" s="81"/>
      <c r="H780" s="81"/>
    </row>
    <row r="781" spans="4:8" ht="15.75">
      <c r="D781" s="81"/>
      <c r="E781" s="81"/>
      <c r="F781" s="81"/>
      <c r="G781" s="81"/>
      <c r="H781" s="81"/>
    </row>
    <row r="782" spans="4:8" ht="15.75">
      <c r="D782" s="81"/>
      <c r="E782" s="81"/>
      <c r="F782" s="81"/>
      <c r="G782" s="81"/>
      <c r="H782" s="81"/>
    </row>
    <row r="783" spans="4:8" ht="15.75">
      <c r="D783" s="81"/>
      <c r="E783" s="81"/>
      <c r="F783" s="81"/>
      <c r="G783" s="81"/>
      <c r="H783" s="81"/>
    </row>
    <row r="784" spans="4:8" ht="15.75">
      <c r="D784" s="81"/>
      <c r="E784" s="81"/>
      <c r="F784" s="81"/>
      <c r="G784" s="81"/>
      <c r="H784" s="81"/>
    </row>
    <row r="785" spans="4:8" ht="15.75">
      <c r="D785" s="81"/>
      <c r="E785" s="81"/>
      <c r="F785" s="81"/>
      <c r="G785" s="81"/>
      <c r="H785" s="81"/>
    </row>
    <row r="786" spans="4:8" ht="15.75">
      <c r="D786" s="81"/>
      <c r="E786" s="81"/>
      <c r="F786" s="81"/>
      <c r="G786" s="81"/>
      <c r="H786" s="81"/>
    </row>
    <row r="787" spans="4:8" ht="15.75">
      <c r="D787" s="81"/>
      <c r="E787" s="81"/>
      <c r="F787" s="81"/>
      <c r="G787" s="81"/>
      <c r="H787" s="81"/>
    </row>
    <row r="788" spans="4:8" ht="15.75">
      <c r="D788" s="81"/>
      <c r="E788" s="81"/>
      <c r="F788" s="81"/>
      <c r="G788" s="81"/>
      <c r="H788" s="81"/>
    </row>
    <row r="789" spans="4:8" ht="15.75">
      <c r="D789" s="81"/>
      <c r="E789" s="81"/>
      <c r="F789" s="81"/>
      <c r="G789" s="81"/>
      <c r="H789" s="81"/>
    </row>
    <row r="790" spans="4:8" ht="15.75">
      <c r="D790" s="81"/>
      <c r="E790" s="81"/>
      <c r="F790" s="81"/>
      <c r="G790" s="81"/>
      <c r="H790" s="81"/>
    </row>
    <row r="791" spans="4:8" ht="15.75">
      <c r="D791" s="81"/>
      <c r="E791" s="81"/>
      <c r="F791" s="81"/>
      <c r="G791" s="81"/>
      <c r="H791" s="81"/>
    </row>
    <row r="792" spans="4:8" ht="15.75">
      <c r="D792" s="81"/>
      <c r="E792" s="81"/>
      <c r="F792" s="81"/>
      <c r="G792" s="81"/>
      <c r="H792" s="81"/>
    </row>
    <row r="793" spans="4:8" ht="15.75">
      <c r="D793" s="81"/>
      <c r="E793" s="81"/>
      <c r="F793" s="81"/>
      <c r="G793" s="81"/>
      <c r="H793" s="81"/>
    </row>
    <row r="794" spans="4:8" ht="15.75">
      <c r="D794" s="81"/>
      <c r="E794" s="81"/>
      <c r="F794" s="81"/>
      <c r="G794" s="81"/>
      <c r="H794" s="81"/>
    </row>
    <row r="795" spans="4:8" ht="15.75">
      <c r="D795" s="81"/>
      <c r="E795" s="81"/>
      <c r="F795" s="81"/>
      <c r="G795" s="81"/>
      <c r="H795" s="81"/>
    </row>
    <row r="796" spans="4:8" ht="15.75">
      <c r="D796" s="81"/>
      <c r="E796" s="81"/>
      <c r="F796" s="81"/>
      <c r="G796" s="81"/>
      <c r="H796" s="81"/>
    </row>
    <row r="797" spans="4:8" ht="15.75">
      <c r="D797" s="81"/>
      <c r="E797" s="81"/>
      <c r="F797" s="81"/>
      <c r="G797" s="81"/>
      <c r="H797" s="81"/>
    </row>
    <row r="798" spans="4:8" ht="15.75">
      <c r="D798" s="81"/>
      <c r="E798" s="81"/>
      <c r="F798" s="81"/>
      <c r="G798" s="81"/>
      <c r="H798" s="81"/>
    </row>
    <row r="799" spans="4:8" ht="15.75">
      <c r="D799" s="81"/>
      <c r="E799" s="81"/>
      <c r="F799" s="81"/>
      <c r="G799" s="81"/>
      <c r="H799" s="81"/>
    </row>
    <row r="800" spans="4:8" ht="15.75">
      <c r="D800" s="81"/>
      <c r="E800" s="81"/>
      <c r="F800" s="81"/>
      <c r="G800" s="81"/>
      <c r="H800" s="81"/>
    </row>
    <row r="801" spans="4:8" ht="15.75">
      <c r="D801" s="81"/>
      <c r="E801" s="81"/>
      <c r="F801" s="81"/>
      <c r="G801" s="81"/>
      <c r="H801" s="81"/>
    </row>
    <row r="802" spans="4:8" ht="15.75">
      <c r="D802" s="81"/>
      <c r="E802" s="81"/>
      <c r="F802" s="81"/>
      <c r="G802" s="81"/>
      <c r="H802" s="81"/>
    </row>
    <row r="803" spans="4:8" ht="15.75">
      <c r="D803" s="81"/>
      <c r="E803" s="81"/>
      <c r="F803" s="81"/>
      <c r="G803" s="81"/>
      <c r="H803" s="81"/>
    </row>
    <row r="804" spans="4:8" ht="15.75">
      <c r="D804" s="81"/>
      <c r="E804" s="81"/>
      <c r="F804" s="81"/>
      <c r="G804" s="81"/>
      <c r="H804" s="81"/>
    </row>
    <row r="805" spans="4:8" ht="15.75">
      <c r="D805" s="81"/>
      <c r="E805" s="81"/>
      <c r="F805" s="81"/>
      <c r="G805" s="81"/>
      <c r="H805" s="81"/>
    </row>
    <row r="806" spans="4:8" ht="15.75">
      <c r="D806" s="81"/>
      <c r="E806" s="81"/>
      <c r="F806" s="81"/>
      <c r="G806" s="81"/>
      <c r="H806" s="81"/>
    </row>
    <row r="807" spans="4:8" ht="15.75">
      <c r="D807" s="81"/>
      <c r="E807" s="81"/>
      <c r="F807" s="81"/>
      <c r="G807" s="81"/>
      <c r="H807" s="81"/>
    </row>
    <row r="808" spans="4:8" ht="15.75">
      <c r="D808" s="81"/>
      <c r="E808" s="81"/>
      <c r="F808" s="81"/>
      <c r="G808" s="81"/>
      <c r="H808" s="81"/>
    </row>
    <row r="809" spans="4:8" ht="15.75">
      <c r="D809" s="81"/>
      <c r="E809" s="81"/>
      <c r="F809" s="81"/>
      <c r="G809" s="81"/>
      <c r="H809" s="81"/>
    </row>
    <row r="810" spans="4:8" ht="15.75">
      <c r="D810" s="81"/>
      <c r="E810" s="81"/>
      <c r="F810" s="81"/>
      <c r="G810" s="81"/>
      <c r="H810" s="81"/>
    </row>
    <row r="811" spans="4:8" ht="15.75">
      <c r="D811" s="81"/>
      <c r="E811" s="81"/>
      <c r="F811" s="81"/>
      <c r="G811" s="81"/>
      <c r="H811" s="81"/>
    </row>
    <row r="812" spans="4:8" ht="15.75">
      <c r="D812" s="81"/>
      <c r="E812" s="81"/>
      <c r="F812" s="81"/>
      <c r="G812" s="81"/>
      <c r="H812" s="81"/>
    </row>
    <row r="813" spans="4:8" ht="15.75">
      <c r="D813" s="81"/>
      <c r="E813" s="81"/>
      <c r="F813" s="81"/>
      <c r="G813" s="81"/>
      <c r="H813" s="81"/>
    </row>
    <row r="814" spans="4:8" ht="15.75">
      <c r="D814" s="81"/>
      <c r="E814" s="81"/>
      <c r="F814" s="81"/>
      <c r="G814" s="81"/>
      <c r="H814" s="81"/>
    </row>
    <row r="815" spans="4:8" ht="15.75">
      <c r="D815" s="81"/>
      <c r="E815" s="81"/>
      <c r="F815" s="81"/>
      <c r="G815" s="81"/>
      <c r="H815" s="81"/>
    </row>
    <row r="816" spans="4:8" ht="15.75">
      <c r="D816" s="81"/>
      <c r="E816" s="81"/>
      <c r="F816" s="81"/>
      <c r="G816" s="81"/>
      <c r="H816" s="81"/>
    </row>
    <row r="817" spans="4:8" ht="15.75">
      <c r="D817" s="81"/>
      <c r="E817" s="81"/>
      <c r="F817" s="81"/>
      <c r="G817" s="81"/>
      <c r="H817" s="81"/>
    </row>
    <row r="818" spans="4:8" ht="15.75">
      <c r="D818" s="81"/>
      <c r="E818" s="81"/>
      <c r="F818" s="81"/>
      <c r="G818" s="81"/>
      <c r="H818" s="81"/>
    </row>
    <row r="819" spans="4:8" ht="15.75">
      <c r="D819" s="81"/>
      <c r="E819" s="81"/>
      <c r="F819" s="81"/>
      <c r="G819" s="81"/>
      <c r="H819" s="81"/>
    </row>
    <row r="820" spans="4:8" ht="15.75">
      <c r="D820" s="81"/>
      <c r="E820" s="81"/>
      <c r="F820" s="81"/>
      <c r="G820" s="81"/>
      <c r="H820" s="81"/>
    </row>
    <row r="821" spans="4:8" ht="15.75">
      <c r="D821" s="81"/>
      <c r="E821" s="81"/>
      <c r="F821" s="81"/>
      <c r="G821" s="81"/>
      <c r="H821" s="81"/>
    </row>
    <row r="822" spans="4:8" ht="15.75">
      <c r="D822" s="81"/>
      <c r="E822" s="81"/>
      <c r="F822" s="81"/>
      <c r="G822" s="81"/>
      <c r="H822" s="81"/>
    </row>
    <row r="823" spans="4:8" ht="15.75">
      <c r="D823" s="81"/>
      <c r="E823" s="81"/>
      <c r="F823" s="81"/>
      <c r="G823" s="81"/>
      <c r="H823" s="81"/>
    </row>
    <row r="824" spans="4:8" ht="15.75">
      <c r="D824" s="81"/>
      <c r="E824" s="81"/>
      <c r="F824" s="81"/>
      <c r="G824" s="81"/>
      <c r="H824" s="81"/>
    </row>
    <row r="825" spans="4:8" ht="15.75">
      <c r="D825" s="81"/>
      <c r="E825" s="81"/>
      <c r="F825" s="81"/>
      <c r="G825" s="81"/>
      <c r="H825" s="81"/>
    </row>
    <row r="826" spans="4:8" ht="15.75">
      <c r="D826" s="81"/>
      <c r="E826" s="81"/>
      <c r="F826" s="81"/>
      <c r="G826" s="81"/>
      <c r="H826" s="81"/>
    </row>
    <row r="827" spans="4:8" ht="15.75">
      <c r="D827" s="81"/>
      <c r="E827" s="81"/>
      <c r="F827" s="81"/>
      <c r="G827" s="81"/>
      <c r="H827" s="81"/>
    </row>
    <row r="828" spans="4:8" ht="15.75">
      <c r="D828" s="81"/>
      <c r="E828" s="81"/>
      <c r="F828" s="81"/>
      <c r="G828" s="81"/>
      <c r="H828" s="81"/>
    </row>
    <row r="829" spans="4:8" ht="15.75">
      <c r="D829" s="81"/>
      <c r="E829" s="81"/>
      <c r="F829" s="81"/>
      <c r="G829" s="81"/>
      <c r="H829" s="81"/>
    </row>
    <row r="830" spans="4:8" ht="15.75">
      <c r="D830" s="81"/>
      <c r="E830" s="81"/>
      <c r="F830" s="81"/>
      <c r="G830" s="81"/>
      <c r="H830" s="81"/>
    </row>
    <row r="831" spans="4:8" ht="15.75">
      <c r="D831" s="81"/>
      <c r="E831" s="81"/>
      <c r="F831" s="81"/>
      <c r="G831" s="81"/>
      <c r="H831" s="81"/>
    </row>
    <row r="832" spans="4:8" ht="15.75">
      <c r="D832" s="81"/>
      <c r="E832" s="81"/>
      <c r="F832" s="81"/>
      <c r="G832" s="81"/>
      <c r="H832" s="81"/>
    </row>
    <row r="833" spans="4:8" ht="15.75">
      <c r="D833" s="81"/>
      <c r="E833" s="81"/>
      <c r="F833" s="81"/>
      <c r="G833" s="81"/>
      <c r="H833" s="81"/>
    </row>
    <row r="834" spans="4:8" ht="15.75">
      <c r="D834" s="81"/>
      <c r="E834" s="81"/>
      <c r="F834" s="81"/>
      <c r="G834" s="81"/>
      <c r="H834" s="81"/>
    </row>
    <row r="835" spans="4:8" ht="15.75">
      <c r="D835" s="81"/>
      <c r="E835" s="81"/>
      <c r="F835" s="81"/>
      <c r="G835" s="81"/>
      <c r="H835" s="81"/>
    </row>
    <row r="836" spans="4:8" ht="15.75">
      <c r="D836" s="81"/>
      <c r="E836" s="81"/>
      <c r="F836" s="81"/>
      <c r="G836" s="81"/>
      <c r="H836" s="81"/>
    </row>
    <row r="837" spans="4:8" ht="15.75">
      <c r="D837" s="81"/>
      <c r="E837" s="81"/>
      <c r="F837" s="81"/>
      <c r="G837" s="81"/>
      <c r="H837" s="81"/>
    </row>
    <row r="838" spans="4:8" ht="15.75">
      <c r="D838" s="81"/>
      <c r="E838" s="81"/>
      <c r="F838" s="81"/>
      <c r="G838" s="81"/>
      <c r="H838" s="81"/>
    </row>
    <row r="839" spans="4:8" ht="15.75">
      <c r="D839" s="81"/>
      <c r="E839" s="81"/>
      <c r="F839" s="81"/>
      <c r="G839" s="81"/>
      <c r="H839" s="81"/>
    </row>
    <row r="840" spans="4:8" ht="15.75">
      <c r="D840" s="81"/>
      <c r="E840" s="81"/>
      <c r="F840" s="81"/>
      <c r="G840" s="81"/>
      <c r="H840" s="81"/>
    </row>
    <row r="841" spans="4:8" ht="15.75">
      <c r="D841" s="81"/>
      <c r="E841" s="81"/>
      <c r="F841" s="81"/>
      <c r="G841" s="81"/>
      <c r="H841" s="81"/>
    </row>
    <row r="842" spans="4:8" ht="15.75">
      <c r="D842" s="81"/>
      <c r="E842" s="81"/>
      <c r="F842" s="81"/>
      <c r="G842" s="81"/>
      <c r="H842" s="81"/>
    </row>
    <row r="843" spans="4:8" ht="15.75">
      <c r="D843" s="81"/>
      <c r="E843" s="81"/>
      <c r="F843" s="81"/>
      <c r="G843" s="81"/>
      <c r="H843" s="81"/>
    </row>
    <row r="844" spans="4:8" ht="15.75">
      <c r="D844" s="81"/>
      <c r="E844" s="81"/>
      <c r="F844" s="81"/>
      <c r="G844" s="81"/>
      <c r="H844" s="81"/>
    </row>
    <row r="845" spans="4:8" ht="15.75">
      <c r="D845" s="81"/>
      <c r="E845" s="81"/>
      <c r="F845" s="81"/>
      <c r="G845" s="81"/>
      <c r="H845" s="81"/>
    </row>
    <row r="846" spans="4:8" ht="15.75">
      <c r="D846" s="81"/>
      <c r="E846" s="81"/>
      <c r="F846" s="81"/>
      <c r="G846" s="81"/>
      <c r="H846" s="81"/>
    </row>
    <row r="847" spans="4:8" ht="15.75">
      <c r="D847" s="81"/>
      <c r="E847" s="81"/>
      <c r="F847" s="81"/>
      <c r="G847" s="81"/>
      <c r="H847" s="81"/>
    </row>
    <row r="848" spans="4:8" ht="15.75">
      <c r="D848" s="81"/>
      <c r="E848" s="81"/>
      <c r="F848" s="81"/>
      <c r="G848" s="81"/>
      <c r="H848" s="81"/>
    </row>
    <row r="849" spans="4:8" ht="15.75">
      <c r="D849" s="81"/>
      <c r="E849" s="81"/>
      <c r="F849" s="81"/>
      <c r="G849" s="81"/>
      <c r="H849" s="81"/>
    </row>
    <row r="850" spans="4:8" ht="15.75">
      <c r="D850" s="81"/>
      <c r="E850" s="81"/>
      <c r="F850" s="81"/>
      <c r="G850" s="81"/>
      <c r="H850" s="81"/>
    </row>
    <row r="851" spans="4:8" ht="15.75">
      <c r="D851" s="81"/>
      <c r="E851" s="81"/>
      <c r="F851" s="81"/>
      <c r="G851" s="81"/>
      <c r="H851" s="81"/>
    </row>
    <row r="852" spans="4:8" ht="15.75">
      <c r="D852" s="81"/>
      <c r="E852" s="81"/>
      <c r="F852" s="81"/>
      <c r="G852" s="81"/>
      <c r="H852" s="81"/>
    </row>
    <row r="853" spans="4:8" ht="15.75">
      <c r="D853" s="81"/>
      <c r="E853" s="81"/>
      <c r="F853" s="81"/>
      <c r="G853" s="81"/>
      <c r="H853" s="81"/>
    </row>
    <row r="854" spans="4:8" ht="15.75">
      <c r="D854" s="81"/>
      <c r="E854" s="81"/>
      <c r="F854" s="81"/>
      <c r="G854" s="81"/>
      <c r="H854" s="81"/>
    </row>
    <row r="855" spans="4:8" ht="15.75">
      <c r="D855" s="81"/>
      <c r="E855" s="81"/>
      <c r="F855" s="81"/>
      <c r="G855" s="81"/>
      <c r="H855" s="81"/>
    </row>
    <row r="856" spans="4:8" ht="15.75">
      <c r="D856" s="81"/>
      <c r="E856" s="81"/>
      <c r="F856" s="81"/>
      <c r="G856" s="81"/>
      <c r="H856" s="81"/>
    </row>
    <row r="857" spans="4:8" ht="15.75">
      <c r="D857" s="81"/>
      <c r="E857" s="81"/>
      <c r="F857" s="81"/>
      <c r="G857" s="81"/>
      <c r="H857" s="81"/>
    </row>
    <row r="858" spans="4:8" ht="15.75">
      <c r="D858" s="81"/>
      <c r="E858" s="81"/>
      <c r="F858" s="81"/>
      <c r="G858" s="81"/>
      <c r="H858" s="81"/>
    </row>
    <row r="859" spans="4:8" ht="15.75">
      <c r="D859" s="81"/>
      <c r="E859" s="81"/>
      <c r="F859" s="81"/>
      <c r="G859" s="81"/>
      <c r="H859" s="81"/>
    </row>
    <row r="860" spans="4:8" ht="15.75">
      <c r="D860" s="81"/>
      <c r="E860" s="81"/>
      <c r="F860" s="81"/>
      <c r="G860" s="81"/>
      <c r="H860" s="81"/>
    </row>
    <row r="861" spans="4:8" ht="15.75">
      <c r="D861" s="81"/>
      <c r="E861" s="81"/>
      <c r="F861" s="81"/>
      <c r="G861" s="81"/>
      <c r="H861" s="81"/>
    </row>
    <row r="862" spans="4:8" ht="15.75">
      <c r="D862" s="81"/>
      <c r="E862" s="81"/>
      <c r="F862" s="81"/>
      <c r="G862" s="81"/>
      <c r="H862" s="81"/>
    </row>
    <row r="863" spans="4:8" ht="15.75">
      <c r="D863" s="81"/>
      <c r="E863" s="81"/>
      <c r="F863" s="81"/>
      <c r="G863" s="81"/>
      <c r="H863" s="81"/>
    </row>
    <row r="864" spans="4:8" ht="15.75">
      <c r="D864" s="81"/>
      <c r="E864" s="81"/>
      <c r="F864" s="81"/>
      <c r="G864" s="81"/>
      <c r="H864" s="81"/>
    </row>
    <row r="865" spans="4:8" ht="15.75">
      <c r="D865" s="81"/>
      <c r="E865" s="81"/>
      <c r="F865" s="81"/>
      <c r="G865" s="81"/>
      <c r="H865" s="81"/>
    </row>
    <row r="866" spans="4:8" ht="15.75">
      <c r="D866" s="81"/>
      <c r="E866" s="81"/>
      <c r="F866" s="81"/>
      <c r="G866" s="81"/>
      <c r="H866" s="81"/>
    </row>
    <row r="867" spans="4:8" ht="15.75">
      <c r="D867" s="81"/>
      <c r="E867" s="81"/>
      <c r="F867" s="81"/>
      <c r="G867" s="81"/>
      <c r="H867" s="81"/>
    </row>
    <row r="868" spans="4:8" ht="15.75">
      <c r="D868" s="81"/>
      <c r="E868" s="81"/>
      <c r="F868" s="81"/>
      <c r="G868" s="81"/>
      <c r="H868" s="81"/>
    </row>
    <row r="869" spans="4:8" ht="15.75">
      <c r="D869" s="81"/>
      <c r="E869" s="81"/>
      <c r="F869" s="81"/>
      <c r="G869" s="81"/>
      <c r="H869" s="81"/>
    </row>
    <row r="870" spans="4:8" ht="15.75">
      <c r="D870" s="81"/>
      <c r="E870" s="81"/>
      <c r="F870" s="81"/>
      <c r="G870" s="81"/>
      <c r="H870" s="81"/>
    </row>
    <row r="871" spans="4:8" ht="15.75">
      <c r="D871" s="81"/>
      <c r="E871" s="81"/>
      <c r="F871" s="81"/>
      <c r="G871" s="81"/>
      <c r="H871" s="81"/>
    </row>
    <row r="872" spans="4:8" ht="15.75">
      <c r="D872" s="81"/>
      <c r="E872" s="81"/>
      <c r="F872" s="81"/>
      <c r="G872" s="81"/>
      <c r="H872" s="81"/>
    </row>
    <row r="873" spans="4:8" ht="15.75">
      <c r="D873" s="81"/>
      <c r="E873" s="81"/>
      <c r="F873" s="81"/>
      <c r="G873" s="81"/>
      <c r="H873" s="81"/>
    </row>
    <row r="874" spans="4:8" ht="15.75">
      <c r="D874" s="81"/>
      <c r="E874" s="81"/>
      <c r="F874" s="81"/>
      <c r="G874" s="81"/>
      <c r="H874" s="81"/>
    </row>
    <row r="875" spans="4:8" ht="15.75">
      <c r="D875" s="81"/>
      <c r="E875" s="81"/>
      <c r="F875" s="81"/>
      <c r="G875" s="81"/>
      <c r="H875" s="81"/>
    </row>
    <row r="876" spans="4:8" ht="15.75">
      <c r="D876" s="81"/>
      <c r="E876" s="81"/>
      <c r="F876" s="81"/>
      <c r="G876" s="81"/>
      <c r="H876" s="81"/>
    </row>
    <row r="877" spans="4:8" ht="15.75">
      <c r="D877" s="81"/>
      <c r="E877" s="81"/>
      <c r="F877" s="81"/>
      <c r="G877" s="81"/>
      <c r="H877" s="81"/>
    </row>
    <row r="878" spans="4:8" ht="15.75">
      <c r="D878" s="81"/>
      <c r="E878" s="81"/>
      <c r="F878" s="81"/>
      <c r="G878" s="81"/>
      <c r="H878" s="81"/>
    </row>
    <row r="879" spans="4:8" ht="15.75">
      <c r="D879" s="81"/>
      <c r="E879" s="81"/>
      <c r="F879" s="81"/>
      <c r="G879" s="81"/>
      <c r="H879" s="81"/>
    </row>
    <row r="880" spans="4:8" ht="15.75">
      <c r="D880" s="81"/>
      <c r="E880" s="81"/>
      <c r="F880" s="81"/>
      <c r="G880" s="81"/>
      <c r="H880" s="81"/>
    </row>
    <row r="881" spans="4:8" ht="15.75">
      <c r="D881" s="81"/>
      <c r="E881" s="81"/>
      <c r="F881" s="81"/>
      <c r="G881" s="81"/>
      <c r="H881" s="81"/>
    </row>
    <row r="882" spans="4:8" ht="15.75">
      <c r="D882" s="81"/>
      <c r="E882" s="81"/>
      <c r="F882" s="81"/>
      <c r="G882" s="81"/>
      <c r="H882" s="81"/>
    </row>
    <row r="883" spans="4:8" ht="15.75">
      <c r="D883" s="81"/>
      <c r="E883" s="81"/>
      <c r="F883" s="81"/>
      <c r="G883" s="81"/>
      <c r="H883" s="81"/>
    </row>
    <row r="884" spans="4:8" ht="15.75">
      <c r="D884" s="81"/>
      <c r="E884" s="81"/>
      <c r="F884" s="81"/>
      <c r="G884" s="81"/>
      <c r="H884" s="81"/>
    </row>
    <row r="885" spans="4:8" ht="15.75">
      <c r="D885" s="81"/>
      <c r="E885" s="81"/>
      <c r="F885" s="81"/>
      <c r="G885" s="81"/>
      <c r="H885" s="81"/>
    </row>
    <row r="886" spans="4:8" ht="15.75">
      <c r="D886" s="81"/>
      <c r="E886" s="81"/>
      <c r="F886" s="81"/>
      <c r="G886" s="81"/>
      <c r="H886" s="81"/>
    </row>
    <row r="887" spans="4:8" ht="15.75">
      <c r="D887" s="81"/>
      <c r="E887" s="81"/>
      <c r="F887" s="81"/>
      <c r="G887" s="81"/>
      <c r="H887" s="81"/>
    </row>
    <row r="888" spans="4:8" ht="15.75">
      <c r="D888" s="81"/>
      <c r="E888" s="81"/>
      <c r="F888" s="81"/>
      <c r="G888" s="81"/>
      <c r="H888" s="81"/>
    </row>
    <row r="889" spans="4:8" ht="15.75">
      <c r="D889" s="81"/>
      <c r="E889" s="81"/>
      <c r="F889" s="81"/>
      <c r="G889" s="81"/>
      <c r="H889" s="81"/>
    </row>
    <row r="890" spans="4:8" ht="15.75">
      <c r="D890" s="81"/>
      <c r="E890" s="81"/>
      <c r="F890" s="81"/>
      <c r="G890" s="81"/>
      <c r="H890" s="81"/>
    </row>
    <row r="891" spans="4:8" ht="15.75">
      <c r="D891" s="81"/>
      <c r="E891" s="81"/>
      <c r="F891" s="81"/>
      <c r="G891" s="81"/>
      <c r="H891" s="81"/>
    </row>
    <row r="892" spans="4:8" ht="15.75">
      <c r="D892" s="81"/>
      <c r="E892" s="81"/>
      <c r="F892" s="81"/>
      <c r="G892" s="81"/>
      <c r="H892" s="81"/>
    </row>
    <row r="893" spans="4:8" ht="15.75">
      <c r="D893" s="81"/>
      <c r="E893" s="81"/>
      <c r="F893" s="81"/>
      <c r="G893" s="81"/>
      <c r="H893" s="81"/>
    </row>
    <row r="894" spans="4:8" ht="15.75">
      <c r="D894" s="81"/>
      <c r="E894" s="81"/>
      <c r="F894" s="81"/>
      <c r="G894" s="81"/>
      <c r="H894" s="81"/>
    </row>
    <row r="895" spans="4:8" ht="15.75">
      <c r="D895" s="81"/>
      <c r="E895" s="81"/>
      <c r="F895" s="81"/>
      <c r="G895" s="81"/>
      <c r="H895" s="81"/>
    </row>
    <row r="896" spans="4:8" ht="15.75">
      <c r="D896" s="81"/>
      <c r="E896" s="81"/>
      <c r="F896" s="81"/>
      <c r="G896" s="81"/>
      <c r="H896" s="81"/>
    </row>
    <row r="897" spans="4:8" ht="15.75">
      <c r="D897" s="81"/>
      <c r="E897" s="81"/>
      <c r="F897" s="81"/>
      <c r="G897" s="81"/>
      <c r="H897" s="81"/>
    </row>
    <row r="898" spans="4:8" ht="15.75">
      <c r="D898" s="81"/>
      <c r="E898" s="81"/>
      <c r="F898" s="81"/>
      <c r="G898" s="81"/>
      <c r="H898" s="81"/>
    </row>
    <row r="899" spans="4:8" ht="15.75">
      <c r="D899" s="81"/>
      <c r="E899" s="81"/>
      <c r="F899" s="81"/>
      <c r="G899" s="81"/>
      <c r="H899" s="81"/>
    </row>
    <row r="900" spans="4:8" ht="15.75">
      <c r="D900" s="81"/>
      <c r="E900" s="81"/>
      <c r="F900" s="81"/>
      <c r="G900" s="81"/>
      <c r="H900" s="81"/>
    </row>
    <row r="901" spans="4:8" ht="15.75">
      <c r="D901" s="81"/>
      <c r="E901" s="81"/>
      <c r="F901" s="81"/>
      <c r="G901" s="81"/>
      <c r="H901" s="81"/>
    </row>
    <row r="902" spans="4:8" ht="15.75">
      <c r="D902" s="81"/>
      <c r="E902" s="81"/>
      <c r="F902" s="81"/>
      <c r="G902" s="81"/>
      <c r="H902" s="81"/>
    </row>
    <row r="903" spans="4:8" ht="15.75">
      <c r="D903" s="81"/>
      <c r="E903" s="81"/>
      <c r="F903" s="81"/>
      <c r="G903" s="81"/>
      <c r="H903" s="81"/>
    </row>
    <row r="904" spans="4:8" ht="15.75">
      <c r="D904" s="81"/>
      <c r="E904" s="81"/>
      <c r="F904" s="81"/>
      <c r="G904" s="81"/>
      <c r="H904" s="81"/>
    </row>
    <row r="905" spans="4:8" ht="15.75">
      <c r="D905" s="81"/>
      <c r="E905" s="81"/>
      <c r="F905" s="81"/>
      <c r="G905" s="81"/>
      <c r="H905" s="81"/>
    </row>
    <row r="906" spans="4:8" ht="15.75">
      <c r="D906" s="81"/>
      <c r="E906" s="81"/>
      <c r="F906" s="81"/>
      <c r="G906" s="81"/>
      <c r="H906" s="81"/>
    </row>
    <row r="907" spans="4:8" ht="15.75">
      <c r="D907" s="81"/>
      <c r="E907" s="81"/>
      <c r="F907" s="81"/>
      <c r="G907" s="81"/>
      <c r="H907" s="81"/>
    </row>
    <row r="908" spans="4:8" ht="15.75">
      <c r="D908" s="81"/>
      <c r="E908" s="81"/>
      <c r="F908" s="81"/>
      <c r="G908" s="81"/>
      <c r="H908" s="81"/>
    </row>
    <row r="909" spans="4:8" ht="15.75">
      <c r="D909" s="81"/>
      <c r="E909" s="81"/>
      <c r="F909" s="81"/>
      <c r="G909" s="81"/>
      <c r="H909" s="81"/>
    </row>
    <row r="910" spans="4:8" ht="15.75">
      <c r="D910" s="81"/>
      <c r="E910" s="81"/>
      <c r="F910" s="81"/>
      <c r="G910" s="81"/>
      <c r="H910" s="81"/>
    </row>
    <row r="911" spans="4:8" ht="15.75">
      <c r="D911" s="81"/>
      <c r="E911" s="81"/>
      <c r="F911" s="81"/>
      <c r="G911" s="81"/>
      <c r="H911" s="81"/>
    </row>
    <row r="912" spans="4:8" ht="15.75">
      <c r="D912" s="81"/>
      <c r="E912" s="81"/>
      <c r="F912" s="81"/>
      <c r="G912" s="81"/>
      <c r="H912" s="81"/>
    </row>
    <row r="913" spans="4:8" ht="15.75">
      <c r="D913" s="81"/>
      <c r="E913" s="81"/>
      <c r="F913" s="81"/>
      <c r="G913" s="81"/>
      <c r="H913" s="81"/>
    </row>
    <row r="914" spans="4:8" ht="15.75">
      <c r="D914" s="81"/>
      <c r="E914" s="81"/>
      <c r="F914" s="81"/>
      <c r="G914" s="81"/>
      <c r="H914" s="81"/>
    </row>
    <row r="915" spans="4:8" ht="15.75">
      <c r="D915" s="81"/>
      <c r="E915" s="81"/>
      <c r="F915" s="81"/>
      <c r="G915" s="81"/>
      <c r="H915" s="81"/>
    </row>
    <row r="916" spans="4:8" ht="15.75">
      <c r="D916" s="81"/>
      <c r="E916" s="81"/>
      <c r="F916" s="81"/>
      <c r="G916" s="81"/>
      <c r="H916" s="81"/>
    </row>
    <row r="917" spans="4:8" ht="15.75">
      <c r="D917" s="81"/>
      <c r="E917" s="81"/>
      <c r="F917" s="81"/>
      <c r="G917" s="81"/>
      <c r="H917" s="81"/>
    </row>
    <row r="918" spans="4:8" ht="15.75">
      <c r="D918" s="81"/>
      <c r="E918" s="81"/>
      <c r="F918" s="81"/>
      <c r="G918" s="81"/>
      <c r="H918" s="81"/>
    </row>
    <row r="919" spans="4:8" ht="15.75">
      <c r="D919" s="81"/>
      <c r="E919" s="81"/>
      <c r="F919" s="81"/>
      <c r="G919" s="81"/>
      <c r="H919" s="81"/>
    </row>
    <row r="920" spans="4:8" ht="15.75">
      <c r="D920" s="81"/>
      <c r="E920" s="81"/>
      <c r="F920" s="81"/>
      <c r="G920" s="81"/>
      <c r="H920" s="81"/>
    </row>
    <row r="921" spans="4:8" ht="15.75">
      <c r="D921" s="81"/>
      <c r="E921" s="81"/>
      <c r="F921" s="81"/>
      <c r="G921" s="81"/>
      <c r="H921" s="81"/>
    </row>
    <row r="922" spans="4:8" ht="15.75">
      <c r="D922" s="81"/>
      <c r="E922" s="81"/>
      <c r="F922" s="81"/>
      <c r="G922" s="81"/>
      <c r="H922" s="81"/>
    </row>
    <row r="923" spans="4:8" ht="15.75">
      <c r="D923" s="81"/>
      <c r="E923" s="81"/>
      <c r="F923" s="81"/>
      <c r="G923" s="81"/>
      <c r="H923" s="81"/>
    </row>
    <row r="924" spans="4:8" ht="15.75">
      <c r="D924" s="81"/>
      <c r="E924" s="81"/>
      <c r="F924" s="81"/>
      <c r="G924" s="81"/>
      <c r="H924" s="81"/>
    </row>
    <row r="925" spans="4:8" ht="15.75">
      <c r="D925" s="81"/>
      <c r="E925" s="81"/>
      <c r="F925" s="81"/>
      <c r="G925" s="81"/>
      <c r="H925" s="81"/>
    </row>
    <row r="926" spans="4:8" ht="15.75">
      <c r="D926" s="81"/>
      <c r="E926" s="81"/>
      <c r="F926" s="81"/>
      <c r="G926" s="81"/>
      <c r="H926" s="81"/>
    </row>
    <row r="927" spans="4:8" ht="15.75">
      <c r="D927" s="81"/>
      <c r="E927" s="81"/>
      <c r="F927" s="81"/>
      <c r="G927" s="81"/>
      <c r="H927" s="81"/>
    </row>
    <row r="928" spans="4:8" ht="15.75">
      <c r="D928" s="81"/>
      <c r="E928" s="81"/>
      <c r="F928" s="81"/>
      <c r="G928" s="81"/>
      <c r="H928" s="81"/>
    </row>
    <row r="929" spans="4:8" ht="15.75">
      <c r="D929" s="81"/>
      <c r="E929" s="81"/>
      <c r="F929" s="81"/>
      <c r="G929" s="81"/>
      <c r="H929" s="81"/>
    </row>
    <row r="930" spans="4:8" ht="15.75">
      <c r="D930" s="81"/>
      <c r="E930" s="81"/>
      <c r="F930" s="81"/>
      <c r="G930" s="81"/>
      <c r="H930" s="81"/>
    </row>
    <row r="931" spans="4:8" ht="15.75">
      <c r="D931" s="81"/>
      <c r="E931" s="81"/>
      <c r="F931" s="81"/>
      <c r="G931" s="81"/>
      <c r="H931" s="81"/>
    </row>
    <row r="932" spans="4:8" ht="15.75">
      <c r="D932" s="81"/>
      <c r="E932" s="81"/>
      <c r="F932" s="81"/>
      <c r="G932" s="81"/>
      <c r="H932" s="81"/>
    </row>
    <row r="933" spans="4:8" ht="15.75">
      <c r="D933" s="81"/>
      <c r="E933" s="81"/>
      <c r="F933" s="81"/>
      <c r="G933" s="81"/>
      <c r="H933" s="81"/>
    </row>
    <row r="934" spans="4:8" ht="15.75">
      <c r="D934" s="81"/>
      <c r="E934" s="81"/>
      <c r="F934" s="81"/>
      <c r="G934" s="81"/>
      <c r="H934" s="81"/>
    </row>
    <row r="935" spans="4:8" ht="15.75">
      <c r="D935" s="81"/>
      <c r="E935" s="81"/>
      <c r="F935" s="81"/>
      <c r="G935" s="81"/>
      <c r="H935" s="81"/>
    </row>
    <row r="936" spans="4:8" ht="15.75">
      <c r="D936" s="81"/>
      <c r="E936" s="81"/>
      <c r="F936" s="81"/>
      <c r="G936" s="81"/>
      <c r="H936" s="81"/>
    </row>
    <row r="937" spans="4:8" ht="15.75">
      <c r="D937" s="81"/>
      <c r="E937" s="81"/>
      <c r="F937" s="81"/>
      <c r="G937" s="81"/>
      <c r="H937" s="81"/>
    </row>
    <row r="938" spans="4:8" ht="15.75">
      <c r="D938" s="81"/>
      <c r="E938" s="81"/>
      <c r="F938" s="81"/>
      <c r="G938" s="81"/>
      <c r="H938" s="81"/>
    </row>
    <row r="939" spans="4:8" ht="15.75">
      <c r="D939" s="81"/>
      <c r="E939" s="81"/>
      <c r="F939" s="81"/>
      <c r="G939" s="81"/>
      <c r="H939" s="81"/>
    </row>
    <row r="940" spans="4:8" ht="15.75">
      <c r="D940" s="81"/>
      <c r="E940" s="81"/>
      <c r="F940" s="81"/>
      <c r="G940" s="81"/>
      <c r="H940" s="81"/>
    </row>
    <row r="941" spans="4:8" ht="15.75">
      <c r="D941" s="81"/>
      <c r="E941" s="81"/>
      <c r="F941" s="81"/>
      <c r="G941" s="81"/>
      <c r="H941" s="81"/>
    </row>
    <row r="942" spans="4:8" ht="15.75">
      <c r="D942" s="81"/>
      <c r="E942" s="81"/>
      <c r="F942" s="81"/>
      <c r="G942" s="81"/>
      <c r="H942" s="81"/>
    </row>
    <row r="943" spans="4:8" ht="15.75">
      <c r="D943" s="81"/>
      <c r="E943" s="81"/>
      <c r="F943" s="81"/>
      <c r="G943" s="81"/>
      <c r="H943" s="81"/>
    </row>
    <row r="944" spans="4:8" ht="15.75">
      <c r="D944" s="81"/>
      <c r="E944" s="81"/>
      <c r="F944" s="81"/>
      <c r="G944" s="81"/>
      <c r="H944" s="81"/>
    </row>
    <row r="945" spans="4:8" ht="15.75">
      <c r="D945" s="81"/>
      <c r="E945" s="81"/>
      <c r="F945" s="81"/>
      <c r="G945" s="81"/>
      <c r="H945" s="81"/>
    </row>
    <row r="946" spans="4:8" ht="15.75">
      <c r="D946" s="81"/>
      <c r="E946" s="81"/>
      <c r="F946" s="81"/>
      <c r="G946" s="81"/>
      <c r="H946" s="81"/>
    </row>
    <row r="947" spans="4:8" ht="15.75">
      <c r="D947" s="81"/>
      <c r="E947" s="81"/>
      <c r="F947" s="81"/>
      <c r="G947" s="81"/>
      <c r="H947" s="81"/>
    </row>
    <row r="948" spans="4:8" ht="15.75">
      <c r="D948" s="81"/>
      <c r="E948" s="81"/>
      <c r="F948" s="81"/>
      <c r="G948" s="81"/>
      <c r="H948" s="81"/>
    </row>
    <row r="949" spans="4:8" ht="15.75">
      <c r="D949" s="81"/>
      <c r="E949" s="81"/>
      <c r="F949" s="81"/>
      <c r="G949" s="81"/>
      <c r="H949" s="81"/>
    </row>
    <row r="950" spans="4:8" ht="15.75">
      <c r="D950" s="81"/>
      <c r="E950" s="81"/>
      <c r="F950" s="81"/>
      <c r="G950" s="81"/>
      <c r="H950" s="81"/>
    </row>
    <row r="951" spans="4:8" ht="15.75">
      <c r="D951" s="81"/>
      <c r="E951" s="81"/>
      <c r="F951" s="81"/>
      <c r="G951" s="81"/>
      <c r="H951" s="81"/>
    </row>
    <row r="952" spans="4:8" ht="15.75">
      <c r="D952" s="81"/>
      <c r="E952" s="81"/>
      <c r="F952" s="81"/>
      <c r="G952" s="81"/>
      <c r="H952" s="81"/>
    </row>
    <row r="953" spans="4:8" ht="15.75">
      <c r="D953" s="81"/>
      <c r="E953" s="81"/>
      <c r="F953" s="81"/>
      <c r="G953" s="81"/>
      <c r="H953" s="81"/>
    </row>
    <row r="954" spans="4:8" ht="15.75">
      <c r="D954" s="81"/>
      <c r="E954" s="81"/>
      <c r="F954" s="81"/>
      <c r="G954" s="81"/>
      <c r="H954" s="81"/>
    </row>
    <row r="955" spans="4:8" ht="15.75">
      <c r="D955" s="81"/>
      <c r="E955" s="81"/>
      <c r="F955" s="81"/>
      <c r="G955" s="81"/>
      <c r="H955" s="81"/>
    </row>
    <row r="956" spans="4:8" ht="15.75">
      <c r="D956" s="81"/>
      <c r="E956" s="81"/>
      <c r="F956" s="81"/>
      <c r="G956" s="81"/>
      <c r="H956" s="81"/>
    </row>
    <row r="957" spans="4:8" ht="15.75">
      <c r="D957" s="81"/>
      <c r="E957" s="81"/>
      <c r="F957" s="81"/>
      <c r="G957" s="81"/>
      <c r="H957" s="81"/>
    </row>
    <row r="958" spans="4:8" ht="15.75">
      <c r="D958" s="81"/>
      <c r="E958" s="81"/>
      <c r="F958" s="81"/>
      <c r="G958" s="81"/>
      <c r="H958" s="81"/>
    </row>
    <row r="959" spans="4:8" ht="15.75">
      <c r="D959" s="81"/>
      <c r="E959" s="81"/>
      <c r="F959" s="81"/>
      <c r="G959" s="81"/>
      <c r="H959" s="81"/>
    </row>
    <row r="960" spans="4:8" ht="15.75">
      <c r="D960" s="81"/>
      <c r="E960" s="81"/>
      <c r="F960" s="81"/>
      <c r="G960" s="81"/>
      <c r="H960" s="81"/>
    </row>
    <row r="961" spans="4:8" ht="15.75">
      <c r="D961" s="81"/>
      <c r="E961" s="81"/>
      <c r="F961" s="81"/>
      <c r="G961" s="81"/>
      <c r="H961" s="81"/>
    </row>
    <row r="962" spans="4:8" ht="15.75">
      <c r="D962" s="81"/>
      <c r="E962" s="81"/>
      <c r="F962" s="81"/>
      <c r="G962" s="81"/>
      <c r="H962" s="81"/>
    </row>
    <row r="963" spans="4:8" ht="15.75">
      <c r="D963" s="81"/>
      <c r="E963" s="81"/>
      <c r="F963" s="81"/>
      <c r="G963" s="81"/>
      <c r="H963" s="81"/>
    </row>
    <row r="964" spans="4:8" ht="15.75">
      <c r="D964" s="81"/>
      <c r="E964" s="81"/>
      <c r="F964" s="81"/>
      <c r="G964" s="81"/>
      <c r="H964" s="81"/>
    </row>
    <row r="965" spans="4:8" ht="15.75">
      <c r="D965" s="81"/>
      <c r="E965" s="81"/>
      <c r="F965" s="81"/>
      <c r="G965" s="81"/>
      <c r="H965" s="81"/>
    </row>
    <row r="966" spans="4:8" ht="15.75">
      <c r="D966" s="81"/>
      <c r="E966" s="81"/>
      <c r="F966" s="81"/>
      <c r="G966" s="81"/>
      <c r="H966" s="81"/>
    </row>
    <row r="967" spans="4:8" ht="15.75">
      <c r="D967" s="81"/>
      <c r="E967" s="81"/>
      <c r="F967" s="81"/>
      <c r="G967" s="81"/>
      <c r="H967" s="81"/>
    </row>
    <row r="968" spans="4:8" ht="15.75">
      <c r="D968" s="81"/>
      <c r="E968" s="81"/>
      <c r="F968" s="81"/>
      <c r="G968" s="81"/>
      <c r="H968" s="81"/>
    </row>
    <row r="969" spans="4:8" ht="15.75">
      <c r="D969" s="81"/>
      <c r="E969" s="81"/>
      <c r="F969" s="81"/>
      <c r="G969" s="81"/>
      <c r="H969" s="81"/>
    </row>
    <row r="970" spans="4:8" ht="15.75">
      <c r="D970" s="81"/>
      <c r="E970" s="81"/>
      <c r="F970" s="81"/>
      <c r="G970" s="81"/>
      <c r="H970" s="81"/>
    </row>
    <row r="971" spans="4:8" ht="15.75">
      <c r="D971" s="81"/>
      <c r="E971" s="81"/>
      <c r="F971" s="81"/>
      <c r="G971" s="81"/>
      <c r="H971" s="81"/>
    </row>
    <row r="972" spans="4:8" ht="15.75">
      <c r="D972" s="81"/>
      <c r="E972" s="81"/>
      <c r="F972" s="81"/>
      <c r="G972" s="81"/>
      <c r="H972" s="81"/>
    </row>
  </sheetData>
  <mergeCells count="24">
    <mergeCell ref="D29:H29"/>
    <mergeCell ref="D30:H30"/>
    <mergeCell ref="D14:H14"/>
    <mergeCell ref="D15:H15"/>
    <mergeCell ref="D23:H23"/>
    <mergeCell ref="D24:H24"/>
    <mergeCell ref="D25:H25"/>
    <mergeCell ref="B21:B22"/>
    <mergeCell ref="B23:B24"/>
    <mergeCell ref="B25:B28"/>
    <mergeCell ref="D16:H16"/>
    <mergeCell ref="D17:H17"/>
    <mergeCell ref="D18:H18"/>
    <mergeCell ref="D19:H19"/>
    <mergeCell ref="D20:H20"/>
    <mergeCell ref="D21:H21"/>
    <mergeCell ref="D22:H22"/>
    <mergeCell ref="D27:H27"/>
    <mergeCell ref="D28:H28"/>
    <mergeCell ref="D4:H4"/>
    <mergeCell ref="D5:H5"/>
    <mergeCell ref="D6:H6"/>
    <mergeCell ref="D7:H7"/>
    <mergeCell ref="D13:H13"/>
  </mergeCells>
  <dataValidations count="2">
    <dataValidation type="list" allowBlank="1" showErrorMessage="1" sqref="D16">
      <formula1>#REF!</formula1>
    </dataValidation>
    <dataValidation type="list" allowBlank="1" showErrorMessage="1" sqref="B35 A38:B38 D20:D22 B42 D14:D15 D17:D18">
      <formula1>#REF!</formula1>
    </dataValidation>
  </dataValidations>
  <printOptions gridLines="1"/>
  <pageMargins left="0.31496062992125984" right="0.31496062992125984" top="0.39370078740157477" bottom="0.39370078740157477" header="0" footer="0"/>
  <pageSetup paperSize="5" scale="4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K1000"/>
  <sheetViews>
    <sheetView workbookViewId="0">
      <pane ySplit="1" topLeftCell="A2" activePane="bottomLeft" state="frozen"/>
      <selection pane="bottomLeft" activeCell="B3" sqref="B3"/>
    </sheetView>
  </sheetViews>
  <sheetFormatPr baseColWidth="10" defaultColWidth="14.42578125" defaultRowHeight="15" customHeight="1"/>
  <cols>
    <col min="2" max="2" width="53.140625" customWidth="1"/>
    <col min="7" max="7" width="19.28515625" customWidth="1"/>
  </cols>
  <sheetData>
    <row r="1" spans="1:11">
      <c r="A1" s="85" t="str">
        <f ca="1">IFERROR(__xludf.DUMMYFUNCTION("query(MIR!C32:AF47,""SELECT C,D,M,V,W,X,AF,O"",1)"),"RESUMEN NARRATIVO")</f>
        <v>RESUMEN NARRATIVO</v>
      </c>
      <c r="B1" s="85" t="str">
        <f ca="1">IFERROR(__xludf.DUMMYFUNCTION("""COMPUTED_VALUE"""),"OBJETIVOS DE RESULTADO")</f>
        <v>OBJETIVOS DE RESULTADO</v>
      </c>
      <c r="C1" s="85" t="str">
        <f ca="1">IFERROR(__xludf.DUMMYFUNCTION("""COMPUTED_VALUE"""),"UNIDAD DE MEDIDA")</f>
        <v>UNIDAD DE MEDIDA</v>
      </c>
      <c r="D1" s="85" t="str">
        <f ca="1">IFERROR(__xludf.DUMMYFUNCTION("""COMPUTED_VALUE"""),"ABRIL")</f>
        <v>ABRIL</v>
      </c>
      <c r="E1" s="85" t="str">
        <f ca="1">IFERROR(__xludf.DUMMYFUNCTION("""COMPUTED_VALUE"""),"MAYO")</f>
        <v>MAYO</v>
      </c>
      <c r="F1" s="85" t="str">
        <f ca="1">IFERROR(__xludf.DUMMYFUNCTION("""COMPUTED_VALUE"""),"JUNIO")</f>
        <v>JUNIO</v>
      </c>
      <c r="G1" s="86" t="str">
        <f ca="1">IFERROR(__xludf.DUMMYFUNCTION("""COMPUTED_VALUE"""),"Meta alcanzada")</f>
        <v>Meta alcanzada</v>
      </c>
      <c r="H1" s="85" t="str">
        <f ca="1">IFERROR(__xludf.DUMMYFUNCTION("""COMPUTED_VALUE"""),"META PROGRAMADA")</f>
        <v>META PROGRAMADA</v>
      </c>
      <c r="I1" s="87" t="s">
        <v>233</v>
      </c>
      <c r="J1" s="88" t="s">
        <v>234</v>
      </c>
      <c r="K1" s="88" t="s">
        <v>235</v>
      </c>
    </row>
    <row r="2" spans="1:11">
      <c r="A2" s="89" t="str">
        <f ca="1">IFERROR(__xludf.DUMMYFUNCTION("""COMPUTED_VALUE"""),"FIN")</f>
        <v>FIN</v>
      </c>
      <c r="B2" s="90" t="str">
        <f ca="1">IFERROR(__xludf.DUMMYFUNCTION("""COMPUTED_VALUE"""),"Se restituyeron los derechos de las Niñas, Niños y Adolescentes de Guadalajara que tenían algún riesgo psicosocial y se les previno de otros riesgos y/o violencias, en 2023")</f>
        <v>Se restituyeron los derechos de las Niñas, Niños y Adolescentes de Guadalajara que tenían algún riesgo psicosocial y se les previno de otros riesgos y/o violencias, en 2023</v>
      </c>
      <c r="C2" s="89" t="str">
        <f ca="1">IFERROR(__xludf.DUMMYFUNCTION("""COMPUTED_VALUE"""),"Porcentaje")</f>
        <v>Porcentaje</v>
      </c>
      <c r="D2" s="89"/>
      <c r="E2" s="89"/>
      <c r="F2" s="89"/>
      <c r="G2" s="91" t="str">
        <f ca="1">IFERROR(__xludf.DUMMYFUNCTION("""COMPUTED_VALUE"""),"182,88%")</f>
        <v>182,88%</v>
      </c>
      <c r="H2" s="92">
        <f ca="1">IFERROR(__xludf.DUMMYFUNCTION("""COMPUTED_VALUE"""),16580)</f>
        <v>16580</v>
      </c>
      <c r="I2" s="93">
        <f t="shared" ref="I2:I16" si="0">SUM($D2:$F2)</f>
        <v>0</v>
      </c>
      <c r="J2" s="94">
        <f t="shared" ref="J2:J16" ca="1" si="1">I2/H2</f>
        <v>0</v>
      </c>
      <c r="K2" s="89" t="b">
        <v>0</v>
      </c>
    </row>
    <row r="3" spans="1:11">
      <c r="A3" s="85" t="str">
        <f ca="1">IFERROR(__xludf.DUMMYFUNCTION("""COMPUTED_VALUE"""),"PROPÓSITO")</f>
        <v>PROPÓSITO</v>
      </c>
      <c r="B3" s="90" t="str">
        <f ca="1">IFERROR(__xludf.DUMMYFUNCTION("""COMPUTED_VALUE"""),"Niñas, niños y adolescentes del municipio de Guadalajara con vulneración de derechos o riesgos psicosociales atendidos integralmente y con mejoras en sus condiciones de vida, en 2023")</f>
        <v>Niñas, niños y adolescentes del municipio de Guadalajara con vulneración de derechos o riesgos psicosociales atendidos integralmente y con mejoras en sus condiciones de vida, en 2023</v>
      </c>
      <c r="C3" s="89" t="str">
        <f ca="1">IFERROR(__xludf.DUMMYFUNCTION("""COMPUTED_VALUE"""),"Porcentaje")</f>
        <v>Porcentaje</v>
      </c>
      <c r="D3" s="89"/>
      <c r="E3" s="89"/>
      <c r="F3" s="89"/>
      <c r="G3" s="91" t="str">
        <f ca="1">IFERROR(__xludf.DUMMYFUNCTION("""COMPUTED_VALUE"""),"134,81%")</f>
        <v>134,81%</v>
      </c>
      <c r="H3" s="92">
        <f ca="1">IFERROR(__xludf.DUMMYFUNCTION("""COMPUTED_VALUE"""),9420)</f>
        <v>9420</v>
      </c>
      <c r="I3" s="93">
        <f t="shared" si="0"/>
        <v>0</v>
      </c>
      <c r="J3" s="94">
        <f t="shared" ca="1" si="1"/>
        <v>0</v>
      </c>
      <c r="K3" s="89" t="b">
        <v>0</v>
      </c>
    </row>
    <row r="4" spans="1:11">
      <c r="A4" s="85" t="str">
        <f ca="1">IFERROR(__xludf.DUMMYFUNCTION("""COMPUTED_VALUE"""),"COMPONENTE 1")</f>
        <v>COMPONENTE 1</v>
      </c>
      <c r="B4" s="90" t="str">
        <f ca="1">IFERROR(__xludf.DUMMYFUNCTION("""COMPUTED_VALUE"""),"Servicios brindados por el sistema DIF para la restitución del derecho a la sana convivencia entre padres, madres e hijas o hijos, en 2023")</f>
        <v>Servicios brindados por el sistema DIF para la restitución del derecho a la sana convivencia entre padres, madres e hijas o hijos, en 2023</v>
      </c>
      <c r="C4" s="89" t="str">
        <f ca="1">IFERROR(__xludf.DUMMYFUNCTION("""COMPUTED_VALUE"""),"Porcentaje")</f>
        <v>Porcentaje</v>
      </c>
      <c r="D4" s="89">
        <f ca="1">IFERROR(__xludf.DUMMYFUNCTION("""COMPUTED_VALUE"""),454)</f>
        <v>454</v>
      </c>
      <c r="E4" s="89">
        <f ca="1">IFERROR(__xludf.DUMMYFUNCTION("""COMPUTED_VALUE"""),550)</f>
        <v>550</v>
      </c>
      <c r="F4" s="89">
        <f ca="1">IFERROR(__xludf.DUMMYFUNCTION("""COMPUTED_VALUE"""),517)</f>
        <v>517</v>
      </c>
      <c r="G4" s="91" t="str">
        <f ca="1">IFERROR(__xludf.DUMMYFUNCTION("""COMPUTED_VALUE"""),"150,38%")</f>
        <v>150,38%</v>
      </c>
      <c r="H4" s="92">
        <f ca="1">IFERROR(__xludf.DUMMYFUNCTION("""COMPUTED_VALUE"""),5600)</f>
        <v>5600</v>
      </c>
      <c r="I4" s="93">
        <f t="shared" ca="1" si="0"/>
        <v>1521</v>
      </c>
      <c r="J4" s="94">
        <f t="shared" ca="1" si="1"/>
        <v>0.27160714285714288</v>
      </c>
      <c r="K4" s="95" t="b">
        <v>1</v>
      </c>
    </row>
    <row r="5" spans="1:11">
      <c r="A5" s="85" t="str">
        <f ca="1">IFERROR(__xludf.DUMMYFUNCTION("""COMPUTED_VALUE"""),"ACTIVIDAD 1.1")</f>
        <v>ACTIVIDAD 1.1</v>
      </c>
      <c r="B5" s="90" t="str">
        <f ca="1">IFERROR(__xludf.DUMMYFUNCTION("""COMPUTED_VALUE"""),"Convivencias supervisadas de NNA y padres, madres o cuidadores en CECOFAM en 2023")</f>
        <v>Convivencias supervisadas de NNA y padres, madres o cuidadores en CECOFAM en 2023</v>
      </c>
      <c r="C5" s="89" t="str">
        <f ca="1">IFERROR(__xludf.DUMMYFUNCTION("""COMPUTED_VALUE"""),"Porcentaje")</f>
        <v>Porcentaje</v>
      </c>
      <c r="D5" s="89">
        <f ca="1">IFERROR(__xludf.DUMMYFUNCTION("""COMPUTED_VALUE"""),350)</f>
        <v>350</v>
      </c>
      <c r="E5" s="89">
        <f ca="1">IFERROR(__xludf.DUMMYFUNCTION("""COMPUTED_VALUE"""),403)</f>
        <v>403</v>
      </c>
      <c r="F5" s="89">
        <f ca="1">IFERROR(__xludf.DUMMYFUNCTION("""COMPUTED_VALUE"""),408)</f>
        <v>408</v>
      </c>
      <c r="G5" s="91" t="str">
        <f ca="1">IFERROR(__xludf.DUMMYFUNCTION("""COMPUTED_VALUE"""),"147,83%")</f>
        <v>147,83%</v>
      </c>
      <c r="H5" s="92">
        <f ca="1">IFERROR(__xludf.DUMMYFUNCTION("""COMPUTED_VALUE"""),4000)</f>
        <v>4000</v>
      </c>
      <c r="I5" s="93">
        <f t="shared" ca="1" si="0"/>
        <v>1161</v>
      </c>
      <c r="J5" s="94">
        <f t="shared" ca="1" si="1"/>
        <v>0.29025000000000001</v>
      </c>
      <c r="K5" s="95" t="b">
        <v>1</v>
      </c>
    </row>
    <row r="6" spans="1:11">
      <c r="A6" s="85" t="str">
        <f ca="1">IFERROR(__xludf.DUMMYFUNCTION("""COMPUTED_VALUE"""),"ACTIVIDAD 1.2")</f>
        <v>ACTIVIDAD 1.2</v>
      </c>
      <c r="B6" s="90" t="str">
        <f ca="1">IFERROR(__xludf.DUMMYFUNCTION("""COMPUTED_VALUE"""),"Servicio de entrega recepción de NNA realizado en 2023")</f>
        <v>Servicio de entrega recepción de NNA realizado en 2023</v>
      </c>
      <c r="C6" s="89" t="str">
        <f ca="1">IFERROR(__xludf.DUMMYFUNCTION("""COMPUTED_VALUE"""),"Porcentaje")</f>
        <v>Porcentaje</v>
      </c>
      <c r="D6" s="89">
        <f ca="1">IFERROR(__xludf.DUMMYFUNCTION("""COMPUTED_VALUE"""),104)</f>
        <v>104</v>
      </c>
      <c r="E6" s="89">
        <f ca="1">IFERROR(__xludf.DUMMYFUNCTION("""COMPUTED_VALUE"""),147)</f>
        <v>147</v>
      </c>
      <c r="F6" s="89">
        <f ca="1">IFERROR(__xludf.DUMMYFUNCTION("""COMPUTED_VALUE"""),109)</f>
        <v>109</v>
      </c>
      <c r="G6" s="91" t="str">
        <f ca="1">IFERROR(__xludf.DUMMYFUNCTION("""COMPUTED_VALUE"""),"145,44%")</f>
        <v>145,44%</v>
      </c>
      <c r="H6" s="92">
        <f ca="1">IFERROR(__xludf.DUMMYFUNCTION("""COMPUTED_VALUE"""),1600)</f>
        <v>1600</v>
      </c>
      <c r="I6" s="93">
        <f t="shared" ca="1" si="0"/>
        <v>360</v>
      </c>
      <c r="J6" s="94">
        <f t="shared" ca="1" si="1"/>
        <v>0.22500000000000001</v>
      </c>
      <c r="K6" s="95" t="b">
        <v>1</v>
      </c>
    </row>
    <row r="7" spans="1:11">
      <c r="A7" s="85" t="str">
        <f ca="1">IFERROR(__xludf.DUMMYFUNCTION("""COMPUTED_VALUE"""),"COMPONENTE 2")</f>
        <v>COMPONENTE 2</v>
      </c>
      <c r="B7" s="90" t="str">
        <f ca="1">IFERROR(__xludf.DUMMYFUNCTION("""COMPUTED_VALUE"""),"Servicios brindados a niñas, niños y adolescentes con riesgo psicosocial en 2023
")</f>
        <v xml:space="preserve">Servicios brindados a niñas, niños y adolescentes con riesgo psicosocial en 2023
</v>
      </c>
      <c r="C7" s="89" t="str">
        <f ca="1">IFERROR(__xludf.DUMMYFUNCTION("""COMPUTED_VALUE"""),"Porcentaje")</f>
        <v>Porcentaje</v>
      </c>
      <c r="D7" s="89">
        <f ca="1">IFERROR(__xludf.DUMMYFUNCTION("""COMPUTED_VALUE"""),305)</f>
        <v>305</v>
      </c>
      <c r="E7" s="89">
        <f ca="1">IFERROR(__xludf.DUMMYFUNCTION("""COMPUTED_VALUE"""),824)</f>
        <v>824</v>
      </c>
      <c r="F7" s="89">
        <f ca="1">IFERROR(__xludf.DUMMYFUNCTION("""COMPUTED_VALUE"""),1056)</f>
        <v>1056</v>
      </c>
      <c r="G7" s="91" t="str">
        <f ca="1">IFERROR(__xludf.DUMMYFUNCTION("""COMPUTED_VALUE"""),"126,71%")</f>
        <v>126,71%</v>
      </c>
      <c r="H7" s="92">
        <f ca="1">IFERROR(__xludf.DUMMYFUNCTION("""COMPUTED_VALUE"""),8580)</f>
        <v>8580</v>
      </c>
      <c r="I7" s="93">
        <f t="shared" ca="1" si="0"/>
        <v>2185</v>
      </c>
      <c r="J7" s="94">
        <f t="shared" ca="1" si="1"/>
        <v>0.25466200466200467</v>
      </c>
      <c r="K7" s="95" t="b">
        <v>1</v>
      </c>
    </row>
    <row r="8" spans="1:11">
      <c r="A8" s="96" t="str">
        <f ca="1">IFERROR(__xludf.DUMMYFUNCTION("""COMPUTED_VALUE"""),"ACTIVIDAD 2.1")</f>
        <v>ACTIVIDAD 2.1</v>
      </c>
      <c r="B8" s="97" t="str">
        <f ca="1">IFERROR(__xludf.DUMMYFUNCTION("""COMPUTED_VALUE"""),"Sesiones impartidas en promoción de derechos de Niñas, Niños y Adolescentes, en 2023")</f>
        <v>Sesiones impartidas en promoción de derechos de Niñas, Niños y Adolescentes, en 2023</v>
      </c>
      <c r="C8" s="98" t="str">
        <f ca="1">IFERROR(__xludf.DUMMYFUNCTION("""COMPUTED_VALUE"""),"Porcentaje")</f>
        <v>Porcentaje</v>
      </c>
      <c r="D8" s="98">
        <f ca="1">IFERROR(__xludf.DUMMYFUNCTION("""COMPUTED_VALUE"""),90)</f>
        <v>90</v>
      </c>
      <c r="E8" s="98">
        <f ca="1">IFERROR(__xludf.DUMMYFUNCTION("""COMPUTED_VALUE"""),259)</f>
        <v>259</v>
      </c>
      <c r="F8" s="98">
        <f ca="1">IFERROR(__xludf.DUMMYFUNCTION("""COMPUTED_VALUE"""),239)</f>
        <v>239</v>
      </c>
      <c r="G8" s="98" t="str">
        <f ca="1">IFERROR(__xludf.DUMMYFUNCTION("""COMPUTED_VALUE"""),"109,07%")</f>
        <v>109,07%</v>
      </c>
      <c r="H8" s="99">
        <f ca="1">IFERROR(__xludf.DUMMYFUNCTION("""COMPUTED_VALUE"""),3000)</f>
        <v>3000</v>
      </c>
      <c r="I8" s="100">
        <f t="shared" ca="1" si="0"/>
        <v>588</v>
      </c>
      <c r="J8" s="101">
        <f t="shared" ca="1" si="1"/>
        <v>0.19600000000000001</v>
      </c>
      <c r="K8" s="98" t="b">
        <v>0</v>
      </c>
    </row>
    <row r="9" spans="1:11">
      <c r="A9" s="85" t="str">
        <f ca="1">IFERROR(__xludf.DUMMYFUNCTION("""COMPUTED_VALUE"""),"ACTIVIDAD 2.2")</f>
        <v>ACTIVIDAD 2.2</v>
      </c>
      <c r="B9" s="90" t="str">
        <f ca="1">IFERROR(__xludf.DUMMYFUNCTION("""COMPUTED_VALUE"""),"Raciones alimentarias entregadas para Niñas, Niños y Adolescentes, y sus  cuidadores, en 2023")</f>
        <v>Raciones alimentarias entregadas para Niñas, Niños y Adolescentes, y sus  cuidadores, en 2023</v>
      </c>
      <c r="C9" s="89" t="str">
        <f ca="1">IFERROR(__xludf.DUMMYFUNCTION("""COMPUTED_VALUE"""),"Porcentaje")</f>
        <v>Porcentaje</v>
      </c>
      <c r="D9" s="89">
        <f ca="1">IFERROR(__xludf.DUMMYFUNCTION("""COMPUTED_VALUE"""),206)</f>
        <v>206</v>
      </c>
      <c r="E9" s="89">
        <f ca="1">IFERROR(__xludf.DUMMYFUNCTION("""COMPUTED_VALUE"""),556)</f>
        <v>556</v>
      </c>
      <c r="F9" s="89">
        <f ca="1">IFERROR(__xludf.DUMMYFUNCTION("""COMPUTED_VALUE"""),794)</f>
        <v>794</v>
      </c>
      <c r="G9" s="91" t="str">
        <f ca="1">IFERROR(__xludf.DUMMYFUNCTION("""COMPUTED_VALUE"""),"136,73%")</f>
        <v>136,73%</v>
      </c>
      <c r="H9" s="92">
        <f ca="1">IFERROR(__xludf.DUMMYFUNCTION("""COMPUTED_VALUE"""),5500)</f>
        <v>5500</v>
      </c>
      <c r="I9" s="93">
        <f t="shared" ca="1" si="0"/>
        <v>1556</v>
      </c>
      <c r="J9" s="94">
        <f t="shared" ca="1" si="1"/>
        <v>0.28290909090909089</v>
      </c>
      <c r="K9" s="95" t="b">
        <v>1</v>
      </c>
    </row>
    <row r="10" spans="1:11">
      <c r="A10" s="85" t="str">
        <f ca="1">IFERROR(__xludf.DUMMYFUNCTION("""COMPUTED_VALUE"""),"ACTIVIDAD 2.3")</f>
        <v>ACTIVIDAD 2.3</v>
      </c>
      <c r="B10" s="90" t="str">
        <f ca="1">IFERROR(__xludf.DUMMYFUNCTION("""COMPUTED_VALUE"""),"Apoyos asistenciales entregados a madres en etapa adolescente, en 2023")</f>
        <v>Apoyos asistenciales entregados a madres en etapa adolescente, en 2023</v>
      </c>
      <c r="C10" s="89" t="str">
        <f ca="1">IFERROR(__xludf.DUMMYFUNCTION("""COMPUTED_VALUE"""),"Porcentaje")</f>
        <v>Porcentaje</v>
      </c>
      <c r="D10" s="89">
        <f ca="1">IFERROR(__xludf.DUMMYFUNCTION("""COMPUTED_VALUE"""),9)</f>
        <v>9</v>
      </c>
      <c r="E10" s="89">
        <f ca="1">IFERROR(__xludf.DUMMYFUNCTION("""COMPUTED_VALUE"""),9)</f>
        <v>9</v>
      </c>
      <c r="F10" s="89">
        <f ca="1">IFERROR(__xludf.DUMMYFUNCTION("""COMPUTED_VALUE"""),23)</f>
        <v>23</v>
      </c>
      <c r="G10" s="91" t="str">
        <f ca="1">IFERROR(__xludf.DUMMYFUNCTION("""COMPUTED_VALUE"""),"100%")</f>
        <v>100%</v>
      </c>
      <c r="H10" s="92">
        <f ca="1">IFERROR(__xludf.DUMMYFUNCTION("""COMPUTED_VALUE"""),80)</f>
        <v>80</v>
      </c>
      <c r="I10" s="93">
        <f t="shared" ca="1" si="0"/>
        <v>41</v>
      </c>
      <c r="J10" s="94">
        <f t="shared" ca="1" si="1"/>
        <v>0.51249999999999996</v>
      </c>
      <c r="K10" s="95" t="b">
        <v>1</v>
      </c>
    </row>
    <row r="11" spans="1:11">
      <c r="A11" s="85" t="str">
        <f ca="1">IFERROR(__xludf.DUMMYFUNCTION("""COMPUTED_VALUE"""),"COMPONENTE 3")</f>
        <v>COMPONENTE 3</v>
      </c>
      <c r="B11" s="90" t="str">
        <f ca="1">IFERROR(__xludf.DUMMYFUNCTION("""COMPUTED_VALUE"""),"Niñas, Niños y Adolescentes del municipio de Guadalajara que recibieron servicios para la protección y restitución de sus derechos, en 2023")</f>
        <v>Niñas, Niños y Adolescentes del municipio de Guadalajara que recibieron servicios para la protección y restitución de sus derechos, en 2023</v>
      </c>
      <c r="C11" s="89" t="str">
        <f ca="1">IFERROR(__xludf.DUMMYFUNCTION("""COMPUTED_VALUE"""),"Porcentaje")</f>
        <v>Porcentaje</v>
      </c>
      <c r="D11" s="89">
        <f ca="1">IFERROR(__xludf.DUMMYFUNCTION("""COMPUTED_VALUE"""),90)</f>
        <v>90</v>
      </c>
      <c r="E11" s="89">
        <f ca="1">IFERROR(__xludf.DUMMYFUNCTION("""COMPUTED_VALUE"""),153)</f>
        <v>153</v>
      </c>
      <c r="F11" s="89">
        <f ca="1">IFERROR(__xludf.DUMMYFUNCTION("""COMPUTED_VALUE"""),90)</f>
        <v>90</v>
      </c>
      <c r="G11" s="91" t="str">
        <f ca="1">IFERROR(__xludf.DUMMYFUNCTION("""COMPUTED_VALUE"""),"137,5%")</f>
        <v>137,5%</v>
      </c>
      <c r="H11" s="92">
        <f ca="1">IFERROR(__xludf.DUMMYFUNCTION("""COMPUTED_VALUE"""),1400)</f>
        <v>1400</v>
      </c>
      <c r="I11" s="93">
        <f t="shared" ca="1" si="0"/>
        <v>333</v>
      </c>
      <c r="J11" s="94">
        <f t="shared" ca="1" si="1"/>
        <v>0.23785714285714285</v>
      </c>
      <c r="K11" s="95" t="b">
        <v>1</v>
      </c>
    </row>
    <row r="12" spans="1:11">
      <c r="A12" s="85" t="str">
        <f ca="1">IFERROR(__xludf.DUMMYFUNCTION("""COMPUTED_VALUE"""),"ACTIVIDAD 3.1")</f>
        <v>ACTIVIDAD 3.1</v>
      </c>
      <c r="B12" s="90" t="str">
        <f ca="1">IFERROR(__xludf.DUMMYFUNCTION("""COMPUTED_VALUE"""),"Nuevas medidas de protección dictadas y atendidas, en 2023")</f>
        <v>Nuevas medidas de protección dictadas y atendidas, en 2023</v>
      </c>
      <c r="C12" s="89" t="str">
        <f ca="1">IFERROR(__xludf.DUMMYFUNCTION("""COMPUTED_VALUE"""),"Porcentaje")</f>
        <v>Porcentaje</v>
      </c>
      <c r="D12" s="89">
        <f ca="1">IFERROR(__xludf.DUMMYFUNCTION("""COMPUTED_VALUE"""),28)</f>
        <v>28</v>
      </c>
      <c r="E12" s="89">
        <f ca="1">IFERROR(__xludf.DUMMYFUNCTION("""COMPUTED_VALUE"""),52)</f>
        <v>52</v>
      </c>
      <c r="F12" s="89">
        <f ca="1">IFERROR(__xludf.DUMMYFUNCTION("""COMPUTED_VALUE"""),20)</f>
        <v>20</v>
      </c>
      <c r="G12" s="91" t="str">
        <f ca="1">IFERROR(__xludf.DUMMYFUNCTION("""COMPUTED_VALUE"""),"141%")</f>
        <v>141%</v>
      </c>
      <c r="H12" s="92">
        <f ca="1">IFERROR(__xludf.DUMMYFUNCTION("""COMPUTED_VALUE"""),200)</f>
        <v>200</v>
      </c>
      <c r="I12" s="93">
        <f t="shared" ca="1" si="0"/>
        <v>100</v>
      </c>
      <c r="J12" s="94">
        <f t="shared" ca="1" si="1"/>
        <v>0.5</v>
      </c>
      <c r="K12" s="95" t="b">
        <v>1</v>
      </c>
    </row>
    <row r="13" spans="1:11">
      <c r="A13" s="85" t="str">
        <f ca="1">IFERROR(__xludf.DUMMYFUNCTION("""COMPUTED_VALUE"""),"ACTIVIDAD 3.2 ")</f>
        <v xml:space="preserve">ACTIVIDAD 3.2 </v>
      </c>
      <c r="B13" s="90" t="str">
        <f ca="1">IFERROR(__xludf.DUMMYFUNCTION("""COMPUTED_VALUE"""),"Medidas de protección dictadas que tuvieron seguimiento, en 2023")</f>
        <v>Medidas de protección dictadas que tuvieron seguimiento, en 2023</v>
      </c>
      <c r="C13" s="89" t="str">
        <f ca="1">IFERROR(__xludf.DUMMYFUNCTION("""COMPUTED_VALUE"""),"Porcentaje")</f>
        <v>Porcentaje</v>
      </c>
      <c r="D13" s="89">
        <f ca="1">IFERROR(__xludf.DUMMYFUNCTION("""COMPUTED_VALUE"""),43)</f>
        <v>43</v>
      </c>
      <c r="E13" s="89">
        <f ca="1">IFERROR(__xludf.DUMMYFUNCTION("""COMPUTED_VALUE"""),81)</f>
        <v>81</v>
      </c>
      <c r="F13" s="89">
        <f ca="1">IFERROR(__xludf.DUMMYFUNCTION("""COMPUTED_VALUE"""),122)</f>
        <v>122</v>
      </c>
      <c r="G13" s="91" t="str">
        <f ca="1">IFERROR(__xludf.DUMMYFUNCTION("""COMPUTED_VALUE"""),"96,76%")</f>
        <v>96,76%</v>
      </c>
      <c r="H13" s="92">
        <f ca="1">IFERROR(__xludf.DUMMYFUNCTION("""COMPUTED_VALUE"""),1265)</f>
        <v>1265</v>
      </c>
      <c r="I13" s="93">
        <f t="shared" ca="1" si="0"/>
        <v>246</v>
      </c>
      <c r="J13" s="94">
        <f t="shared" ca="1" si="1"/>
        <v>0.19446640316205532</v>
      </c>
      <c r="K13" s="95" t="b">
        <v>1</v>
      </c>
    </row>
    <row r="14" spans="1:11">
      <c r="A14" s="85" t="str">
        <f ca="1">IFERROR(__xludf.DUMMYFUNCTION("""COMPUTED_VALUE"""),"ACTIVIDAD 3.3")</f>
        <v>ACTIVIDAD 3.3</v>
      </c>
      <c r="B14" s="90" t="str">
        <f ca="1">IFERROR(__xludf.DUMMYFUNCTION("""COMPUTED_VALUE"""),"Diagnósticos y planes de Restitución de Derechos  de Niñas, Niños y Adolescentes, realizados, en 2023")</f>
        <v>Diagnósticos y planes de Restitución de Derechos  de Niñas, Niños y Adolescentes, realizados, en 2023</v>
      </c>
      <c r="C14" s="89" t="str">
        <f ca="1">IFERROR(__xludf.DUMMYFUNCTION("""COMPUTED_VALUE"""),"Porcentaje")</f>
        <v>Porcentaje</v>
      </c>
      <c r="D14" s="89">
        <f ca="1">IFERROR(__xludf.DUMMYFUNCTION("""COMPUTED_VALUE"""),37)</f>
        <v>37</v>
      </c>
      <c r="E14" s="89">
        <f ca="1">IFERROR(__xludf.DUMMYFUNCTION("""COMPUTED_VALUE"""),51)</f>
        <v>51</v>
      </c>
      <c r="F14" s="89">
        <f ca="1">IFERROR(__xludf.DUMMYFUNCTION("""COMPUTED_VALUE"""),27)</f>
        <v>27</v>
      </c>
      <c r="G14" s="91" t="str">
        <f ca="1">IFERROR(__xludf.DUMMYFUNCTION("""COMPUTED_VALUE"""),"246,67%")</f>
        <v>246,67%</v>
      </c>
      <c r="H14" s="92">
        <f ca="1">IFERROR(__xludf.DUMMYFUNCTION("""COMPUTED_VALUE"""),120)</f>
        <v>120</v>
      </c>
      <c r="I14" s="93">
        <f t="shared" ca="1" si="0"/>
        <v>115</v>
      </c>
      <c r="J14" s="94">
        <f t="shared" ca="1" si="1"/>
        <v>0.95833333333333337</v>
      </c>
      <c r="K14" s="95" t="b">
        <v>1</v>
      </c>
    </row>
    <row r="15" spans="1:11">
      <c r="A15" s="85" t="str">
        <f ca="1">IFERROR(__xludf.DUMMYFUNCTION("""COMPUTED_VALUE"""),"ACTIVIDAD 3.4")</f>
        <v>ACTIVIDAD 3.4</v>
      </c>
      <c r="B15" s="90" t="str">
        <f ca="1">IFERROR(__xludf.DUMMYFUNCTION("""COMPUTED_VALUE"""),"NNA integrados en familias, en 2023")</f>
        <v>NNA integrados en familias, en 2023</v>
      </c>
      <c r="C15" s="89" t="str">
        <f ca="1">IFERROR(__xludf.DUMMYFUNCTION("""COMPUTED_VALUE"""),"Porcentaje")</f>
        <v>Porcentaje</v>
      </c>
      <c r="D15" s="89">
        <f ca="1">IFERROR(__xludf.DUMMYFUNCTION("""COMPUTED_VALUE"""),26)</f>
        <v>26</v>
      </c>
      <c r="E15" s="89">
        <f ca="1">IFERROR(__xludf.DUMMYFUNCTION("""COMPUTED_VALUE"""),25)</f>
        <v>25</v>
      </c>
      <c r="F15" s="89">
        <f ca="1">IFERROR(__xludf.DUMMYFUNCTION("""COMPUTED_VALUE"""),17)</f>
        <v>17</v>
      </c>
      <c r="G15" s="91" t="str">
        <f ca="1">IFERROR(__xludf.DUMMYFUNCTION("""COMPUTED_VALUE"""),"213,33%")</f>
        <v>213,33%</v>
      </c>
      <c r="H15" s="92">
        <f ca="1">IFERROR(__xludf.DUMMYFUNCTION("""COMPUTED_VALUE"""),120)</f>
        <v>120</v>
      </c>
      <c r="I15" s="93">
        <f t="shared" ca="1" si="0"/>
        <v>68</v>
      </c>
      <c r="J15" s="94">
        <f t="shared" ca="1" si="1"/>
        <v>0.56666666666666665</v>
      </c>
      <c r="K15" s="95" t="b">
        <v>1</v>
      </c>
    </row>
    <row r="16" spans="1:11">
      <c r="A16" s="85" t="str">
        <f ca="1">IFERROR(__xludf.DUMMYFUNCTION("""COMPUTED_VALUE"""),"ACTIVIDAD 3.5")</f>
        <v>ACTIVIDAD 3.5</v>
      </c>
      <c r="B16" s="90" t="str">
        <f ca="1">IFERROR(__xludf.DUMMYFUNCTION("""COMPUTED_VALUE"""),"Representación jurídica de Niñas, Niños y Adolescentes, en 2023")</f>
        <v>Representación jurídica de Niñas, Niños y Adolescentes, en 2023</v>
      </c>
      <c r="C16" s="89" t="str">
        <f ca="1">IFERROR(__xludf.DUMMYFUNCTION("""COMPUTED_VALUE"""),"Porcentaje")</f>
        <v>Porcentaje</v>
      </c>
      <c r="D16" s="89">
        <f ca="1">IFERROR(__xludf.DUMMYFUNCTION("""COMPUTED_VALUE"""),73)</f>
        <v>73</v>
      </c>
      <c r="E16" s="89">
        <f ca="1">IFERROR(__xludf.DUMMYFUNCTION("""COMPUTED_VALUE"""),69)</f>
        <v>69</v>
      </c>
      <c r="F16" s="89">
        <f ca="1">IFERROR(__xludf.DUMMYFUNCTION("""COMPUTED_VALUE"""),45)</f>
        <v>45</v>
      </c>
      <c r="G16" s="91" t="str">
        <f ca="1">IFERROR(__xludf.DUMMYFUNCTION("""COMPUTED_VALUE"""),"101,43%")</f>
        <v>101,43%</v>
      </c>
      <c r="H16" s="92">
        <f ca="1">IFERROR(__xludf.DUMMYFUNCTION("""COMPUTED_VALUE"""),700)</f>
        <v>700</v>
      </c>
      <c r="I16" s="93">
        <f t="shared" ca="1" si="0"/>
        <v>187</v>
      </c>
      <c r="J16" s="94">
        <f t="shared" ca="1" si="1"/>
        <v>0.26714285714285713</v>
      </c>
      <c r="K16" s="95" t="b">
        <v>1</v>
      </c>
    </row>
    <row r="17" spans="2:9">
      <c r="B17" s="90"/>
      <c r="I17" s="102"/>
    </row>
    <row r="18" spans="2:9">
      <c r="B18" s="90"/>
      <c r="I18" s="102"/>
    </row>
    <row r="19" spans="2:9">
      <c r="B19" s="90"/>
      <c r="I19" s="102"/>
    </row>
    <row r="20" spans="2:9">
      <c r="B20" s="90"/>
      <c r="I20" s="102"/>
    </row>
    <row r="21" spans="2:9">
      <c r="B21" s="90"/>
      <c r="I21" s="102"/>
    </row>
    <row r="22" spans="2:9">
      <c r="B22" s="90"/>
      <c r="I22" s="102"/>
    </row>
    <row r="23" spans="2:9">
      <c r="B23" s="90"/>
      <c r="I23" s="102"/>
    </row>
    <row r="24" spans="2:9">
      <c r="B24" s="90"/>
      <c r="I24" s="102"/>
    </row>
    <row r="25" spans="2:9">
      <c r="B25" s="90"/>
      <c r="I25" s="102"/>
    </row>
    <row r="26" spans="2:9">
      <c r="B26" s="90"/>
      <c r="I26" s="102"/>
    </row>
    <row r="27" spans="2:9">
      <c r="B27" s="90"/>
      <c r="I27" s="102"/>
    </row>
    <row r="28" spans="2:9">
      <c r="B28" s="90"/>
      <c r="I28" s="102"/>
    </row>
    <row r="29" spans="2:9">
      <c r="B29" s="90"/>
      <c r="I29" s="102"/>
    </row>
    <row r="30" spans="2:9">
      <c r="B30" s="90"/>
      <c r="I30" s="102"/>
    </row>
    <row r="31" spans="2:9">
      <c r="B31" s="90"/>
      <c r="I31" s="102"/>
    </row>
    <row r="32" spans="2:9">
      <c r="B32" s="90"/>
      <c r="I32" s="102"/>
    </row>
    <row r="33" spans="2:9">
      <c r="B33" s="90"/>
      <c r="I33" s="102"/>
    </row>
    <row r="34" spans="2:9">
      <c r="B34" s="90"/>
      <c r="I34" s="102"/>
    </row>
    <row r="35" spans="2:9">
      <c r="B35" s="90"/>
      <c r="I35" s="102"/>
    </row>
    <row r="36" spans="2:9">
      <c r="B36" s="90"/>
      <c r="I36" s="102"/>
    </row>
    <row r="37" spans="2:9">
      <c r="B37" s="90"/>
      <c r="I37" s="102"/>
    </row>
    <row r="38" spans="2:9">
      <c r="B38" s="90"/>
      <c r="I38" s="102"/>
    </row>
    <row r="39" spans="2:9">
      <c r="B39" s="90"/>
      <c r="I39" s="102"/>
    </row>
    <row r="40" spans="2:9">
      <c r="B40" s="90"/>
      <c r="I40" s="102"/>
    </row>
    <row r="41" spans="2:9">
      <c r="B41" s="90"/>
      <c r="I41" s="102"/>
    </row>
    <row r="42" spans="2:9">
      <c r="B42" s="90"/>
      <c r="I42" s="102"/>
    </row>
    <row r="43" spans="2:9">
      <c r="B43" s="90"/>
      <c r="I43" s="102"/>
    </row>
    <row r="44" spans="2:9">
      <c r="B44" s="90"/>
      <c r="I44" s="102"/>
    </row>
    <row r="45" spans="2:9">
      <c r="B45" s="90"/>
      <c r="I45" s="102"/>
    </row>
    <row r="46" spans="2:9">
      <c r="B46" s="90"/>
      <c r="I46" s="102"/>
    </row>
    <row r="47" spans="2:9">
      <c r="B47" s="90"/>
      <c r="I47" s="102"/>
    </row>
    <row r="48" spans="2:9">
      <c r="B48" s="90"/>
      <c r="I48" s="102"/>
    </row>
    <row r="49" spans="2:9">
      <c r="B49" s="90"/>
      <c r="I49" s="102"/>
    </row>
    <row r="50" spans="2:9">
      <c r="B50" s="90"/>
      <c r="I50" s="102"/>
    </row>
    <row r="51" spans="2:9">
      <c r="B51" s="90"/>
      <c r="I51" s="102"/>
    </row>
    <row r="52" spans="2:9">
      <c r="B52" s="90"/>
      <c r="I52" s="102"/>
    </row>
    <row r="53" spans="2:9">
      <c r="B53" s="90"/>
      <c r="I53" s="102"/>
    </row>
    <row r="54" spans="2:9">
      <c r="B54" s="90"/>
      <c r="I54" s="102"/>
    </row>
    <row r="55" spans="2:9">
      <c r="B55" s="90"/>
      <c r="I55" s="102"/>
    </row>
    <row r="56" spans="2:9">
      <c r="B56" s="90"/>
      <c r="I56" s="102"/>
    </row>
    <row r="57" spans="2:9">
      <c r="B57" s="90"/>
      <c r="I57" s="102"/>
    </row>
    <row r="58" spans="2:9">
      <c r="B58" s="90"/>
      <c r="I58" s="102"/>
    </row>
    <row r="59" spans="2:9">
      <c r="B59" s="90"/>
      <c r="I59" s="102"/>
    </row>
    <row r="60" spans="2:9">
      <c r="B60" s="90"/>
      <c r="I60" s="102"/>
    </row>
    <row r="61" spans="2:9">
      <c r="B61" s="90"/>
      <c r="I61" s="102"/>
    </row>
    <row r="62" spans="2:9">
      <c r="B62" s="90"/>
      <c r="I62" s="102"/>
    </row>
    <row r="63" spans="2:9">
      <c r="B63" s="90"/>
      <c r="I63" s="102"/>
    </row>
    <row r="64" spans="2:9">
      <c r="B64" s="90"/>
      <c r="I64" s="102"/>
    </row>
    <row r="65" spans="2:9">
      <c r="B65" s="90"/>
      <c r="I65" s="102"/>
    </row>
    <row r="66" spans="2:9">
      <c r="B66" s="90"/>
      <c r="I66" s="102"/>
    </row>
    <row r="67" spans="2:9">
      <c r="B67" s="90"/>
      <c r="I67" s="102"/>
    </row>
    <row r="68" spans="2:9">
      <c r="B68" s="90"/>
      <c r="I68" s="102"/>
    </row>
    <row r="69" spans="2:9">
      <c r="B69" s="90"/>
      <c r="I69" s="102"/>
    </row>
    <row r="70" spans="2:9">
      <c r="B70" s="90"/>
      <c r="I70" s="102"/>
    </row>
    <row r="71" spans="2:9">
      <c r="B71" s="90"/>
      <c r="I71" s="102"/>
    </row>
    <row r="72" spans="2:9">
      <c r="B72" s="90"/>
      <c r="I72" s="102"/>
    </row>
    <row r="73" spans="2:9">
      <c r="B73" s="90"/>
      <c r="I73" s="102"/>
    </row>
    <row r="74" spans="2:9">
      <c r="B74" s="90"/>
      <c r="I74" s="102"/>
    </row>
    <row r="75" spans="2:9">
      <c r="B75" s="90"/>
      <c r="I75" s="102"/>
    </row>
    <row r="76" spans="2:9">
      <c r="B76" s="90"/>
      <c r="I76" s="102"/>
    </row>
    <row r="77" spans="2:9">
      <c r="B77" s="90"/>
      <c r="I77" s="102"/>
    </row>
    <row r="78" spans="2:9">
      <c r="B78" s="90"/>
      <c r="I78" s="102"/>
    </row>
    <row r="79" spans="2:9">
      <c r="B79" s="90"/>
      <c r="I79" s="102"/>
    </row>
    <row r="80" spans="2:9">
      <c r="B80" s="90"/>
      <c r="I80" s="102"/>
    </row>
    <row r="81" spans="2:9">
      <c r="B81" s="90"/>
      <c r="I81" s="102"/>
    </row>
    <row r="82" spans="2:9">
      <c r="B82" s="90"/>
      <c r="I82" s="102"/>
    </row>
    <row r="83" spans="2:9">
      <c r="B83" s="90"/>
      <c r="I83" s="102"/>
    </row>
    <row r="84" spans="2:9">
      <c r="B84" s="90"/>
      <c r="I84" s="102"/>
    </row>
    <row r="85" spans="2:9">
      <c r="B85" s="90"/>
      <c r="I85" s="102"/>
    </row>
    <row r="86" spans="2:9">
      <c r="B86" s="90"/>
      <c r="I86" s="102"/>
    </row>
    <row r="87" spans="2:9">
      <c r="B87" s="90"/>
      <c r="I87" s="102"/>
    </row>
    <row r="88" spans="2:9">
      <c r="B88" s="90"/>
      <c r="I88" s="102"/>
    </row>
    <row r="89" spans="2:9">
      <c r="B89" s="90"/>
      <c r="I89" s="102"/>
    </row>
    <row r="90" spans="2:9">
      <c r="B90" s="90"/>
      <c r="I90" s="102"/>
    </row>
    <row r="91" spans="2:9">
      <c r="B91" s="90"/>
      <c r="I91" s="102"/>
    </row>
    <row r="92" spans="2:9">
      <c r="B92" s="90"/>
      <c r="I92" s="102"/>
    </row>
    <row r="93" spans="2:9">
      <c r="B93" s="90"/>
      <c r="I93" s="102"/>
    </row>
    <row r="94" spans="2:9">
      <c r="B94" s="90"/>
      <c r="I94" s="102"/>
    </row>
    <row r="95" spans="2:9">
      <c r="B95" s="90"/>
      <c r="I95" s="102"/>
    </row>
    <row r="96" spans="2:9">
      <c r="B96" s="90"/>
      <c r="I96" s="102"/>
    </row>
    <row r="97" spans="2:9">
      <c r="B97" s="90"/>
      <c r="I97" s="102"/>
    </row>
    <row r="98" spans="2:9">
      <c r="B98" s="90"/>
      <c r="I98" s="102"/>
    </row>
    <row r="99" spans="2:9">
      <c r="B99" s="90"/>
      <c r="I99" s="102"/>
    </row>
    <row r="100" spans="2:9">
      <c r="B100" s="90"/>
      <c r="I100" s="102"/>
    </row>
    <row r="101" spans="2:9">
      <c r="B101" s="90"/>
      <c r="I101" s="102"/>
    </row>
    <row r="102" spans="2:9">
      <c r="B102" s="90"/>
      <c r="I102" s="102"/>
    </row>
    <row r="103" spans="2:9">
      <c r="B103" s="90"/>
      <c r="I103" s="102"/>
    </row>
    <row r="104" spans="2:9">
      <c r="B104" s="90"/>
      <c r="I104" s="102"/>
    </row>
    <row r="105" spans="2:9">
      <c r="B105" s="90"/>
      <c r="I105" s="102"/>
    </row>
    <row r="106" spans="2:9">
      <c r="B106" s="90"/>
      <c r="I106" s="102"/>
    </row>
    <row r="107" spans="2:9">
      <c r="B107" s="90"/>
      <c r="I107" s="102"/>
    </row>
    <row r="108" spans="2:9">
      <c r="B108" s="90"/>
      <c r="I108" s="102"/>
    </row>
    <row r="109" spans="2:9">
      <c r="B109" s="90"/>
      <c r="I109" s="102"/>
    </row>
    <row r="110" spans="2:9">
      <c r="B110" s="90"/>
      <c r="I110" s="102"/>
    </row>
    <row r="111" spans="2:9">
      <c r="B111" s="90"/>
      <c r="I111" s="102"/>
    </row>
    <row r="112" spans="2:9">
      <c r="B112" s="90"/>
      <c r="I112" s="102"/>
    </row>
    <row r="113" spans="2:9">
      <c r="B113" s="90"/>
      <c r="I113" s="102"/>
    </row>
    <row r="114" spans="2:9">
      <c r="B114" s="90"/>
      <c r="I114" s="102"/>
    </row>
    <row r="115" spans="2:9">
      <c r="B115" s="90"/>
      <c r="I115" s="102"/>
    </row>
    <row r="116" spans="2:9">
      <c r="B116" s="90"/>
      <c r="I116" s="102"/>
    </row>
    <row r="117" spans="2:9">
      <c r="B117" s="90"/>
      <c r="I117" s="102"/>
    </row>
    <row r="118" spans="2:9">
      <c r="B118" s="90"/>
      <c r="I118" s="102"/>
    </row>
    <row r="119" spans="2:9">
      <c r="B119" s="90"/>
      <c r="I119" s="102"/>
    </row>
    <row r="120" spans="2:9">
      <c r="B120" s="90"/>
      <c r="I120" s="102"/>
    </row>
    <row r="121" spans="2:9">
      <c r="B121" s="90"/>
      <c r="I121" s="102"/>
    </row>
    <row r="122" spans="2:9">
      <c r="B122" s="90"/>
      <c r="I122" s="102"/>
    </row>
    <row r="123" spans="2:9">
      <c r="B123" s="90"/>
      <c r="I123" s="102"/>
    </row>
    <row r="124" spans="2:9">
      <c r="B124" s="90"/>
      <c r="I124" s="102"/>
    </row>
    <row r="125" spans="2:9">
      <c r="B125" s="90"/>
      <c r="I125" s="102"/>
    </row>
    <row r="126" spans="2:9">
      <c r="B126" s="90"/>
      <c r="I126" s="102"/>
    </row>
    <row r="127" spans="2:9">
      <c r="B127" s="90"/>
      <c r="I127" s="102"/>
    </row>
    <row r="128" spans="2:9">
      <c r="B128" s="90"/>
      <c r="I128" s="102"/>
    </row>
    <row r="129" spans="2:9">
      <c r="B129" s="90"/>
      <c r="I129" s="102"/>
    </row>
    <row r="130" spans="2:9">
      <c r="B130" s="90"/>
      <c r="I130" s="102"/>
    </row>
    <row r="131" spans="2:9">
      <c r="B131" s="90"/>
      <c r="I131" s="102"/>
    </row>
    <row r="132" spans="2:9">
      <c r="B132" s="90"/>
      <c r="I132" s="102"/>
    </row>
    <row r="133" spans="2:9">
      <c r="B133" s="90"/>
      <c r="I133" s="102"/>
    </row>
    <row r="134" spans="2:9">
      <c r="B134" s="90"/>
      <c r="I134" s="102"/>
    </row>
    <row r="135" spans="2:9">
      <c r="B135" s="90"/>
      <c r="I135" s="102"/>
    </row>
    <row r="136" spans="2:9">
      <c r="B136" s="90"/>
      <c r="I136" s="102"/>
    </row>
    <row r="137" spans="2:9">
      <c r="B137" s="90"/>
      <c r="I137" s="102"/>
    </row>
    <row r="138" spans="2:9">
      <c r="B138" s="90"/>
      <c r="I138" s="102"/>
    </row>
    <row r="139" spans="2:9">
      <c r="B139" s="90"/>
      <c r="I139" s="102"/>
    </row>
    <row r="140" spans="2:9">
      <c r="B140" s="90"/>
      <c r="I140" s="102"/>
    </row>
    <row r="141" spans="2:9">
      <c r="B141" s="90"/>
      <c r="I141" s="102"/>
    </row>
    <row r="142" spans="2:9">
      <c r="B142" s="90"/>
      <c r="I142" s="102"/>
    </row>
    <row r="143" spans="2:9">
      <c r="B143" s="90"/>
      <c r="I143" s="102"/>
    </row>
    <row r="144" spans="2:9">
      <c r="B144" s="90"/>
      <c r="I144" s="102"/>
    </row>
    <row r="145" spans="2:9">
      <c r="B145" s="90"/>
      <c r="I145" s="102"/>
    </row>
    <row r="146" spans="2:9">
      <c r="B146" s="90"/>
      <c r="I146" s="102"/>
    </row>
    <row r="147" spans="2:9">
      <c r="B147" s="90"/>
      <c r="I147" s="102"/>
    </row>
    <row r="148" spans="2:9">
      <c r="B148" s="90"/>
      <c r="I148" s="102"/>
    </row>
    <row r="149" spans="2:9">
      <c r="B149" s="90"/>
      <c r="I149" s="102"/>
    </row>
    <row r="150" spans="2:9">
      <c r="B150" s="90"/>
      <c r="I150" s="102"/>
    </row>
    <row r="151" spans="2:9">
      <c r="B151" s="90"/>
      <c r="I151" s="102"/>
    </row>
    <row r="152" spans="2:9">
      <c r="B152" s="90"/>
      <c r="I152" s="102"/>
    </row>
    <row r="153" spans="2:9">
      <c r="B153" s="90"/>
      <c r="I153" s="102"/>
    </row>
    <row r="154" spans="2:9">
      <c r="B154" s="90"/>
      <c r="I154" s="102"/>
    </row>
    <row r="155" spans="2:9">
      <c r="B155" s="90"/>
      <c r="I155" s="102"/>
    </row>
    <row r="156" spans="2:9">
      <c r="B156" s="90"/>
      <c r="I156" s="102"/>
    </row>
    <row r="157" spans="2:9">
      <c r="B157" s="90"/>
      <c r="I157" s="102"/>
    </row>
    <row r="158" spans="2:9">
      <c r="B158" s="90"/>
      <c r="I158" s="102"/>
    </row>
    <row r="159" spans="2:9">
      <c r="B159" s="90"/>
      <c r="I159" s="102"/>
    </row>
    <row r="160" spans="2:9">
      <c r="B160" s="90"/>
      <c r="I160" s="102"/>
    </row>
    <row r="161" spans="2:9">
      <c r="B161" s="90"/>
      <c r="I161" s="102"/>
    </row>
    <row r="162" spans="2:9">
      <c r="B162" s="90"/>
      <c r="I162" s="102"/>
    </row>
    <row r="163" spans="2:9">
      <c r="B163" s="90"/>
      <c r="I163" s="102"/>
    </row>
    <row r="164" spans="2:9">
      <c r="B164" s="90"/>
      <c r="I164" s="102"/>
    </row>
    <row r="165" spans="2:9">
      <c r="B165" s="90"/>
      <c r="I165" s="102"/>
    </row>
    <row r="166" spans="2:9">
      <c r="B166" s="90"/>
      <c r="I166" s="102"/>
    </row>
    <row r="167" spans="2:9">
      <c r="B167" s="90"/>
      <c r="I167" s="102"/>
    </row>
    <row r="168" spans="2:9">
      <c r="B168" s="90"/>
      <c r="I168" s="102"/>
    </row>
    <row r="169" spans="2:9">
      <c r="B169" s="90"/>
      <c r="I169" s="102"/>
    </row>
    <row r="170" spans="2:9">
      <c r="B170" s="90"/>
      <c r="I170" s="102"/>
    </row>
    <row r="171" spans="2:9">
      <c r="B171" s="90"/>
      <c r="I171" s="102"/>
    </row>
    <row r="172" spans="2:9">
      <c r="B172" s="90"/>
      <c r="I172" s="102"/>
    </row>
    <row r="173" spans="2:9">
      <c r="B173" s="90"/>
      <c r="I173" s="102"/>
    </row>
    <row r="174" spans="2:9">
      <c r="B174" s="90"/>
      <c r="I174" s="102"/>
    </row>
    <row r="175" spans="2:9">
      <c r="B175" s="90"/>
      <c r="I175" s="102"/>
    </row>
    <row r="176" spans="2:9">
      <c r="B176" s="90"/>
      <c r="I176" s="102"/>
    </row>
    <row r="177" spans="2:9">
      <c r="B177" s="90"/>
      <c r="I177" s="102"/>
    </row>
    <row r="178" spans="2:9">
      <c r="B178" s="90"/>
      <c r="I178" s="102"/>
    </row>
    <row r="179" spans="2:9">
      <c r="B179" s="90"/>
      <c r="I179" s="102"/>
    </row>
    <row r="180" spans="2:9">
      <c r="B180" s="90"/>
      <c r="I180" s="102"/>
    </row>
    <row r="181" spans="2:9">
      <c r="B181" s="90"/>
      <c r="I181" s="102"/>
    </row>
    <row r="182" spans="2:9">
      <c r="B182" s="90"/>
      <c r="I182" s="102"/>
    </row>
    <row r="183" spans="2:9">
      <c r="B183" s="90"/>
      <c r="I183" s="102"/>
    </row>
    <row r="184" spans="2:9">
      <c r="B184" s="90"/>
      <c r="I184" s="102"/>
    </row>
    <row r="185" spans="2:9">
      <c r="B185" s="90"/>
      <c r="I185" s="102"/>
    </row>
    <row r="186" spans="2:9">
      <c r="B186" s="90"/>
      <c r="I186" s="102"/>
    </row>
    <row r="187" spans="2:9">
      <c r="B187" s="90"/>
      <c r="I187" s="102"/>
    </row>
    <row r="188" spans="2:9">
      <c r="B188" s="90"/>
      <c r="I188" s="102"/>
    </row>
    <row r="189" spans="2:9">
      <c r="B189" s="90"/>
      <c r="I189" s="102"/>
    </row>
    <row r="190" spans="2:9">
      <c r="B190" s="90"/>
      <c r="I190" s="102"/>
    </row>
    <row r="191" spans="2:9">
      <c r="B191" s="90"/>
      <c r="I191" s="102"/>
    </row>
    <row r="192" spans="2:9">
      <c r="B192" s="90"/>
      <c r="I192" s="102"/>
    </row>
    <row r="193" spans="2:9">
      <c r="B193" s="90"/>
      <c r="I193" s="102"/>
    </row>
    <row r="194" spans="2:9">
      <c r="B194" s="90"/>
      <c r="I194" s="102"/>
    </row>
    <row r="195" spans="2:9">
      <c r="B195" s="90"/>
      <c r="I195" s="102"/>
    </row>
    <row r="196" spans="2:9">
      <c r="B196" s="90"/>
      <c r="I196" s="102"/>
    </row>
    <row r="197" spans="2:9">
      <c r="B197" s="90"/>
      <c r="I197" s="102"/>
    </row>
    <row r="198" spans="2:9">
      <c r="B198" s="90"/>
      <c r="I198" s="102"/>
    </row>
    <row r="199" spans="2:9">
      <c r="B199" s="90"/>
      <c r="I199" s="102"/>
    </row>
    <row r="200" spans="2:9">
      <c r="B200" s="90"/>
      <c r="I200" s="102"/>
    </row>
    <row r="201" spans="2:9">
      <c r="B201" s="90"/>
      <c r="I201" s="102"/>
    </row>
    <row r="202" spans="2:9">
      <c r="B202" s="90"/>
      <c r="I202" s="102"/>
    </row>
    <row r="203" spans="2:9">
      <c r="B203" s="90"/>
      <c r="I203" s="102"/>
    </row>
    <row r="204" spans="2:9">
      <c r="B204" s="90"/>
      <c r="I204" s="102"/>
    </row>
    <row r="205" spans="2:9">
      <c r="B205" s="90"/>
      <c r="I205" s="102"/>
    </row>
    <row r="206" spans="2:9">
      <c r="B206" s="90"/>
      <c r="I206" s="102"/>
    </row>
    <row r="207" spans="2:9">
      <c r="B207" s="90"/>
      <c r="I207" s="102"/>
    </row>
    <row r="208" spans="2:9">
      <c r="B208" s="90"/>
      <c r="I208" s="102"/>
    </row>
    <row r="209" spans="2:9">
      <c r="B209" s="90"/>
      <c r="I209" s="102"/>
    </row>
    <row r="210" spans="2:9">
      <c r="B210" s="90"/>
      <c r="I210" s="102"/>
    </row>
    <row r="211" spans="2:9">
      <c r="B211" s="90"/>
      <c r="I211" s="102"/>
    </row>
    <row r="212" spans="2:9">
      <c r="B212" s="90"/>
      <c r="I212" s="102"/>
    </row>
    <row r="213" spans="2:9">
      <c r="B213" s="90"/>
      <c r="I213" s="102"/>
    </row>
    <row r="214" spans="2:9">
      <c r="B214" s="90"/>
      <c r="I214" s="102"/>
    </row>
    <row r="215" spans="2:9">
      <c r="B215" s="90"/>
      <c r="I215" s="102"/>
    </row>
    <row r="216" spans="2:9">
      <c r="B216" s="90"/>
      <c r="I216" s="102"/>
    </row>
    <row r="217" spans="2:9">
      <c r="B217" s="90"/>
      <c r="I217" s="102"/>
    </row>
    <row r="218" spans="2:9">
      <c r="B218" s="90"/>
      <c r="I218" s="102"/>
    </row>
    <row r="219" spans="2:9">
      <c r="B219" s="90"/>
      <c r="I219" s="102"/>
    </row>
    <row r="220" spans="2:9">
      <c r="B220" s="90"/>
      <c r="I220" s="102"/>
    </row>
    <row r="221" spans="2:9">
      <c r="B221" s="90"/>
      <c r="I221" s="102"/>
    </row>
    <row r="222" spans="2:9">
      <c r="B222" s="90"/>
      <c r="I222" s="102"/>
    </row>
    <row r="223" spans="2:9">
      <c r="B223" s="90"/>
      <c r="I223" s="102"/>
    </row>
    <row r="224" spans="2:9">
      <c r="B224" s="90"/>
      <c r="I224" s="102"/>
    </row>
    <row r="225" spans="2:9">
      <c r="B225" s="90"/>
      <c r="I225" s="102"/>
    </row>
    <row r="226" spans="2:9">
      <c r="B226" s="90"/>
      <c r="I226" s="102"/>
    </row>
    <row r="227" spans="2:9">
      <c r="B227" s="90"/>
      <c r="I227" s="102"/>
    </row>
    <row r="228" spans="2:9">
      <c r="B228" s="90"/>
      <c r="I228" s="102"/>
    </row>
    <row r="229" spans="2:9">
      <c r="B229" s="90"/>
      <c r="I229" s="102"/>
    </row>
    <row r="230" spans="2:9">
      <c r="B230" s="90"/>
      <c r="I230" s="102"/>
    </row>
    <row r="231" spans="2:9">
      <c r="B231" s="90"/>
      <c r="I231" s="102"/>
    </row>
    <row r="232" spans="2:9">
      <c r="B232" s="90"/>
      <c r="I232" s="102"/>
    </row>
    <row r="233" spans="2:9">
      <c r="B233" s="90"/>
      <c r="I233" s="102"/>
    </row>
    <row r="234" spans="2:9">
      <c r="B234" s="90"/>
      <c r="I234" s="102"/>
    </row>
    <row r="235" spans="2:9">
      <c r="B235" s="90"/>
      <c r="I235" s="102"/>
    </row>
    <row r="236" spans="2:9">
      <c r="B236" s="90"/>
      <c r="I236" s="102"/>
    </row>
    <row r="237" spans="2:9">
      <c r="B237" s="90"/>
      <c r="I237" s="102"/>
    </row>
    <row r="238" spans="2:9">
      <c r="B238" s="90"/>
      <c r="I238" s="102"/>
    </row>
    <row r="239" spans="2:9">
      <c r="B239" s="90"/>
      <c r="I239" s="102"/>
    </row>
    <row r="240" spans="2:9">
      <c r="B240" s="90"/>
      <c r="I240" s="102"/>
    </row>
    <row r="241" spans="2:9">
      <c r="B241" s="90"/>
      <c r="I241" s="102"/>
    </row>
    <row r="242" spans="2:9">
      <c r="B242" s="90"/>
      <c r="I242" s="102"/>
    </row>
    <row r="243" spans="2:9">
      <c r="B243" s="90"/>
      <c r="I243" s="102"/>
    </row>
    <row r="244" spans="2:9">
      <c r="B244" s="90"/>
      <c r="I244" s="102"/>
    </row>
    <row r="245" spans="2:9">
      <c r="B245" s="90"/>
      <c r="I245" s="102"/>
    </row>
    <row r="246" spans="2:9">
      <c r="B246" s="90"/>
      <c r="I246" s="102"/>
    </row>
    <row r="247" spans="2:9">
      <c r="B247" s="90"/>
      <c r="I247" s="102"/>
    </row>
    <row r="248" spans="2:9">
      <c r="B248" s="90"/>
      <c r="I248" s="102"/>
    </row>
    <row r="249" spans="2:9">
      <c r="B249" s="90"/>
      <c r="I249" s="102"/>
    </row>
    <row r="250" spans="2:9">
      <c r="B250" s="90"/>
      <c r="I250" s="102"/>
    </row>
    <row r="251" spans="2:9">
      <c r="B251" s="90"/>
      <c r="I251" s="102"/>
    </row>
    <row r="252" spans="2:9">
      <c r="B252" s="90"/>
      <c r="I252" s="102"/>
    </row>
    <row r="253" spans="2:9">
      <c r="B253" s="90"/>
      <c r="I253" s="102"/>
    </row>
    <row r="254" spans="2:9">
      <c r="B254" s="90"/>
      <c r="I254" s="102"/>
    </row>
    <row r="255" spans="2:9">
      <c r="B255" s="90"/>
      <c r="I255" s="102"/>
    </row>
    <row r="256" spans="2:9">
      <c r="B256" s="90"/>
      <c r="I256" s="102"/>
    </row>
    <row r="257" spans="2:9">
      <c r="B257" s="90"/>
      <c r="I257" s="102"/>
    </row>
    <row r="258" spans="2:9">
      <c r="B258" s="90"/>
      <c r="I258" s="102"/>
    </row>
    <row r="259" spans="2:9">
      <c r="B259" s="90"/>
      <c r="I259" s="102"/>
    </row>
    <row r="260" spans="2:9">
      <c r="B260" s="90"/>
      <c r="I260" s="102"/>
    </row>
    <row r="261" spans="2:9">
      <c r="B261" s="90"/>
      <c r="I261" s="102"/>
    </row>
    <row r="262" spans="2:9">
      <c r="B262" s="90"/>
      <c r="I262" s="102"/>
    </row>
    <row r="263" spans="2:9">
      <c r="B263" s="90"/>
      <c r="I263" s="102"/>
    </row>
    <row r="264" spans="2:9">
      <c r="B264" s="90"/>
      <c r="I264" s="102"/>
    </row>
    <row r="265" spans="2:9">
      <c r="B265" s="90"/>
      <c r="I265" s="102"/>
    </row>
    <row r="266" spans="2:9">
      <c r="B266" s="90"/>
      <c r="I266" s="102"/>
    </row>
    <row r="267" spans="2:9">
      <c r="B267" s="90"/>
      <c r="I267" s="102"/>
    </row>
    <row r="268" spans="2:9">
      <c r="B268" s="90"/>
      <c r="I268" s="102"/>
    </row>
    <row r="269" spans="2:9">
      <c r="B269" s="90"/>
      <c r="I269" s="102"/>
    </row>
    <row r="270" spans="2:9">
      <c r="B270" s="90"/>
      <c r="I270" s="102"/>
    </row>
    <row r="271" spans="2:9">
      <c r="B271" s="90"/>
      <c r="I271" s="102"/>
    </row>
    <row r="272" spans="2:9">
      <c r="B272" s="90"/>
      <c r="I272" s="102"/>
    </row>
    <row r="273" spans="2:9">
      <c r="B273" s="90"/>
      <c r="I273" s="102"/>
    </row>
    <row r="274" spans="2:9">
      <c r="B274" s="90"/>
      <c r="I274" s="102"/>
    </row>
    <row r="275" spans="2:9">
      <c r="B275" s="90"/>
      <c r="I275" s="102"/>
    </row>
    <row r="276" spans="2:9">
      <c r="B276" s="90"/>
      <c r="I276" s="102"/>
    </row>
    <row r="277" spans="2:9">
      <c r="B277" s="90"/>
      <c r="I277" s="102"/>
    </row>
    <row r="278" spans="2:9">
      <c r="B278" s="90"/>
      <c r="I278" s="102"/>
    </row>
    <row r="279" spans="2:9">
      <c r="B279" s="90"/>
      <c r="I279" s="102"/>
    </row>
    <row r="280" spans="2:9">
      <c r="B280" s="90"/>
      <c r="I280" s="102"/>
    </row>
    <row r="281" spans="2:9">
      <c r="B281" s="90"/>
      <c r="I281" s="102"/>
    </row>
    <row r="282" spans="2:9">
      <c r="B282" s="90"/>
      <c r="I282" s="102"/>
    </row>
    <row r="283" spans="2:9">
      <c r="B283" s="90"/>
      <c r="I283" s="102"/>
    </row>
    <row r="284" spans="2:9">
      <c r="B284" s="90"/>
      <c r="I284" s="102"/>
    </row>
    <row r="285" spans="2:9">
      <c r="B285" s="90"/>
      <c r="I285" s="102"/>
    </row>
    <row r="286" spans="2:9">
      <c r="B286" s="90"/>
      <c r="I286" s="102"/>
    </row>
    <row r="287" spans="2:9">
      <c r="B287" s="90"/>
      <c r="I287" s="102"/>
    </row>
    <row r="288" spans="2:9">
      <c r="B288" s="90"/>
      <c r="I288" s="102"/>
    </row>
    <row r="289" spans="2:9">
      <c r="B289" s="90"/>
      <c r="I289" s="102"/>
    </row>
    <row r="290" spans="2:9">
      <c r="B290" s="90"/>
      <c r="I290" s="102"/>
    </row>
    <row r="291" spans="2:9">
      <c r="B291" s="90"/>
      <c r="I291" s="102"/>
    </row>
    <row r="292" spans="2:9">
      <c r="B292" s="90"/>
      <c r="I292" s="102"/>
    </row>
    <row r="293" spans="2:9">
      <c r="B293" s="90"/>
      <c r="I293" s="102"/>
    </row>
    <row r="294" spans="2:9">
      <c r="B294" s="90"/>
      <c r="I294" s="102"/>
    </row>
    <row r="295" spans="2:9">
      <c r="B295" s="90"/>
      <c r="I295" s="102"/>
    </row>
    <row r="296" spans="2:9">
      <c r="B296" s="90"/>
      <c r="I296" s="102"/>
    </row>
    <row r="297" spans="2:9">
      <c r="B297" s="90"/>
      <c r="I297" s="102"/>
    </row>
    <row r="298" spans="2:9">
      <c r="B298" s="90"/>
      <c r="I298" s="102"/>
    </row>
    <row r="299" spans="2:9">
      <c r="B299" s="90"/>
      <c r="I299" s="102"/>
    </row>
    <row r="300" spans="2:9">
      <c r="B300" s="90"/>
      <c r="I300" s="102"/>
    </row>
    <row r="301" spans="2:9">
      <c r="B301" s="90"/>
      <c r="I301" s="102"/>
    </row>
    <row r="302" spans="2:9">
      <c r="B302" s="90"/>
      <c r="I302" s="102"/>
    </row>
    <row r="303" spans="2:9">
      <c r="B303" s="90"/>
      <c r="I303" s="102"/>
    </row>
    <row r="304" spans="2:9">
      <c r="B304" s="90"/>
      <c r="I304" s="102"/>
    </row>
    <row r="305" spans="2:9">
      <c r="B305" s="90"/>
      <c r="I305" s="102"/>
    </row>
    <row r="306" spans="2:9">
      <c r="B306" s="90"/>
      <c r="I306" s="102"/>
    </row>
    <row r="307" spans="2:9">
      <c r="B307" s="90"/>
      <c r="I307" s="102"/>
    </row>
    <row r="308" spans="2:9">
      <c r="B308" s="90"/>
      <c r="I308" s="102"/>
    </row>
    <row r="309" spans="2:9">
      <c r="B309" s="90"/>
      <c r="I309" s="102"/>
    </row>
    <row r="310" spans="2:9">
      <c r="B310" s="90"/>
      <c r="I310" s="102"/>
    </row>
    <row r="311" spans="2:9">
      <c r="B311" s="90"/>
      <c r="I311" s="102"/>
    </row>
    <row r="312" spans="2:9">
      <c r="B312" s="90"/>
      <c r="I312" s="102"/>
    </row>
    <row r="313" spans="2:9">
      <c r="B313" s="90"/>
      <c r="I313" s="102"/>
    </row>
    <row r="314" spans="2:9">
      <c r="B314" s="90"/>
      <c r="I314" s="102"/>
    </row>
    <row r="315" spans="2:9">
      <c r="B315" s="90"/>
      <c r="I315" s="102"/>
    </row>
    <row r="316" spans="2:9">
      <c r="B316" s="90"/>
      <c r="I316" s="102"/>
    </row>
    <row r="317" spans="2:9">
      <c r="B317" s="90"/>
      <c r="I317" s="102"/>
    </row>
    <row r="318" spans="2:9">
      <c r="B318" s="90"/>
      <c r="I318" s="102"/>
    </row>
    <row r="319" spans="2:9">
      <c r="B319" s="90"/>
      <c r="I319" s="102"/>
    </row>
    <row r="320" spans="2:9">
      <c r="B320" s="90"/>
      <c r="I320" s="102"/>
    </row>
    <row r="321" spans="2:9">
      <c r="B321" s="90"/>
      <c r="I321" s="102"/>
    </row>
    <row r="322" spans="2:9">
      <c r="B322" s="90"/>
      <c r="I322" s="102"/>
    </row>
    <row r="323" spans="2:9">
      <c r="B323" s="90"/>
      <c r="I323" s="102"/>
    </row>
    <row r="324" spans="2:9">
      <c r="B324" s="90"/>
      <c r="I324" s="102"/>
    </row>
    <row r="325" spans="2:9">
      <c r="B325" s="90"/>
      <c r="I325" s="102"/>
    </row>
    <row r="326" spans="2:9">
      <c r="B326" s="90"/>
      <c r="I326" s="102"/>
    </row>
    <row r="327" spans="2:9">
      <c r="B327" s="90"/>
      <c r="I327" s="102"/>
    </row>
    <row r="328" spans="2:9">
      <c r="B328" s="90"/>
      <c r="I328" s="102"/>
    </row>
    <row r="329" spans="2:9">
      <c r="B329" s="90"/>
      <c r="I329" s="102"/>
    </row>
    <row r="330" spans="2:9">
      <c r="B330" s="90"/>
      <c r="I330" s="102"/>
    </row>
    <row r="331" spans="2:9">
      <c r="B331" s="90"/>
      <c r="I331" s="102"/>
    </row>
    <row r="332" spans="2:9">
      <c r="B332" s="90"/>
      <c r="I332" s="102"/>
    </row>
    <row r="333" spans="2:9">
      <c r="B333" s="90"/>
      <c r="I333" s="102"/>
    </row>
    <row r="334" spans="2:9">
      <c r="B334" s="90"/>
      <c r="I334" s="102"/>
    </row>
    <row r="335" spans="2:9">
      <c r="B335" s="90"/>
      <c r="I335" s="102"/>
    </row>
    <row r="336" spans="2:9">
      <c r="B336" s="90"/>
      <c r="I336" s="102"/>
    </row>
    <row r="337" spans="2:9">
      <c r="B337" s="90"/>
      <c r="I337" s="102"/>
    </row>
    <row r="338" spans="2:9">
      <c r="B338" s="90"/>
      <c r="I338" s="102"/>
    </row>
    <row r="339" spans="2:9">
      <c r="B339" s="90"/>
      <c r="I339" s="102"/>
    </row>
    <row r="340" spans="2:9">
      <c r="B340" s="90"/>
      <c r="I340" s="102"/>
    </row>
    <row r="341" spans="2:9">
      <c r="B341" s="90"/>
      <c r="I341" s="102"/>
    </row>
    <row r="342" spans="2:9">
      <c r="B342" s="90"/>
      <c r="I342" s="102"/>
    </row>
    <row r="343" spans="2:9">
      <c r="B343" s="90"/>
      <c r="I343" s="102"/>
    </row>
    <row r="344" spans="2:9">
      <c r="B344" s="90"/>
      <c r="I344" s="102"/>
    </row>
    <row r="345" spans="2:9">
      <c r="B345" s="90"/>
      <c r="I345" s="102"/>
    </row>
    <row r="346" spans="2:9">
      <c r="B346" s="90"/>
      <c r="I346" s="102"/>
    </row>
    <row r="347" spans="2:9">
      <c r="B347" s="90"/>
      <c r="I347" s="102"/>
    </row>
    <row r="348" spans="2:9">
      <c r="B348" s="90"/>
      <c r="I348" s="102"/>
    </row>
    <row r="349" spans="2:9">
      <c r="B349" s="90"/>
      <c r="I349" s="102"/>
    </row>
    <row r="350" spans="2:9">
      <c r="B350" s="90"/>
      <c r="I350" s="102"/>
    </row>
    <row r="351" spans="2:9">
      <c r="B351" s="90"/>
      <c r="I351" s="102"/>
    </row>
    <row r="352" spans="2:9">
      <c r="B352" s="90"/>
      <c r="I352" s="102"/>
    </row>
    <row r="353" spans="2:9">
      <c r="B353" s="90"/>
      <c r="I353" s="102"/>
    </row>
    <row r="354" spans="2:9">
      <c r="B354" s="90"/>
      <c r="I354" s="102"/>
    </row>
    <row r="355" spans="2:9">
      <c r="B355" s="90"/>
      <c r="I355" s="102"/>
    </row>
    <row r="356" spans="2:9">
      <c r="B356" s="90"/>
      <c r="I356" s="102"/>
    </row>
    <row r="357" spans="2:9">
      <c r="B357" s="90"/>
      <c r="I357" s="102"/>
    </row>
    <row r="358" spans="2:9">
      <c r="B358" s="90"/>
      <c r="I358" s="102"/>
    </row>
    <row r="359" spans="2:9">
      <c r="B359" s="90"/>
      <c r="I359" s="102"/>
    </row>
    <row r="360" spans="2:9">
      <c r="B360" s="90"/>
      <c r="I360" s="102"/>
    </row>
    <row r="361" spans="2:9">
      <c r="B361" s="90"/>
      <c r="I361" s="102"/>
    </row>
    <row r="362" spans="2:9">
      <c r="B362" s="90"/>
      <c r="I362" s="102"/>
    </row>
    <row r="363" spans="2:9">
      <c r="B363" s="90"/>
      <c r="I363" s="102"/>
    </row>
    <row r="364" spans="2:9">
      <c r="B364" s="90"/>
      <c r="I364" s="102"/>
    </row>
    <row r="365" spans="2:9">
      <c r="B365" s="90"/>
      <c r="I365" s="102"/>
    </row>
    <row r="366" spans="2:9">
      <c r="B366" s="90"/>
      <c r="I366" s="102"/>
    </row>
    <row r="367" spans="2:9">
      <c r="B367" s="90"/>
      <c r="I367" s="102"/>
    </row>
    <row r="368" spans="2:9">
      <c r="B368" s="90"/>
      <c r="I368" s="102"/>
    </row>
    <row r="369" spans="2:9">
      <c r="B369" s="90"/>
      <c r="I369" s="102"/>
    </row>
    <row r="370" spans="2:9">
      <c r="B370" s="90"/>
      <c r="I370" s="102"/>
    </row>
    <row r="371" spans="2:9">
      <c r="B371" s="90"/>
      <c r="I371" s="102"/>
    </row>
    <row r="372" spans="2:9">
      <c r="B372" s="90"/>
      <c r="I372" s="102"/>
    </row>
    <row r="373" spans="2:9">
      <c r="B373" s="90"/>
      <c r="I373" s="102"/>
    </row>
    <row r="374" spans="2:9">
      <c r="B374" s="90"/>
      <c r="I374" s="102"/>
    </row>
    <row r="375" spans="2:9">
      <c r="B375" s="90"/>
      <c r="I375" s="102"/>
    </row>
    <row r="376" spans="2:9">
      <c r="B376" s="90"/>
      <c r="I376" s="102"/>
    </row>
    <row r="377" spans="2:9">
      <c r="B377" s="90"/>
      <c r="I377" s="102"/>
    </row>
    <row r="378" spans="2:9">
      <c r="B378" s="90"/>
      <c r="I378" s="102"/>
    </row>
    <row r="379" spans="2:9">
      <c r="B379" s="90"/>
      <c r="I379" s="102"/>
    </row>
    <row r="380" spans="2:9">
      <c r="B380" s="90"/>
      <c r="I380" s="102"/>
    </row>
    <row r="381" spans="2:9">
      <c r="B381" s="90"/>
      <c r="I381" s="102"/>
    </row>
    <row r="382" spans="2:9">
      <c r="B382" s="90"/>
      <c r="I382" s="102"/>
    </row>
    <row r="383" spans="2:9">
      <c r="B383" s="90"/>
      <c r="I383" s="102"/>
    </row>
    <row r="384" spans="2:9">
      <c r="B384" s="90"/>
      <c r="I384" s="102"/>
    </row>
    <row r="385" spans="2:9">
      <c r="B385" s="90"/>
      <c r="I385" s="102"/>
    </row>
    <row r="386" spans="2:9">
      <c r="B386" s="90"/>
      <c r="I386" s="102"/>
    </row>
    <row r="387" spans="2:9">
      <c r="B387" s="90"/>
      <c r="I387" s="102"/>
    </row>
    <row r="388" spans="2:9">
      <c r="B388" s="90"/>
      <c r="I388" s="102"/>
    </row>
    <row r="389" spans="2:9">
      <c r="B389" s="90"/>
      <c r="I389" s="102"/>
    </row>
    <row r="390" spans="2:9">
      <c r="B390" s="90"/>
      <c r="I390" s="102"/>
    </row>
    <row r="391" spans="2:9">
      <c r="B391" s="90"/>
      <c r="I391" s="102"/>
    </row>
    <row r="392" spans="2:9">
      <c r="B392" s="90"/>
      <c r="I392" s="102"/>
    </row>
    <row r="393" spans="2:9">
      <c r="B393" s="90"/>
      <c r="I393" s="102"/>
    </row>
    <row r="394" spans="2:9">
      <c r="B394" s="90"/>
      <c r="I394" s="102"/>
    </row>
    <row r="395" spans="2:9">
      <c r="B395" s="90"/>
      <c r="I395" s="102"/>
    </row>
    <row r="396" spans="2:9">
      <c r="B396" s="90"/>
      <c r="I396" s="102"/>
    </row>
    <row r="397" spans="2:9">
      <c r="B397" s="90"/>
      <c r="I397" s="102"/>
    </row>
    <row r="398" spans="2:9">
      <c r="B398" s="90"/>
      <c r="I398" s="102"/>
    </row>
    <row r="399" spans="2:9">
      <c r="B399" s="90"/>
      <c r="I399" s="102"/>
    </row>
    <row r="400" spans="2:9">
      <c r="B400" s="90"/>
      <c r="I400" s="102"/>
    </row>
    <row r="401" spans="2:9">
      <c r="B401" s="90"/>
      <c r="I401" s="102"/>
    </row>
    <row r="402" spans="2:9">
      <c r="B402" s="90"/>
      <c r="I402" s="102"/>
    </row>
    <row r="403" spans="2:9">
      <c r="B403" s="90"/>
      <c r="I403" s="102"/>
    </row>
    <row r="404" spans="2:9">
      <c r="B404" s="90"/>
      <c r="I404" s="102"/>
    </row>
    <row r="405" spans="2:9">
      <c r="B405" s="90"/>
      <c r="I405" s="102"/>
    </row>
    <row r="406" spans="2:9">
      <c r="B406" s="90"/>
      <c r="I406" s="102"/>
    </row>
    <row r="407" spans="2:9">
      <c r="B407" s="90"/>
      <c r="I407" s="102"/>
    </row>
    <row r="408" spans="2:9">
      <c r="B408" s="90"/>
      <c r="I408" s="102"/>
    </row>
    <row r="409" spans="2:9">
      <c r="B409" s="90"/>
      <c r="I409" s="102"/>
    </row>
    <row r="410" spans="2:9">
      <c r="B410" s="90"/>
      <c r="I410" s="102"/>
    </row>
    <row r="411" spans="2:9">
      <c r="B411" s="90"/>
      <c r="I411" s="102"/>
    </row>
    <row r="412" spans="2:9">
      <c r="B412" s="90"/>
      <c r="I412" s="102"/>
    </row>
    <row r="413" spans="2:9">
      <c r="B413" s="90"/>
      <c r="I413" s="102"/>
    </row>
    <row r="414" spans="2:9">
      <c r="B414" s="90"/>
      <c r="I414" s="102"/>
    </row>
    <row r="415" spans="2:9">
      <c r="B415" s="90"/>
      <c r="I415" s="102"/>
    </row>
    <row r="416" spans="2:9">
      <c r="B416" s="90"/>
      <c r="I416" s="102"/>
    </row>
    <row r="417" spans="2:9">
      <c r="B417" s="90"/>
      <c r="I417" s="102"/>
    </row>
    <row r="418" spans="2:9">
      <c r="B418" s="90"/>
      <c r="I418" s="102"/>
    </row>
    <row r="419" spans="2:9">
      <c r="B419" s="90"/>
      <c r="I419" s="102"/>
    </row>
    <row r="420" spans="2:9">
      <c r="B420" s="90"/>
      <c r="I420" s="102"/>
    </row>
    <row r="421" spans="2:9">
      <c r="B421" s="90"/>
      <c r="I421" s="102"/>
    </row>
    <row r="422" spans="2:9">
      <c r="B422" s="90"/>
      <c r="I422" s="102"/>
    </row>
    <row r="423" spans="2:9">
      <c r="B423" s="90"/>
      <c r="I423" s="102"/>
    </row>
    <row r="424" spans="2:9">
      <c r="B424" s="90"/>
      <c r="I424" s="102"/>
    </row>
    <row r="425" spans="2:9">
      <c r="B425" s="90"/>
      <c r="I425" s="102"/>
    </row>
    <row r="426" spans="2:9">
      <c r="B426" s="90"/>
      <c r="I426" s="102"/>
    </row>
    <row r="427" spans="2:9">
      <c r="B427" s="90"/>
      <c r="I427" s="102"/>
    </row>
    <row r="428" spans="2:9">
      <c r="B428" s="90"/>
      <c r="I428" s="102"/>
    </row>
    <row r="429" spans="2:9">
      <c r="B429" s="90"/>
      <c r="I429" s="102"/>
    </row>
    <row r="430" spans="2:9">
      <c r="B430" s="90"/>
      <c r="I430" s="102"/>
    </row>
    <row r="431" spans="2:9">
      <c r="B431" s="90"/>
      <c r="I431" s="102"/>
    </row>
    <row r="432" spans="2:9">
      <c r="B432" s="90"/>
      <c r="I432" s="102"/>
    </row>
    <row r="433" spans="2:9">
      <c r="B433" s="90"/>
      <c r="I433" s="102"/>
    </row>
    <row r="434" spans="2:9">
      <c r="B434" s="90"/>
      <c r="I434" s="102"/>
    </row>
    <row r="435" spans="2:9">
      <c r="B435" s="90"/>
      <c r="I435" s="102"/>
    </row>
    <row r="436" spans="2:9">
      <c r="B436" s="90"/>
      <c r="I436" s="102"/>
    </row>
    <row r="437" spans="2:9">
      <c r="B437" s="90"/>
      <c r="I437" s="102"/>
    </row>
    <row r="438" spans="2:9">
      <c r="B438" s="90"/>
      <c r="I438" s="102"/>
    </row>
    <row r="439" spans="2:9">
      <c r="B439" s="90"/>
      <c r="I439" s="102"/>
    </row>
    <row r="440" spans="2:9">
      <c r="B440" s="90"/>
      <c r="I440" s="102"/>
    </row>
    <row r="441" spans="2:9">
      <c r="B441" s="90"/>
      <c r="I441" s="102"/>
    </row>
    <row r="442" spans="2:9">
      <c r="B442" s="90"/>
      <c r="I442" s="102"/>
    </row>
    <row r="443" spans="2:9">
      <c r="B443" s="90"/>
      <c r="I443" s="102"/>
    </row>
    <row r="444" spans="2:9">
      <c r="B444" s="90"/>
      <c r="I444" s="102"/>
    </row>
    <row r="445" spans="2:9">
      <c r="B445" s="90"/>
      <c r="I445" s="102"/>
    </row>
    <row r="446" spans="2:9">
      <c r="B446" s="90"/>
      <c r="I446" s="102"/>
    </row>
    <row r="447" spans="2:9">
      <c r="B447" s="90"/>
      <c r="I447" s="102"/>
    </row>
    <row r="448" spans="2:9">
      <c r="B448" s="90"/>
      <c r="I448" s="102"/>
    </row>
    <row r="449" spans="2:9">
      <c r="B449" s="90"/>
      <c r="I449" s="102"/>
    </row>
    <row r="450" spans="2:9">
      <c r="B450" s="90"/>
      <c r="I450" s="102"/>
    </row>
    <row r="451" spans="2:9">
      <c r="B451" s="90"/>
      <c r="I451" s="102"/>
    </row>
    <row r="452" spans="2:9">
      <c r="B452" s="90"/>
      <c r="I452" s="102"/>
    </row>
    <row r="453" spans="2:9">
      <c r="B453" s="90"/>
      <c r="I453" s="102"/>
    </row>
    <row r="454" spans="2:9">
      <c r="B454" s="90"/>
      <c r="I454" s="102"/>
    </row>
    <row r="455" spans="2:9">
      <c r="B455" s="90"/>
      <c r="I455" s="102"/>
    </row>
    <row r="456" spans="2:9">
      <c r="B456" s="90"/>
      <c r="I456" s="102"/>
    </row>
    <row r="457" spans="2:9">
      <c r="B457" s="90"/>
      <c r="I457" s="102"/>
    </row>
    <row r="458" spans="2:9">
      <c r="B458" s="90"/>
      <c r="I458" s="102"/>
    </row>
    <row r="459" spans="2:9">
      <c r="B459" s="90"/>
      <c r="I459" s="102"/>
    </row>
    <row r="460" spans="2:9">
      <c r="B460" s="90"/>
      <c r="I460" s="102"/>
    </row>
    <row r="461" spans="2:9">
      <c r="B461" s="90"/>
      <c r="I461" s="102"/>
    </row>
    <row r="462" spans="2:9">
      <c r="B462" s="90"/>
      <c r="I462" s="102"/>
    </row>
    <row r="463" spans="2:9">
      <c r="B463" s="90"/>
      <c r="I463" s="102"/>
    </row>
    <row r="464" spans="2:9">
      <c r="B464" s="90"/>
      <c r="I464" s="102"/>
    </row>
    <row r="465" spans="2:9">
      <c r="B465" s="90"/>
      <c r="I465" s="102"/>
    </row>
    <row r="466" spans="2:9">
      <c r="B466" s="90"/>
      <c r="I466" s="102"/>
    </row>
    <row r="467" spans="2:9">
      <c r="B467" s="90"/>
      <c r="I467" s="102"/>
    </row>
    <row r="468" spans="2:9">
      <c r="B468" s="90"/>
      <c r="I468" s="102"/>
    </row>
    <row r="469" spans="2:9">
      <c r="B469" s="90"/>
      <c r="I469" s="102"/>
    </row>
    <row r="470" spans="2:9">
      <c r="B470" s="90"/>
      <c r="I470" s="102"/>
    </row>
    <row r="471" spans="2:9">
      <c r="B471" s="90"/>
      <c r="I471" s="102"/>
    </row>
    <row r="472" spans="2:9">
      <c r="B472" s="90"/>
      <c r="I472" s="102"/>
    </row>
    <row r="473" spans="2:9">
      <c r="B473" s="90"/>
      <c r="I473" s="102"/>
    </row>
    <row r="474" spans="2:9">
      <c r="B474" s="90"/>
      <c r="I474" s="102"/>
    </row>
    <row r="475" spans="2:9">
      <c r="B475" s="90"/>
      <c r="I475" s="102"/>
    </row>
    <row r="476" spans="2:9">
      <c r="B476" s="90"/>
      <c r="I476" s="102"/>
    </row>
    <row r="477" spans="2:9">
      <c r="B477" s="90"/>
      <c r="I477" s="102"/>
    </row>
    <row r="478" spans="2:9">
      <c r="B478" s="90"/>
      <c r="I478" s="102"/>
    </row>
    <row r="479" spans="2:9">
      <c r="B479" s="90"/>
      <c r="I479" s="102"/>
    </row>
    <row r="480" spans="2:9">
      <c r="B480" s="90"/>
      <c r="I480" s="102"/>
    </row>
    <row r="481" spans="2:9">
      <c r="B481" s="90"/>
      <c r="I481" s="102"/>
    </row>
    <row r="482" spans="2:9">
      <c r="B482" s="90"/>
      <c r="I482" s="102"/>
    </row>
    <row r="483" spans="2:9">
      <c r="B483" s="90"/>
      <c r="I483" s="102"/>
    </row>
    <row r="484" spans="2:9">
      <c r="B484" s="90"/>
      <c r="I484" s="102"/>
    </row>
    <row r="485" spans="2:9">
      <c r="B485" s="90"/>
      <c r="I485" s="102"/>
    </row>
    <row r="486" spans="2:9">
      <c r="B486" s="90"/>
      <c r="I486" s="102"/>
    </row>
    <row r="487" spans="2:9">
      <c r="B487" s="90"/>
      <c r="I487" s="102"/>
    </row>
    <row r="488" spans="2:9">
      <c r="B488" s="90"/>
      <c r="I488" s="102"/>
    </row>
    <row r="489" spans="2:9">
      <c r="B489" s="90"/>
      <c r="I489" s="102"/>
    </row>
    <row r="490" spans="2:9">
      <c r="B490" s="90"/>
      <c r="I490" s="102"/>
    </row>
    <row r="491" spans="2:9">
      <c r="B491" s="90"/>
      <c r="I491" s="102"/>
    </row>
    <row r="492" spans="2:9">
      <c r="B492" s="90"/>
      <c r="I492" s="102"/>
    </row>
    <row r="493" spans="2:9">
      <c r="B493" s="90"/>
      <c r="I493" s="102"/>
    </row>
    <row r="494" spans="2:9">
      <c r="B494" s="90"/>
      <c r="I494" s="102"/>
    </row>
    <row r="495" spans="2:9">
      <c r="B495" s="90"/>
      <c r="I495" s="102"/>
    </row>
    <row r="496" spans="2:9">
      <c r="B496" s="90"/>
      <c r="I496" s="102"/>
    </row>
    <row r="497" spans="2:9">
      <c r="B497" s="90"/>
      <c r="I497" s="102"/>
    </row>
    <row r="498" spans="2:9">
      <c r="B498" s="90"/>
      <c r="I498" s="102"/>
    </row>
    <row r="499" spans="2:9">
      <c r="B499" s="90"/>
      <c r="I499" s="102"/>
    </row>
    <row r="500" spans="2:9">
      <c r="B500" s="90"/>
      <c r="I500" s="102"/>
    </row>
    <row r="501" spans="2:9">
      <c r="B501" s="90"/>
      <c r="I501" s="102"/>
    </row>
    <row r="502" spans="2:9">
      <c r="B502" s="90"/>
      <c r="I502" s="102"/>
    </row>
    <row r="503" spans="2:9">
      <c r="B503" s="90"/>
      <c r="I503" s="102"/>
    </row>
    <row r="504" spans="2:9">
      <c r="B504" s="90"/>
      <c r="I504" s="102"/>
    </row>
    <row r="505" spans="2:9">
      <c r="B505" s="90"/>
      <c r="I505" s="102"/>
    </row>
    <row r="506" spans="2:9">
      <c r="B506" s="90"/>
      <c r="I506" s="102"/>
    </row>
    <row r="507" spans="2:9">
      <c r="B507" s="90"/>
      <c r="I507" s="102"/>
    </row>
    <row r="508" spans="2:9">
      <c r="B508" s="90"/>
      <c r="I508" s="102"/>
    </row>
    <row r="509" spans="2:9">
      <c r="B509" s="90"/>
      <c r="I509" s="102"/>
    </row>
    <row r="510" spans="2:9">
      <c r="B510" s="90"/>
      <c r="I510" s="102"/>
    </row>
    <row r="511" spans="2:9">
      <c r="B511" s="90"/>
      <c r="I511" s="102"/>
    </row>
    <row r="512" spans="2:9">
      <c r="B512" s="90"/>
      <c r="I512" s="102"/>
    </row>
    <row r="513" spans="2:9">
      <c r="B513" s="90"/>
      <c r="I513" s="102"/>
    </row>
    <row r="514" spans="2:9">
      <c r="B514" s="90"/>
      <c r="I514" s="102"/>
    </row>
    <row r="515" spans="2:9">
      <c r="B515" s="90"/>
      <c r="I515" s="102"/>
    </row>
    <row r="516" spans="2:9">
      <c r="B516" s="90"/>
      <c r="I516" s="102"/>
    </row>
    <row r="517" spans="2:9">
      <c r="B517" s="90"/>
      <c r="I517" s="102"/>
    </row>
    <row r="518" spans="2:9">
      <c r="B518" s="90"/>
      <c r="I518" s="102"/>
    </row>
    <row r="519" spans="2:9">
      <c r="B519" s="90"/>
      <c r="I519" s="102"/>
    </row>
    <row r="520" spans="2:9">
      <c r="B520" s="90"/>
      <c r="I520" s="102"/>
    </row>
    <row r="521" spans="2:9">
      <c r="B521" s="90"/>
      <c r="I521" s="102"/>
    </row>
    <row r="522" spans="2:9">
      <c r="B522" s="90"/>
      <c r="I522" s="102"/>
    </row>
    <row r="523" spans="2:9">
      <c r="B523" s="90"/>
      <c r="I523" s="102"/>
    </row>
    <row r="524" spans="2:9">
      <c r="B524" s="90"/>
      <c r="I524" s="102"/>
    </row>
    <row r="525" spans="2:9">
      <c r="B525" s="90"/>
      <c r="I525" s="102"/>
    </row>
    <row r="526" spans="2:9">
      <c r="B526" s="90"/>
      <c r="I526" s="102"/>
    </row>
    <row r="527" spans="2:9">
      <c r="B527" s="90"/>
      <c r="I527" s="102"/>
    </row>
    <row r="528" spans="2:9">
      <c r="B528" s="90"/>
      <c r="I528" s="102"/>
    </row>
    <row r="529" spans="2:9">
      <c r="B529" s="90"/>
      <c r="I529" s="102"/>
    </row>
    <row r="530" spans="2:9">
      <c r="B530" s="90"/>
      <c r="I530" s="102"/>
    </row>
    <row r="531" spans="2:9">
      <c r="B531" s="90"/>
      <c r="I531" s="102"/>
    </row>
    <row r="532" spans="2:9">
      <c r="B532" s="90"/>
      <c r="I532" s="102"/>
    </row>
    <row r="533" spans="2:9">
      <c r="B533" s="90"/>
      <c r="I533" s="102"/>
    </row>
    <row r="534" spans="2:9">
      <c r="B534" s="90"/>
      <c r="I534" s="102"/>
    </row>
    <row r="535" spans="2:9">
      <c r="B535" s="90"/>
      <c r="I535" s="102"/>
    </row>
    <row r="536" spans="2:9">
      <c r="B536" s="90"/>
      <c r="I536" s="102"/>
    </row>
    <row r="537" spans="2:9">
      <c r="B537" s="90"/>
      <c r="I537" s="102"/>
    </row>
    <row r="538" spans="2:9">
      <c r="B538" s="90"/>
      <c r="I538" s="102"/>
    </row>
    <row r="539" spans="2:9">
      <c r="B539" s="90"/>
      <c r="I539" s="102"/>
    </row>
    <row r="540" spans="2:9">
      <c r="B540" s="90"/>
      <c r="I540" s="102"/>
    </row>
    <row r="541" spans="2:9">
      <c r="B541" s="90"/>
      <c r="I541" s="102"/>
    </row>
    <row r="542" spans="2:9">
      <c r="B542" s="90"/>
      <c r="I542" s="102"/>
    </row>
    <row r="543" spans="2:9">
      <c r="B543" s="90"/>
      <c r="I543" s="102"/>
    </row>
    <row r="544" spans="2:9">
      <c r="B544" s="90"/>
      <c r="I544" s="102"/>
    </row>
    <row r="545" spans="2:9">
      <c r="B545" s="90"/>
      <c r="I545" s="102"/>
    </row>
    <row r="546" spans="2:9">
      <c r="B546" s="90"/>
      <c r="I546" s="102"/>
    </row>
    <row r="547" spans="2:9">
      <c r="B547" s="90"/>
      <c r="I547" s="102"/>
    </row>
    <row r="548" spans="2:9">
      <c r="B548" s="90"/>
      <c r="I548" s="102"/>
    </row>
    <row r="549" spans="2:9">
      <c r="B549" s="90"/>
      <c r="I549" s="102"/>
    </row>
    <row r="550" spans="2:9">
      <c r="B550" s="90"/>
      <c r="I550" s="102"/>
    </row>
    <row r="551" spans="2:9">
      <c r="B551" s="90"/>
      <c r="I551" s="102"/>
    </row>
    <row r="552" spans="2:9">
      <c r="B552" s="90"/>
      <c r="I552" s="102"/>
    </row>
    <row r="553" spans="2:9">
      <c r="B553" s="90"/>
      <c r="I553" s="102"/>
    </row>
    <row r="554" spans="2:9">
      <c r="B554" s="90"/>
      <c r="I554" s="102"/>
    </row>
    <row r="555" spans="2:9">
      <c r="B555" s="90"/>
      <c r="I555" s="102"/>
    </row>
    <row r="556" spans="2:9">
      <c r="B556" s="90"/>
      <c r="I556" s="102"/>
    </row>
    <row r="557" spans="2:9">
      <c r="B557" s="90"/>
      <c r="I557" s="102"/>
    </row>
    <row r="558" spans="2:9">
      <c r="B558" s="90"/>
      <c r="I558" s="102"/>
    </row>
    <row r="559" spans="2:9">
      <c r="B559" s="90"/>
      <c r="I559" s="102"/>
    </row>
    <row r="560" spans="2:9">
      <c r="B560" s="90"/>
      <c r="I560" s="102"/>
    </row>
    <row r="561" spans="2:9">
      <c r="B561" s="90"/>
      <c r="I561" s="102"/>
    </row>
    <row r="562" spans="2:9">
      <c r="B562" s="90"/>
      <c r="I562" s="102"/>
    </row>
    <row r="563" spans="2:9">
      <c r="B563" s="90"/>
      <c r="I563" s="102"/>
    </row>
    <row r="564" spans="2:9">
      <c r="B564" s="90"/>
      <c r="I564" s="102"/>
    </row>
    <row r="565" spans="2:9">
      <c r="B565" s="90"/>
      <c r="I565" s="102"/>
    </row>
    <row r="566" spans="2:9">
      <c r="B566" s="90"/>
      <c r="I566" s="102"/>
    </row>
    <row r="567" spans="2:9">
      <c r="B567" s="90"/>
      <c r="I567" s="102"/>
    </row>
    <row r="568" spans="2:9">
      <c r="B568" s="90"/>
      <c r="I568" s="102"/>
    </row>
    <row r="569" spans="2:9">
      <c r="B569" s="90"/>
      <c r="I569" s="102"/>
    </row>
    <row r="570" spans="2:9">
      <c r="B570" s="90"/>
      <c r="I570" s="102"/>
    </row>
    <row r="571" spans="2:9">
      <c r="B571" s="90"/>
      <c r="I571" s="102"/>
    </row>
    <row r="572" spans="2:9">
      <c r="B572" s="90"/>
      <c r="I572" s="102"/>
    </row>
    <row r="573" spans="2:9">
      <c r="B573" s="90"/>
      <c r="I573" s="102"/>
    </row>
    <row r="574" spans="2:9">
      <c r="B574" s="90"/>
      <c r="I574" s="102"/>
    </row>
    <row r="575" spans="2:9">
      <c r="B575" s="90"/>
      <c r="I575" s="102"/>
    </row>
    <row r="576" spans="2:9">
      <c r="B576" s="90"/>
      <c r="I576" s="102"/>
    </row>
    <row r="577" spans="2:9">
      <c r="B577" s="90"/>
      <c r="I577" s="102"/>
    </row>
    <row r="578" spans="2:9">
      <c r="B578" s="90"/>
      <c r="I578" s="102"/>
    </row>
    <row r="579" spans="2:9">
      <c r="B579" s="90"/>
      <c r="I579" s="102"/>
    </row>
    <row r="580" spans="2:9">
      <c r="B580" s="90"/>
      <c r="I580" s="102"/>
    </row>
    <row r="581" spans="2:9">
      <c r="B581" s="90"/>
      <c r="I581" s="102"/>
    </row>
    <row r="582" spans="2:9">
      <c r="B582" s="90"/>
      <c r="I582" s="102"/>
    </row>
    <row r="583" spans="2:9">
      <c r="B583" s="90"/>
      <c r="I583" s="102"/>
    </row>
    <row r="584" spans="2:9">
      <c r="B584" s="90"/>
      <c r="I584" s="102"/>
    </row>
    <row r="585" spans="2:9">
      <c r="B585" s="90"/>
      <c r="I585" s="102"/>
    </row>
    <row r="586" spans="2:9">
      <c r="B586" s="90"/>
      <c r="I586" s="102"/>
    </row>
    <row r="587" spans="2:9">
      <c r="B587" s="90"/>
      <c r="I587" s="102"/>
    </row>
    <row r="588" spans="2:9">
      <c r="B588" s="90"/>
      <c r="I588" s="102"/>
    </row>
    <row r="589" spans="2:9">
      <c r="B589" s="90"/>
      <c r="I589" s="102"/>
    </row>
    <row r="590" spans="2:9">
      <c r="B590" s="90"/>
      <c r="I590" s="102"/>
    </row>
    <row r="591" spans="2:9">
      <c r="B591" s="90"/>
      <c r="I591" s="102"/>
    </row>
    <row r="592" spans="2:9">
      <c r="B592" s="90"/>
      <c r="I592" s="102"/>
    </row>
    <row r="593" spans="2:9">
      <c r="B593" s="90"/>
      <c r="I593" s="102"/>
    </row>
    <row r="594" spans="2:9">
      <c r="B594" s="90"/>
      <c r="I594" s="102"/>
    </row>
    <row r="595" spans="2:9">
      <c r="B595" s="90"/>
      <c r="I595" s="102"/>
    </row>
    <row r="596" spans="2:9">
      <c r="B596" s="90"/>
      <c r="I596" s="102"/>
    </row>
    <row r="597" spans="2:9">
      <c r="B597" s="90"/>
      <c r="I597" s="102"/>
    </row>
    <row r="598" spans="2:9">
      <c r="B598" s="90"/>
      <c r="I598" s="102"/>
    </row>
    <row r="599" spans="2:9">
      <c r="B599" s="90"/>
      <c r="I599" s="102"/>
    </row>
    <row r="600" spans="2:9">
      <c r="B600" s="90"/>
      <c r="I600" s="102"/>
    </row>
    <row r="601" spans="2:9">
      <c r="B601" s="90"/>
      <c r="I601" s="102"/>
    </row>
    <row r="602" spans="2:9">
      <c r="B602" s="90"/>
      <c r="I602" s="102"/>
    </row>
    <row r="603" spans="2:9">
      <c r="B603" s="90"/>
      <c r="I603" s="102"/>
    </row>
    <row r="604" spans="2:9">
      <c r="B604" s="90"/>
      <c r="I604" s="102"/>
    </row>
    <row r="605" spans="2:9">
      <c r="B605" s="90"/>
      <c r="I605" s="102"/>
    </row>
    <row r="606" spans="2:9">
      <c r="B606" s="90"/>
      <c r="I606" s="102"/>
    </row>
    <row r="607" spans="2:9">
      <c r="B607" s="90"/>
      <c r="I607" s="102"/>
    </row>
    <row r="608" spans="2:9">
      <c r="B608" s="90"/>
      <c r="I608" s="102"/>
    </row>
    <row r="609" spans="2:9">
      <c r="B609" s="90"/>
      <c r="I609" s="102"/>
    </row>
    <row r="610" spans="2:9">
      <c r="B610" s="90"/>
      <c r="I610" s="102"/>
    </row>
    <row r="611" spans="2:9">
      <c r="B611" s="90"/>
      <c r="I611" s="102"/>
    </row>
    <row r="612" spans="2:9">
      <c r="B612" s="90"/>
      <c r="I612" s="102"/>
    </row>
    <row r="613" spans="2:9">
      <c r="B613" s="90"/>
      <c r="I613" s="102"/>
    </row>
    <row r="614" spans="2:9">
      <c r="B614" s="90"/>
      <c r="I614" s="102"/>
    </row>
    <row r="615" spans="2:9">
      <c r="B615" s="90"/>
      <c r="I615" s="102"/>
    </row>
    <row r="616" spans="2:9">
      <c r="B616" s="90"/>
      <c r="I616" s="102"/>
    </row>
    <row r="617" spans="2:9">
      <c r="B617" s="90"/>
      <c r="I617" s="102"/>
    </row>
    <row r="618" spans="2:9">
      <c r="B618" s="90"/>
      <c r="I618" s="102"/>
    </row>
    <row r="619" spans="2:9">
      <c r="B619" s="90"/>
      <c r="I619" s="102"/>
    </row>
    <row r="620" spans="2:9">
      <c r="B620" s="90"/>
      <c r="I620" s="102"/>
    </row>
    <row r="621" spans="2:9">
      <c r="B621" s="90"/>
      <c r="I621" s="102"/>
    </row>
    <row r="622" spans="2:9">
      <c r="B622" s="90"/>
      <c r="I622" s="102"/>
    </row>
    <row r="623" spans="2:9">
      <c r="B623" s="90"/>
      <c r="I623" s="102"/>
    </row>
    <row r="624" spans="2:9">
      <c r="B624" s="90"/>
      <c r="I624" s="102"/>
    </row>
    <row r="625" spans="2:9">
      <c r="B625" s="90"/>
      <c r="I625" s="102"/>
    </row>
    <row r="626" spans="2:9">
      <c r="B626" s="90"/>
      <c r="I626" s="102"/>
    </row>
    <row r="627" spans="2:9">
      <c r="B627" s="90"/>
      <c r="I627" s="102"/>
    </row>
    <row r="628" spans="2:9">
      <c r="B628" s="90"/>
      <c r="I628" s="102"/>
    </row>
    <row r="629" spans="2:9">
      <c r="B629" s="90"/>
      <c r="I629" s="102"/>
    </row>
    <row r="630" spans="2:9">
      <c r="B630" s="90"/>
      <c r="I630" s="102"/>
    </row>
    <row r="631" spans="2:9">
      <c r="B631" s="90"/>
      <c r="I631" s="102"/>
    </row>
    <row r="632" spans="2:9">
      <c r="B632" s="90"/>
      <c r="I632" s="102"/>
    </row>
    <row r="633" spans="2:9">
      <c r="B633" s="90"/>
      <c r="I633" s="102"/>
    </row>
    <row r="634" spans="2:9">
      <c r="B634" s="90"/>
      <c r="I634" s="102"/>
    </row>
    <row r="635" spans="2:9">
      <c r="B635" s="90"/>
      <c r="I635" s="102"/>
    </row>
    <row r="636" spans="2:9">
      <c r="B636" s="90"/>
      <c r="I636" s="102"/>
    </row>
    <row r="637" spans="2:9">
      <c r="B637" s="90"/>
      <c r="I637" s="102"/>
    </row>
    <row r="638" spans="2:9">
      <c r="B638" s="90"/>
      <c r="I638" s="102"/>
    </row>
    <row r="639" spans="2:9">
      <c r="B639" s="90"/>
      <c r="I639" s="102"/>
    </row>
    <row r="640" spans="2:9">
      <c r="B640" s="90"/>
      <c r="I640" s="102"/>
    </row>
    <row r="641" spans="2:9">
      <c r="B641" s="90"/>
      <c r="I641" s="102"/>
    </row>
    <row r="642" spans="2:9">
      <c r="B642" s="90"/>
      <c r="I642" s="102"/>
    </row>
    <row r="643" spans="2:9">
      <c r="B643" s="90"/>
      <c r="I643" s="102"/>
    </row>
    <row r="644" spans="2:9">
      <c r="B644" s="90"/>
      <c r="I644" s="102"/>
    </row>
    <row r="645" spans="2:9">
      <c r="B645" s="90"/>
      <c r="I645" s="102"/>
    </row>
    <row r="646" spans="2:9">
      <c r="B646" s="90"/>
      <c r="I646" s="102"/>
    </row>
    <row r="647" spans="2:9">
      <c r="B647" s="90"/>
      <c r="I647" s="102"/>
    </row>
    <row r="648" spans="2:9">
      <c r="B648" s="90"/>
      <c r="I648" s="102"/>
    </row>
    <row r="649" spans="2:9">
      <c r="B649" s="90"/>
      <c r="I649" s="102"/>
    </row>
    <row r="650" spans="2:9">
      <c r="B650" s="90"/>
      <c r="I650" s="102"/>
    </row>
    <row r="651" spans="2:9">
      <c r="B651" s="90"/>
      <c r="I651" s="102"/>
    </row>
    <row r="652" spans="2:9">
      <c r="B652" s="90"/>
      <c r="I652" s="102"/>
    </row>
    <row r="653" spans="2:9">
      <c r="B653" s="90"/>
      <c r="I653" s="102"/>
    </row>
    <row r="654" spans="2:9">
      <c r="B654" s="90"/>
      <c r="I654" s="102"/>
    </row>
    <row r="655" spans="2:9">
      <c r="B655" s="90"/>
      <c r="I655" s="102"/>
    </row>
    <row r="656" spans="2:9">
      <c r="B656" s="90"/>
      <c r="I656" s="102"/>
    </row>
    <row r="657" spans="2:9">
      <c r="B657" s="90"/>
      <c r="I657" s="102"/>
    </row>
    <row r="658" spans="2:9">
      <c r="B658" s="90"/>
      <c r="I658" s="102"/>
    </row>
    <row r="659" spans="2:9">
      <c r="B659" s="90"/>
      <c r="I659" s="102"/>
    </row>
    <row r="660" spans="2:9">
      <c r="B660" s="90"/>
      <c r="I660" s="102"/>
    </row>
    <row r="661" spans="2:9">
      <c r="B661" s="90"/>
      <c r="I661" s="102"/>
    </row>
    <row r="662" spans="2:9">
      <c r="B662" s="90"/>
      <c r="I662" s="102"/>
    </row>
    <row r="663" spans="2:9">
      <c r="B663" s="90"/>
      <c r="I663" s="102"/>
    </row>
    <row r="664" spans="2:9">
      <c r="B664" s="90"/>
      <c r="I664" s="102"/>
    </row>
    <row r="665" spans="2:9">
      <c r="B665" s="90"/>
      <c r="I665" s="102"/>
    </row>
    <row r="666" spans="2:9">
      <c r="B666" s="90"/>
      <c r="I666" s="102"/>
    </row>
    <row r="667" spans="2:9">
      <c r="B667" s="90"/>
      <c r="I667" s="102"/>
    </row>
    <row r="668" spans="2:9">
      <c r="B668" s="90"/>
      <c r="I668" s="102"/>
    </row>
    <row r="669" spans="2:9">
      <c r="B669" s="90"/>
      <c r="I669" s="102"/>
    </row>
    <row r="670" spans="2:9">
      <c r="B670" s="90"/>
      <c r="I670" s="102"/>
    </row>
    <row r="671" spans="2:9">
      <c r="B671" s="90"/>
      <c r="I671" s="102"/>
    </row>
    <row r="672" spans="2:9">
      <c r="B672" s="90"/>
      <c r="I672" s="102"/>
    </row>
    <row r="673" spans="2:9">
      <c r="B673" s="90"/>
      <c r="I673" s="102"/>
    </row>
    <row r="674" spans="2:9">
      <c r="B674" s="90"/>
      <c r="I674" s="102"/>
    </row>
    <row r="675" spans="2:9">
      <c r="B675" s="90"/>
      <c r="I675" s="102"/>
    </row>
    <row r="676" spans="2:9">
      <c r="B676" s="90"/>
      <c r="I676" s="102"/>
    </row>
    <row r="677" spans="2:9">
      <c r="B677" s="90"/>
      <c r="I677" s="102"/>
    </row>
    <row r="678" spans="2:9">
      <c r="B678" s="90"/>
      <c r="I678" s="102"/>
    </row>
    <row r="679" spans="2:9">
      <c r="B679" s="90"/>
      <c r="I679" s="102"/>
    </row>
    <row r="680" spans="2:9">
      <c r="B680" s="90"/>
      <c r="I680" s="102"/>
    </row>
    <row r="681" spans="2:9">
      <c r="B681" s="90"/>
      <c r="I681" s="102"/>
    </row>
    <row r="682" spans="2:9">
      <c r="B682" s="90"/>
      <c r="I682" s="102"/>
    </row>
    <row r="683" spans="2:9">
      <c r="B683" s="90"/>
      <c r="I683" s="102"/>
    </row>
    <row r="684" spans="2:9">
      <c r="B684" s="90"/>
      <c r="I684" s="102"/>
    </row>
    <row r="685" spans="2:9">
      <c r="B685" s="90"/>
      <c r="I685" s="102"/>
    </row>
    <row r="686" spans="2:9">
      <c r="B686" s="90"/>
      <c r="I686" s="102"/>
    </row>
    <row r="687" spans="2:9">
      <c r="B687" s="90"/>
      <c r="I687" s="102"/>
    </row>
    <row r="688" spans="2:9">
      <c r="B688" s="90"/>
      <c r="I688" s="102"/>
    </row>
    <row r="689" spans="2:9">
      <c r="B689" s="90"/>
      <c r="I689" s="102"/>
    </row>
    <row r="690" spans="2:9">
      <c r="B690" s="90"/>
      <c r="I690" s="102"/>
    </row>
    <row r="691" spans="2:9">
      <c r="B691" s="90"/>
      <c r="I691" s="102"/>
    </row>
    <row r="692" spans="2:9">
      <c r="B692" s="90"/>
      <c r="I692" s="102"/>
    </row>
    <row r="693" spans="2:9">
      <c r="B693" s="90"/>
      <c r="I693" s="102"/>
    </row>
    <row r="694" spans="2:9">
      <c r="B694" s="90"/>
      <c r="I694" s="102"/>
    </row>
    <row r="695" spans="2:9">
      <c r="B695" s="90"/>
      <c r="I695" s="102"/>
    </row>
    <row r="696" spans="2:9">
      <c r="B696" s="90"/>
      <c r="I696" s="102"/>
    </row>
    <row r="697" spans="2:9">
      <c r="B697" s="90"/>
      <c r="I697" s="102"/>
    </row>
    <row r="698" spans="2:9">
      <c r="B698" s="90"/>
      <c r="I698" s="102"/>
    </row>
    <row r="699" spans="2:9">
      <c r="B699" s="90"/>
      <c r="I699" s="102"/>
    </row>
    <row r="700" spans="2:9">
      <c r="B700" s="90"/>
      <c r="I700" s="102"/>
    </row>
    <row r="701" spans="2:9">
      <c r="B701" s="90"/>
      <c r="I701" s="102"/>
    </row>
    <row r="702" spans="2:9">
      <c r="B702" s="90"/>
      <c r="I702" s="102"/>
    </row>
    <row r="703" spans="2:9">
      <c r="B703" s="90"/>
      <c r="I703" s="102"/>
    </row>
    <row r="704" spans="2:9">
      <c r="B704" s="90"/>
      <c r="I704" s="102"/>
    </row>
    <row r="705" spans="2:9">
      <c r="B705" s="90"/>
      <c r="I705" s="102"/>
    </row>
    <row r="706" spans="2:9">
      <c r="B706" s="90"/>
      <c r="I706" s="102"/>
    </row>
    <row r="707" spans="2:9">
      <c r="B707" s="90"/>
      <c r="I707" s="102"/>
    </row>
    <row r="708" spans="2:9">
      <c r="B708" s="90"/>
      <c r="I708" s="102"/>
    </row>
    <row r="709" spans="2:9">
      <c r="B709" s="90"/>
      <c r="I709" s="102"/>
    </row>
    <row r="710" spans="2:9">
      <c r="B710" s="90"/>
      <c r="I710" s="102"/>
    </row>
    <row r="711" spans="2:9">
      <c r="B711" s="90"/>
      <c r="I711" s="102"/>
    </row>
    <row r="712" spans="2:9">
      <c r="B712" s="90"/>
      <c r="I712" s="102"/>
    </row>
    <row r="713" spans="2:9">
      <c r="B713" s="90"/>
      <c r="I713" s="102"/>
    </row>
    <row r="714" spans="2:9">
      <c r="B714" s="90"/>
      <c r="I714" s="102"/>
    </row>
    <row r="715" spans="2:9">
      <c r="B715" s="90"/>
      <c r="I715" s="102"/>
    </row>
    <row r="716" spans="2:9">
      <c r="B716" s="90"/>
      <c r="I716" s="102"/>
    </row>
    <row r="717" spans="2:9">
      <c r="B717" s="90"/>
      <c r="I717" s="102"/>
    </row>
    <row r="718" spans="2:9">
      <c r="B718" s="90"/>
      <c r="I718" s="102"/>
    </row>
    <row r="719" spans="2:9">
      <c r="B719" s="90"/>
      <c r="I719" s="102"/>
    </row>
    <row r="720" spans="2:9">
      <c r="B720" s="90"/>
      <c r="I720" s="102"/>
    </row>
    <row r="721" spans="2:9">
      <c r="B721" s="90"/>
      <c r="I721" s="102"/>
    </row>
    <row r="722" spans="2:9">
      <c r="B722" s="90"/>
      <c r="I722" s="102"/>
    </row>
    <row r="723" spans="2:9">
      <c r="B723" s="90"/>
      <c r="I723" s="102"/>
    </row>
    <row r="724" spans="2:9">
      <c r="B724" s="90"/>
      <c r="I724" s="102"/>
    </row>
    <row r="725" spans="2:9">
      <c r="B725" s="90"/>
      <c r="I725" s="102"/>
    </row>
    <row r="726" spans="2:9">
      <c r="B726" s="90"/>
      <c r="I726" s="102"/>
    </row>
    <row r="727" spans="2:9">
      <c r="B727" s="90"/>
      <c r="I727" s="102"/>
    </row>
    <row r="728" spans="2:9">
      <c r="B728" s="90"/>
      <c r="I728" s="102"/>
    </row>
    <row r="729" spans="2:9">
      <c r="B729" s="90"/>
      <c r="I729" s="102"/>
    </row>
    <row r="730" spans="2:9">
      <c r="B730" s="90"/>
      <c r="I730" s="102"/>
    </row>
    <row r="731" spans="2:9">
      <c r="B731" s="90"/>
      <c r="I731" s="102"/>
    </row>
    <row r="732" spans="2:9">
      <c r="B732" s="90"/>
      <c r="I732" s="102"/>
    </row>
    <row r="733" spans="2:9">
      <c r="B733" s="90"/>
      <c r="I733" s="102"/>
    </row>
    <row r="734" spans="2:9">
      <c r="B734" s="90"/>
      <c r="I734" s="102"/>
    </row>
    <row r="735" spans="2:9">
      <c r="B735" s="90"/>
      <c r="I735" s="102"/>
    </row>
    <row r="736" spans="2:9">
      <c r="B736" s="90"/>
      <c r="I736" s="102"/>
    </row>
    <row r="737" spans="2:9">
      <c r="B737" s="90"/>
      <c r="I737" s="102"/>
    </row>
    <row r="738" spans="2:9">
      <c r="B738" s="90"/>
      <c r="I738" s="102"/>
    </row>
    <row r="739" spans="2:9">
      <c r="B739" s="90"/>
      <c r="I739" s="102"/>
    </row>
    <row r="740" spans="2:9">
      <c r="B740" s="90"/>
      <c r="I740" s="102"/>
    </row>
    <row r="741" spans="2:9">
      <c r="B741" s="90"/>
      <c r="I741" s="102"/>
    </row>
    <row r="742" spans="2:9">
      <c r="B742" s="90"/>
      <c r="I742" s="102"/>
    </row>
    <row r="743" spans="2:9">
      <c r="B743" s="90"/>
      <c r="I743" s="102"/>
    </row>
    <row r="744" spans="2:9">
      <c r="B744" s="90"/>
      <c r="I744" s="102"/>
    </row>
    <row r="745" spans="2:9">
      <c r="B745" s="90"/>
      <c r="I745" s="102"/>
    </row>
    <row r="746" spans="2:9">
      <c r="B746" s="90"/>
      <c r="I746" s="102"/>
    </row>
    <row r="747" spans="2:9">
      <c r="B747" s="90"/>
      <c r="I747" s="102"/>
    </row>
    <row r="748" spans="2:9">
      <c r="B748" s="90"/>
      <c r="I748" s="102"/>
    </row>
    <row r="749" spans="2:9">
      <c r="B749" s="90"/>
      <c r="I749" s="102"/>
    </row>
    <row r="750" spans="2:9">
      <c r="B750" s="90"/>
      <c r="I750" s="102"/>
    </row>
    <row r="751" spans="2:9">
      <c r="B751" s="90"/>
      <c r="I751" s="102"/>
    </row>
    <row r="752" spans="2:9">
      <c r="B752" s="90"/>
      <c r="I752" s="102"/>
    </row>
    <row r="753" spans="2:9">
      <c r="B753" s="90"/>
      <c r="I753" s="102"/>
    </row>
    <row r="754" spans="2:9">
      <c r="B754" s="90"/>
      <c r="I754" s="102"/>
    </row>
    <row r="755" spans="2:9">
      <c r="B755" s="90"/>
      <c r="I755" s="102"/>
    </row>
    <row r="756" spans="2:9">
      <c r="B756" s="90"/>
      <c r="I756" s="102"/>
    </row>
    <row r="757" spans="2:9">
      <c r="B757" s="90"/>
      <c r="I757" s="102"/>
    </row>
    <row r="758" spans="2:9">
      <c r="B758" s="90"/>
      <c r="I758" s="102"/>
    </row>
    <row r="759" spans="2:9">
      <c r="B759" s="90"/>
      <c r="I759" s="102"/>
    </row>
    <row r="760" spans="2:9">
      <c r="B760" s="90"/>
      <c r="I760" s="102"/>
    </row>
    <row r="761" spans="2:9">
      <c r="B761" s="90"/>
      <c r="I761" s="102"/>
    </row>
    <row r="762" spans="2:9">
      <c r="B762" s="90"/>
      <c r="I762" s="102"/>
    </row>
    <row r="763" spans="2:9">
      <c r="B763" s="90"/>
      <c r="I763" s="102"/>
    </row>
    <row r="764" spans="2:9">
      <c r="B764" s="90"/>
      <c r="I764" s="102"/>
    </row>
    <row r="765" spans="2:9">
      <c r="B765" s="90"/>
      <c r="I765" s="102"/>
    </row>
    <row r="766" spans="2:9">
      <c r="B766" s="90"/>
      <c r="I766" s="102"/>
    </row>
    <row r="767" spans="2:9">
      <c r="B767" s="90"/>
      <c r="I767" s="102"/>
    </row>
    <row r="768" spans="2:9">
      <c r="B768" s="90"/>
      <c r="I768" s="102"/>
    </row>
    <row r="769" spans="2:9">
      <c r="B769" s="90"/>
      <c r="I769" s="102"/>
    </row>
    <row r="770" spans="2:9">
      <c r="B770" s="90"/>
      <c r="I770" s="102"/>
    </row>
    <row r="771" spans="2:9">
      <c r="B771" s="90"/>
      <c r="I771" s="102"/>
    </row>
    <row r="772" spans="2:9">
      <c r="B772" s="90"/>
      <c r="I772" s="102"/>
    </row>
    <row r="773" spans="2:9">
      <c r="B773" s="90"/>
      <c r="I773" s="102"/>
    </row>
    <row r="774" spans="2:9">
      <c r="B774" s="90"/>
      <c r="I774" s="102"/>
    </row>
    <row r="775" spans="2:9">
      <c r="B775" s="90"/>
      <c r="I775" s="102"/>
    </row>
    <row r="776" spans="2:9">
      <c r="B776" s="90"/>
      <c r="I776" s="102"/>
    </row>
    <row r="777" spans="2:9">
      <c r="B777" s="90"/>
      <c r="I777" s="102"/>
    </row>
    <row r="778" spans="2:9">
      <c r="B778" s="90"/>
      <c r="I778" s="102"/>
    </row>
    <row r="779" spans="2:9">
      <c r="B779" s="90"/>
      <c r="I779" s="102"/>
    </row>
    <row r="780" spans="2:9">
      <c r="B780" s="90"/>
      <c r="I780" s="102"/>
    </row>
    <row r="781" spans="2:9">
      <c r="B781" s="90"/>
      <c r="I781" s="102"/>
    </row>
    <row r="782" spans="2:9">
      <c r="B782" s="90"/>
      <c r="I782" s="102"/>
    </row>
    <row r="783" spans="2:9">
      <c r="B783" s="90"/>
      <c r="I783" s="102"/>
    </row>
    <row r="784" spans="2:9">
      <c r="B784" s="90"/>
      <c r="I784" s="102"/>
    </row>
    <row r="785" spans="2:9">
      <c r="B785" s="90"/>
      <c r="I785" s="102"/>
    </row>
    <row r="786" spans="2:9">
      <c r="B786" s="90"/>
      <c r="I786" s="102"/>
    </row>
    <row r="787" spans="2:9">
      <c r="B787" s="90"/>
      <c r="I787" s="102"/>
    </row>
    <row r="788" spans="2:9">
      <c r="B788" s="90"/>
      <c r="I788" s="102"/>
    </row>
    <row r="789" spans="2:9">
      <c r="B789" s="90"/>
      <c r="I789" s="102"/>
    </row>
    <row r="790" spans="2:9">
      <c r="B790" s="90"/>
      <c r="I790" s="102"/>
    </row>
    <row r="791" spans="2:9">
      <c r="B791" s="90"/>
      <c r="I791" s="102"/>
    </row>
    <row r="792" spans="2:9">
      <c r="B792" s="90"/>
      <c r="I792" s="102"/>
    </row>
    <row r="793" spans="2:9">
      <c r="B793" s="90"/>
      <c r="I793" s="102"/>
    </row>
    <row r="794" spans="2:9">
      <c r="B794" s="90"/>
      <c r="I794" s="102"/>
    </row>
    <row r="795" spans="2:9">
      <c r="B795" s="90"/>
      <c r="I795" s="102"/>
    </row>
    <row r="796" spans="2:9">
      <c r="B796" s="90"/>
      <c r="I796" s="102"/>
    </row>
    <row r="797" spans="2:9">
      <c r="B797" s="90"/>
      <c r="I797" s="102"/>
    </row>
    <row r="798" spans="2:9">
      <c r="B798" s="90"/>
      <c r="I798" s="102"/>
    </row>
    <row r="799" spans="2:9">
      <c r="B799" s="90"/>
      <c r="I799" s="102"/>
    </row>
    <row r="800" spans="2:9">
      <c r="B800" s="90"/>
      <c r="I800" s="102"/>
    </row>
    <row r="801" spans="2:9">
      <c r="B801" s="90"/>
      <c r="I801" s="102"/>
    </row>
    <row r="802" spans="2:9">
      <c r="B802" s="90"/>
      <c r="I802" s="102"/>
    </row>
    <row r="803" spans="2:9">
      <c r="B803" s="90"/>
      <c r="I803" s="102"/>
    </row>
    <row r="804" spans="2:9">
      <c r="B804" s="90"/>
      <c r="I804" s="102"/>
    </row>
    <row r="805" spans="2:9">
      <c r="B805" s="90"/>
      <c r="I805" s="102"/>
    </row>
    <row r="806" spans="2:9">
      <c r="B806" s="90"/>
      <c r="I806" s="102"/>
    </row>
    <row r="807" spans="2:9">
      <c r="B807" s="90"/>
      <c r="I807" s="102"/>
    </row>
    <row r="808" spans="2:9">
      <c r="B808" s="90"/>
      <c r="I808" s="102"/>
    </row>
    <row r="809" spans="2:9">
      <c r="B809" s="90"/>
      <c r="I809" s="102"/>
    </row>
    <row r="810" spans="2:9">
      <c r="B810" s="90"/>
      <c r="I810" s="102"/>
    </row>
    <row r="811" spans="2:9">
      <c r="B811" s="90"/>
      <c r="I811" s="102"/>
    </row>
    <row r="812" spans="2:9">
      <c r="B812" s="90"/>
      <c r="I812" s="102"/>
    </row>
    <row r="813" spans="2:9">
      <c r="B813" s="90"/>
      <c r="I813" s="102"/>
    </row>
    <row r="814" spans="2:9">
      <c r="B814" s="90"/>
      <c r="I814" s="102"/>
    </row>
    <row r="815" spans="2:9">
      <c r="B815" s="90"/>
      <c r="I815" s="102"/>
    </row>
    <row r="816" spans="2:9">
      <c r="B816" s="90"/>
      <c r="I816" s="102"/>
    </row>
    <row r="817" spans="2:9">
      <c r="B817" s="90"/>
      <c r="I817" s="102"/>
    </row>
    <row r="818" spans="2:9">
      <c r="B818" s="90"/>
      <c r="I818" s="102"/>
    </row>
    <row r="819" spans="2:9">
      <c r="B819" s="90"/>
      <c r="I819" s="102"/>
    </row>
    <row r="820" spans="2:9">
      <c r="B820" s="90"/>
      <c r="I820" s="102"/>
    </row>
    <row r="821" spans="2:9">
      <c r="B821" s="90"/>
      <c r="I821" s="102"/>
    </row>
    <row r="822" spans="2:9">
      <c r="B822" s="90"/>
      <c r="I822" s="102"/>
    </row>
    <row r="823" spans="2:9">
      <c r="B823" s="90"/>
      <c r="I823" s="102"/>
    </row>
    <row r="824" spans="2:9">
      <c r="B824" s="90"/>
      <c r="I824" s="102"/>
    </row>
    <row r="825" spans="2:9">
      <c r="B825" s="90"/>
      <c r="I825" s="102"/>
    </row>
    <row r="826" spans="2:9">
      <c r="B826" s="90"/>
      <c r="I826" s="102"/>
    </row>
    <row r="827" spans="2:9">
      <c r="B827" s="90"/>
      <c r="I827" s="102"/>
    </row>
    <row r="828" spans="2:9">
      <c r="B828" s="90"/>
      <c r="I828" s="102"/>
    </row>
    <row r="829" spans="2:9">
      <c r="B829" s="90"/>
      <c r="I829" s="102"/>
    </row>
    <row r="830" spans="2:9">
      <c r="B830" s="90"/>
      <c r="I830" s="102"/>
    </row>
    <row r="831" spans="2:9">
      <c r="B831" s="90"/>
      <c r="I831" s="102"/>
    </row>
    <row r="832" spans="2:9">
      <c r="B832" s="90"/>
      <c r="I832" s="102"/>
    </row>
    <row r="833" spans="2:9">
      <c r="B833" s="90"/>
      <c r="I833" s="102"/>
    </row>
    <row r="834" spans="2:9">
      <c r="B834" s="90"/>
      <c r="I834" s="102"/>
    </row>
    <row r="835" spans="2:9">
      <c r="B835" s="90"/>
      <c r="I835" s="102"/>
    </row>
    <row r="836" spans="2:9">
      <c r="B836" s="90"/>
      <c r="I836" s="102"/>
    </row>
    <row r="837" spans="2:9">
      <c r="B837" s="90"/>
      <c r="I837" s="102"/>
    </row>
    <row r="838" spans="2:9">
      <c r="B838" s="90"/>
      <c r="I838" s="102"/>
    </row>
    <row r="839" spans="2:9">
      <c r="B839" s="90"/>
      <c r="I839" s="102"/>
    </row>
    <row r="840" spans="2:9">
      <c r="B840" s="90"/>
      <c r="I840" s="102"/>
    </row>
    <row r="841" spans="2:9">
      <c r="B841" s="90"/>
      <c r="I841" s="102"/>
    </row>
    <row r="842" spans="2:9">
      <c r="B842" s="90"/>
      <c r="I842" s="102"/>
    </row>
    <row r="843" spans="2:9">
      <c r="B843" s="90"/>
      <c r="I843" s="102"/>
    </row>
    <row r="844" spans="2:9">
      <c r="B844" s="90"/>
      <c r="I844" s="102"/>
    </row>
    <row r="845" spans="2:9">
      <c r="B845" s="90"/>
      <c r="I845" s="102"/>
    </row>
    <row r="846" spans="2:9">
      <c r="B846" s="90"/>
      <c r="I846" s="102"/>
    </row>
    <row r="847" spans="2:9">
      <c r="B847" s="90"/>
      <c r="I847" s="102"/>
    </row>
    <row r="848" spans="2:9">
      <c r="B848" s="90"/>
      <c r="I848" s="102"/>
    </row>
    <row r="849" spans="2:9">
      <c r="B849" s="90"/>
      <c r="I849" s="102"/>
    </row>
    <row r="850" spans="2:9">
      <c r="B850" s="90"/>
      <c r="I850" s="102"/>
    </row>
    <row r="851" spans="2:9">
      <c r="B851" s="90"/>
      <c r="I851" s="102"/>
    </row>
    <row r="852" spans="2:9">
      <c r="B852" s="90"/>
      <c r="I852" s="102"/>
    </row>
    <row r="853" spans="2:9">
      <c r="B853" s="90"/>
      <c r="I853" s="102"/>
    </row>
    <row r="854" spans="2:9">
      <c r="B854" s="90"/>
      <c r="I854" s="102"/>
    </row>
    <row r="855" spans="2:9">
      <c r="B855" s="90"/>
      <c r="I855" s="102"/>
    </row>
    <row r="856" spans="2:9">
      <c r="B856" s="90"/>
      <c r="I856" s="102"/>
    </row>
    <row r="857" spans="2:9">
      <c r="B857" s="90"/>
      <c r="I857" s="102"/>
    </row>
    <row r="858" spans="2:9">
      <c r="B858" s="90"/>
      <c r="I858" s="102"/>
    </row>
    <row r="859" spans="2:9">
      <c r="B859" s="90"/>
      <c r="I859" s="102"/>
    </row>
    <row r="860" spans="2:9">
      <c r="B860" s="90"/>
      <c r="I860" s="102"/>
    </row>
    <row r="861" spans="2:9">
      <c r="B861" s="90"/>
      <c r="I861" s="102"/>
    </row>
    <row r="862" spans="2:9">
      <c r="B862" s="90"/>
      <c r="I862" s="102"/>
    </row>
    <row r="863" spans="2:9">
      <c r="B863" s="90"/>
      <c r="I863" s="102"/>
    </row>
    <row r="864" spans="2:9">
      <c r="B864" s="90"/>
      <c r="I864" s="102"/>
    </row>
    <row r="865" spans="2:9">
      <c r="B865" s="90"/>
      <c r="I865" s="102"/>
    </row>
    <row r="866" spans="2:9">
      <c r="B866" s="90"/>
      <c r="I866" s="102"/>
    </row>
    <row r="867" spans="2:9">
      <c r="B867" s="90"/>
      <c r="I867" s="102"/>
    </row>
    <row r="868" spans="2:9">
      <c r="B868" s="90"/>
      <c r="I868" s="102"/>
    </row>
    <row r="869" spans="2:9">
      <c r="B869" s="90"/>
      <c r="I869" s="102"/>
    </row>
    <row r="870" spans="2:9">
      <c r="B870" s="90"/>
      <c r="I870" s="102"/>
    </row>
    <row r="871" spans="2:9">
      <c r="B871" s="90"/>
      <c r="I871" s="102"/>
    </row>
    <row r="872" spans="2:9">
      <c r="B872" s="90"/>
      <c r="I872" s="102"/>
    </row>
    <row r="873" spans="2:9">
      <c r="B873" s="90"/>
      <c r="I873" s="102"/>
    </row>
    <row r="874" spans="2:9">
      <c r="B874" s="90"/>
      <c r="I874" s="102"/>
    </row>
    <row r="875" spans="2:9">
      <c r="B875" s="90"/>
      <c r="I875" s="102"/>
    </row>
    <row r="876" spans="2:9">
      <c r="B876" s="90"/>
      <c r="I876" s="102"/>
    </row>
    <row r="877" spans="2:9">
      <c r="B877" s="90"/>
      <c r="I877" s="102"/>
    </row>
    <row r="878" spans="2:9">
      <c r="B878" s="90"/>
      <c r="I878" s="102"/>
    </row>
    <row r="879" spans="2:9">
      <c r="B879" s="90"/>
      <c r="I879" s="102"/>
    </row>
    <row r="880" spans="2:9">
      <c r="B880" s="90"/>
      <c r="I880" s="102"/>
    </row>
    <row r="881" spans="2:9">
      <c r="B881" s="90"/>
      <c r="I881" s="102"/>
    </row>
    <row r="882" spans="2:9">
      <c r="B882" s="90"/>
      <c r="I882" s="102"/>
    </row>
    <row r="883" spans="2:9">
      <c r="B883" s="90"/>
      <c r="I883" s="102"/>
    </row>
    <row r="884" spans="2:9">
      <c r="B884" s="90"/>
      <c r="I884" s="102"/>
    </row>
    <row r="885" spans="2:9">
      <c r="B885" s="90"/>
      <c r="I885" s="102"/>
    </row>
    <row r="886" spans="2:9">
      <c r="B886" s="90"/>
      <c r="I886" s="102"/>
    </row>
    <row r="887" spans="2:9">
      <c r="B887" s="90"/>
      <c r="I887" s="102"/>
    </row>
    <row r="888" spans="2:9">
      <c r="B888" s="90"/>
      <c r="I888" s="102"/>
    </row>
    <row r="889" spans="2:9">
      <c r="B889" s="90"/>
      <c r="I889" s="102"/>
    </row>
    <row r="890" spans="2:9">
      <c r="B890" s="90"/>
      <c r="I890" s="102"/>
    </row>
    <row r="891" spans="2:9">
      <c r="B891" s="90"/>
      <c r="I891" s="102"/>
    </row>
    <row r="892" spans="2:9">
      <c r="B892" s="90"/>
      <c r="I892" s="102"/>
    </row>
    <row r="893" spans="2:9">
      <c r="B893" s="90"/>
      <c r="I893" s="102"/>
    </row>
    <row r="894" spans="2:9">
      <c r="B894" s="90"/>
      <c r="I894" s="102"/>
    </row>
    <row r="895" spans="2:9">
      <c r="B895" s="90"/>
      <c r="I895" s="102"/>
    </row>
    <row r="896" spans="2:9">
      <c r="B896" s="90"/>
      <c r="I896" s="102"/>
    </row>
    <row r="897" spans="2:9">
      <c r="B897" s="90"/>
      <c r="I897" s="102"/>
    </row>
    <row r="898" spans="2:9">
      <c r="B898" s="90"/>
      <c r="I898" s="102"/>
    </row>
    <row r="899" spans="2:9">
      <c r="B899" s="90"/>
      <c r="I899" s="102"/>
    </row>
    <row r="900" spans="2:9">
      <c r="B900" s="90"/>
      <c r="I900" s="102"/>
    </row>
    <row r="901" spans="2:9">
      <c r="B901" s="90"/>
      <c r="I901" s="102"/>
    </row>
    <row r="902" spans="2:9">
      <c r="B902" s="90"/>
      <c r="I902" s="102"/>
    </row>
    <row r="903" spans="2:9">
      <c r="B903" s="90"/>
      <c r="I903" s="102"/>
    </row>
    <row r="904" spans="2:9">
      <c r="B904" s="90"/>
      <c r="I904" s="102"/>
    </row>
    <row r="905" spans="2:9">
      <c r="B905" s="90"/>
      <c r="I905" s="102"/>
    </row>
    <row r="906" spans="2:9">
      <c r="B906" s="90"/>
      <c r="I906" s="102"/>
    </row>
    <row r="907" spans="2:9">
      <c r="B907" s="90"/>
      <c r="I907" s="102"/>
    </row>
    <row r="908" spans="2:9">
      <c r="B908" s="90"/>
      <c r="I908" s="102"/>
    </row>
    <row r="909" spans="2:9">
      <c r="B909" s="90"/>
      <c r="I909" s="102"/>
    </row>
    <row r="910" spans="2:9">
      <c r="B910" s="90"/>
      <c r="I910" s="102"/>
    </row>
    <row r="911" spans="2:9">
      <c r="B911" s="90"/>
      <c r="I911" s="102"/>
    </row>
    <row r="912" spans="2:9">
      <c r="B912" s="90"/>
      <c r="I912" s="102"/>
    </row>
    <row r="913" spans="2:9">
      <c r="B913" s="90"/>
      <c r="I913" s="102"/>
    </row>
    <row r="914" spans="2:9">
      <c r="B914" s="90"/>
      <c r="I914" s="102"/>
    </row>
    <row r="915" spans="2:9">
      <c r="B915" s="90"/>
      <c r="I915" s="102"/>
    </row>
    <row r="916" spans="2:9">
      <c r="B916" s="90"/>
      <c r="I916" s="102"/>
    </row>
    <row r="917" spans="2:9">
      <c r="B917" s="90"/>
      <c r="I917" s="102"/>
    </row>
    <row r="918" spans="2:9">
      <c r="B918" s="90"/>
      <c r="I918" s="102"/>
    </row>
    <row r="919" spans="2:9">
      <c r="B919" s="90"/>
      <c r="I919" s="102"/>
    </row>
    <row r="920" spans="2:9">
      <c r="B920" s="90"/>
      <c r="I920" s="102"/>
    </row>
    <row r="921" spans="2:9">
      <c r="B921" s="90"/>
      <c r="I921" s="102"/>
    </row>
    <row r="922" spans="2:9">
      <c r="B922" s="90"/>
      <c r="I922" s="102"/>
    </row>
    <row r="923" spans="2:9">
      <c r="B923" s="90"/>
      <c r="I923" s="102"/>
    </row>
    <row r="924" spans="2:9">
      <c r="B924" s="90"/>
      <c r="I924" s="102"/>
    </row>
    <row r="925" spans="2:9">
      <c r="B925" s="90"/>
      <c r="I925" s="102"/>
    </row>
    <row r="926" spans="2:9">
      <c r="B926" s="90"/>
      <c r="I926" s="102"/>
    </row>
    <row r="927" spans="2:9">
      <c r="B927" s="90"/>
      <c r="I927" s="102"/>
    </row>
    <row r="928" spans="2:9">
      <c r="B928" s="90"/>
      <c r="I928" s="102"/>
    </row>
    <row r="929" spans="2:9">
      <c r="B929" s="90"/>
      <c r="I929" s="102"/>
    </row>
    <row r="930" spans="2:9">
      <c r="B930" s="90"/>
      <c r="I930" s="102"/>
    </row>
    <row r="931" spans="2:9">
      <c r="B931" s="90"/>
      <c r="I931" s="102"/>
    </row>
    <row r="932" spans="2:9">
      <c r="B932" s="90"/>
      <c r="I932" s="102"/>
    </row>
    <row r="933" spans="2:9">
      <c r="B933" s="90"/>
      <c r="I933" s="102"/>
    </row>
    <row r="934" spans="2:9">
      <c r="B934" s="90"/>
      <c r="I934" s="102"/>
    </row>
    <row r="935" spans="2:9">
      <c r="B935" s="90"/>
      <c r="I935" s="102"/>
    </row>
    <row r="936" spans="2:9">
      <c r="B936" s="90"/>
      <c r="I936" s="102"/>
    </row>
    <row r="937" spans="2:9">
      <c r="B937" s="90"/>
      <c r="I937" s="102"/>
    </row>
    <row r="938" spans="2:9">
      <c r="B938" s="90"/>
      <c r="I938" s="102"/>
    </row>
    <row r="939" spans="2:9">
      <c r="B939" s="90"/>
      <c r="I939" s="102"/>
    </row>
    <row r="940" spans="2:9">
      <c r="B940" s="90"/>
      <c r="I940" s="102"/>
    </row>
    <row r="941" spans="2:9">
      <c r="B941" s="90"/>
      <c r="I941" s="102"/>
    </row>
    <row r="942" spans="2:9">
      <c r="B942" s="90"/>
      <c r="I942" s="102"/>
    </row>
    <row r="943" spans="2:9">
      <c r="B943" s="90"/>
      <c r="I943" s="102"/>
    </row>
    <row r="944" spans="2:9">
      <c r="B944" s="90"/>
      <c r="I944" s="102"/>
    </row>
    <row r="945" spans="2:9">
      <c r="B945" s="90"/>
      <c r="I945" s="102"/>
    </row>
    <row r="946" spans="2:9">
      <c r="B946" s="90"/>
      <c r="I946" s="102"/>
    </row>
    <row r="947" spans="2:9">
      <c r="B947" s="90"/>
      <c r="I947" s="102"/>
    </row>
    <row r="948" spans="2:9">
      <c r="B948" s="90"/>
      <c r="I948" s="102"/>
    </row>
    <row r="949" spans="2:9">
      <c r="B949" s="90"/>
      <c r="I949" s="102"/>
    </row>
    <row r="950" spans="2:9">
      <c r="B950" s="90"/>
      <c r="I950" s="102"/>
    </row>
    <row r="951" spans="2:9">
      <c r="B951" s="90"/>
      <c r="I951" s="102"/>
    </row>
    <row r="952" spans="2:9">
      <c r="B952" s="90"/>
      <c r="I952" s="102"/>
    </row>
    <row r="953" spans="2:9">
      <c r="B953" s="90"/>
      <c r="I953" s="102"/>
    </row>
    <row r="954" spans="2:9">
      <c r="B954" s="90"/>
      <c r="I954" s="102"/>
    </row>
    <row r="955" spans="2:9">
      <c r="B955" s="90"/>
      <c r="I955" s="102"/>
    </row>
    <row r="956" spans="2:9">
      <c r="B956" s="90"/>
      <c r="I956" s="102"/>
    </row>
    <row r="957" spans="2:9">
      <c r="B957" s="90"/>
      <c r="I957" s="102"/>
    </row>
    <row r="958" spans="2:9">
      <c r="B958" s="90"/>
      <c r="I958" s="102"/>
    </row>
    <row r="959" spans="2:9">
      <c r="B959" s="90"/>
      <c r="I959" s="102"/>
    </row>
    <row r="960" spans="2:9">
      <c r="B960" s="90"/>
      <c r="I960" s="102"/>
    </row>
    <row r="961" spans="2:9">
      <c r="B961" s="90"/>
      <c r="I961" s="102"/>
    </row>
    <row r="962" spans="2:9">
      <c r="B962" s="90"/>
      <c r="I962" s="102"/>
    </row>
    <row r="963" spans="2:9">
      <c r="B963" s="90"/>
      <c r="I963" s="102"/>
    </row>
    <row r="964" spans="2:9">
      <c r="B964" s="90"/>
      <c r="I964" s="102"/>
    </row>
    <row r="965" spans="2:9">
      <c r="B965" s="90"/>
      <c r="I965" s="102"/>
    </row>
    <row r="966" spans="2:9">
      <c r="B966" s="90"/>
      <c r="I966" s="102"/>
    </row>
    <row r="967" spans="2:9">
      <c r="B967" s="90"/>
      <c r="I967" s="102"/>
    </row>
    <row r="968" spans="2:9">
      <c r="B968" s="90"/>
      <c r="I968" s="102"/>
    </row>
    <row r="969" spans="2:9">
      <c r="B969" s="90"/>
      <c r="I969" s="102"/>
    </row>
    <row r="970" spans="2:9">
      <c r="B970" s="90"/>
      <c r="I970" s="102"/>
    </row>
    <row r="971" spans="2:9">
      <c r="B971" s="90"/>
      <c r="I971" s="102"/>
    </row>
    <row r="972" spans="2:9">
      <c r="B972" s="90"/>
      <c r="I972" s="102"/>
    </row>
    <row r="973" spans="2:9">
      <c r="B973" s="90"/>
      <c r="I973" s="102"/>
    </row>
    <row r="974" spans="2:9">
      <c r="B974" s="90"/>
      <c r="I974" s="102"/>
    </row>
    <row r="975" spans="2:9">
      <c r="B975" s="90"/>
      <c r="I975" s="102"/>
    </row>
    <row r="976" spans="2:9">
      <c r="B976" s="90"/>
      <c r="I976" s="102"/>
    </row>
    <row r="977" spans="2:9">
      <c r="B977" s="90"/>
      <c r="I977" s="102"/>
    </row>
    <row r="978" spans="2:9">
      <c r="B978" s="90"/>
      <c r="I978" s="102"/>
    </row>
    <row r="979" spans="2:9">
      <c r="B979" s="90"/>
      <c r="I979" s="102"/>
    </row>
    <row r="980" spans="2:9">
      <c r="B980" s="90"/>
      <c r="I980" s="102"/>
    </row>
    <row r="981" spans="2:9">
      <c r="B981" s="90"/>
      <c r="I981" s="102"/>
    </row>
    <row r="982" spans="2:9">
      <c r="B982" s="90"/>
      <c r="I982" s="102"/>
    </row>
    <row r="983" spans="2:9">
      <c r="B983" s="90"/>
      <c r="I983" s="102"/>
    </row>
    <row r="984" spans="2:9">
      <c r="B984" s="90"/>
      <c r="I984" s="102"/>
    </row>
    <row r="985" spans="2:9">
      <c r="B985" s="90"/>
      <c r="I985" s="102"/>
    </row>
    <row r="986" spans="2:9">
      <c r="B986" s="90"/>
      <c r="I986" s="102"/>
    </row>
    <row r="987" spans="2:9">
      <c r="B987" s="90"/>
      <c r="I987" s="102"/>
    </row>
    <row r="988" spans="2:9">
      <c r="B988" s="90"/>
      <c r="I988" s="102"/>
    </row>
    <row r="989" spans="2:9">
      <c r="B989" s="90"/>
      <c r="I989" s="102"/>
    </row>
    <row r="990" spans="2:9">
      <c r="B990" s="90"/>
      <c r="I990" s="102"/>
    </row>
    <row r="991" spans="2:9">
      <c r="B991" s="90"/>
      <c r="I991" s="102"/>
    </row>
    <row r="992" spans="2:9">
      <c r="B992" s="90"/>
      <c r="I992" s="102"/>
    </row>
    <row r="993" spans="2:9">
      <c r="B993" s="90"/>
      <c r="I993" s="102"/>
    </row>
    <row r="994" spans="2:9">
      <c r="B994" s="90"/>
      <c r="I994" s="102"/>
    </row>
    <row r="995" spans="2:9">
      <c r="B995" s="90"/>
      <c r="I995" s="102"/>
    </row>
    <row r="996" spans="2:9">
      <c r="B996" s="90"/>
      <c r="I996" s="102"/>
    </row>
    <row r="997" spans="2:9">
      <c r="B997" s="90"/>
      <c r="I997" s="102"/>
    </row>
    <row r="998" spans="2:9">
      <c r="B998" s="90"/>
      <c r="I998" s="102"/>
    </row>
    <row r="999" spans="2:9">
      <c r="B999" s="90"/>
      <c r="I999" s="102"/>
    </row>
    <row r="1000" spans="2:9">
      <c r="B1000" s="90"/>
      <c r="I1000" s="10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F979"/>
  <sheetViews>
    <sheetView workbookViewId="0"/>
  </sheetViews>
  <sheetFormatPr baseColWidth="10" defaultColWidth="14.42578125" defaultRowHeight="15" customHeight="1"/>
  <cols>
    <col min="1" max="2" width="17.85546875" customWidth="1"/>
    <col min="3" max="3" width="51.28515625" customWidth="1"/>
    <col min="4" max="4" width="25.140625" customWidth="1"/>
    <col min="5" max="5" width="26.85546875" customWidth="1"/>
    <col min="6" max="6" width="19.42578125" customWidth="1"/>
    <col min="7" max="7" width="21.7109375" customWidth="1"/>
    <col min="8" max="8" width="21.140625" customWidth="1"/>
    <col min="9" max="9" width="21.28515625" customWidth="1"/>
    <col min="10" max="10" width="25.5703125" customWidth="1"/>
    <col min="11" max="11" width="29.85546875" customWidth="1"/>
    <col min="12" max="12" width="20.85546875" customWidth="1"/>
    <col min="13" max="13" width="21.28515625" customWidth="1"/>
    <col min="14" max="14" width="19.5703125" customWidth="1"/>
    <col min="15" max="15" width="19.42578125" customWidth="1"/>
    <col min="16" max="16" width="18.5703125" customWidth="1"/>
    <col min="17" max="17" width="23" customWidth="1"/>
    <col min="18" max="18" width="18.85546875" customWidth="1"/>
    <col min="19" max="19" width="14" customWidth="1"/>
    <col min="20" max="32" width="10.7109375" customWidth="1"/>
  </cols>
  <sheetData>
    <row r="1" spans="1:19">
      <c r="A1" s="35"/>
      <c r="B1" s="36"/>
      <c r="C1" s="36"/>
      <c r="D1" s="37"/>
      <c r="E1" s="37"/>
      <c r="F1" s="37"/>
      <c r="G1" s="37"/>
      <c r="H1" s="37"/>
      <c r="I1" s="36"/>
      <c r="J1" s="38"/>
      <c r="K1" s="38"/>
      <c r="L1" s="36"/>
      <c r="M1" s="36"/>
      <c r="N1" s="38"/>
      <c r="O1" s="38"/>
      <c r="P1" s="38"/>
      <c r="Q1" s="36"/>
      <c r="R1" s="36"/>
    </row>
    <row r="2" spans="1:19">
      <c r="A2" s="35"/>
      <c r="B2" s="36"/>
      <c r="C2" s="36"/>
      <c r="D2" s="37"/>
      <c r="E2" s="37"/>
      <c r="F2" s="37"/>
      <c r="G2" s="37"/>
      <c r="H2" s="37"/>
      <c r="I2" s="36"/>
      <c r="J2" s="38"/>
      <c r="K2" s="38"/>
      <c r="L2" s="36"/>
      <c r="M2" s="36"/>
      <c r="N2" s="38"/>
      <c r="O2" s="38"/>
      <c r="P2" s="38"/>
      <c r="Q2" s="36"/>
      <c r="R2" s="36"/>
    </row>
    <row r="3" spans="1:19">
      <c r="A3" s="35"/>
      <c r="B3" s="36"/>
      <c r="C3" s="36"/>
      <c r="D3" s="37"/>
      <c r="E3" s="37"/>
      <c r="F3" s="37"/>
      <c r="G3" s="37"/>
      <c r="H3" s="37"/>
      <c r="I3" s="36"/>
      <c r="J3" s="38"/>
      <c r="K3" s="38"/>
      <c r="L3" s="36"/>
      <c r="M3" s="36"/>
      <c r="N3" s="38"/>
      <c r="O3" s="38"/>
      <c r="P3" s="38"/>
      <c r="Q3" s="36"/>
      <c r="R3" s="36"/>
    </row>
    <row r="4" spans="1:19">
      <c r="A4" s="35"/>
      <c r="B4" s="36"/>
      <c r="C4" s="36"/>
      <c r="D4" s="152" t="s">
        <v>0</v>
      </c>
      <c r="E4" s="153"/>
      <c r="F4" s="153"/>
      <c r="G4" s="153"/>
      <c r="H4" s="153"/>
      <c r="I4" s="36"/>
      <c r="J4" s="38"/>
      <c r="K4" s="38"/>
      <c r="L4" s="36"/>
      <c r="M4" s="36"/>
      <c r="N4" s="38"/>
      <c r="O4" s="38"/>
      <c r="P4" s="38"/>
      <c r="Q4" s="36"/>
      <c r="R4" s="36"/>
    </row>
    <row r="5" spans="1:19">
      <c r="A5" s="35"/>
      <c r="B5" s="36"/>
      <c r="C5" s="36"/>
      <c r="D5" s="152" t="s">
        <v>1</v>
      </c>
      <c r="E5" s="153"/>
      <c r="F5" s="153"/>
      <c r="G5" s="153"/>
      <c r="H5" s="153"/>
      <c r="I5" s="36"/>
      <c r="J5" s="38"/>
      <c r="K5" s="38"/>
      <c r="L5" s="36"/>
      <c r="M5" s="36"/>
      <c r="N5" s="38"/>
      <c r="O5" s="38"/>
      <c r="P5" s="38"/>
      <c r="Q5" s="36"/>
      <c r="R5" s="36"/>
    </row>
    <row r="6" spans="1:19">
      <c r="A6" s="35"/>
      <c r="B6" s="36"/>
      <c r="C6" s="36"/>
      <c r="D6" s="152" t="s">
        <v>2</v>
      </c>
      <c r="E6" s="153"/>
      <c r="F6" s="153"/>
      <c r="G6" s="153"/>
      <c r="H6" s="153"/>
      <c r="I6" s="36"/>
      <c r="J6" s="38"/>
      <c r="K6" s="38"/>
      <c r="L6" s="36"/>
      <c r="M6" s="36"/>
      <c r="N6" s="38"/>
      <c r="O6" s="38"/>
      <c r="P6" s="38"/>
      <c r="Q6" s="36"/>
      <c r="R6" s="36"/>
    </row>
    <row r="7" spans="1:19">
      <c r="A7" s="35"/>
      <c r="B7" s="36"/>
      <c r="C7" s="36"/>
      <c r="D7" s="152"/>
      <c r="E7" s="153"/>
      <c r="F7" s="153"/>
      <c r="G7" s="153"/>
      <c r="H7" s="153"/>
      <c r="I7" s="36"/>
      <c r="J7" s="38"/>
      <c r="K7" s="38"/>
      <c r="L7" s="36"/>
      <c r="M7" s="36"/>
      <c r="N7" s="38"/>
      <c r="O7" s="38"/>
      <c r="P7" s="38"/>
      <c r="Q7" s="36"/>
      <c r="R7" s="36"/>
    </row>
    <row r="8" spans="1:19">
      <c r="A8" s="35"/>
      <c r="B8" s="36"/>
      <c r="C8" s="36"/>
      <c r="D8" s="39"/>
      <c r="E8" s="39"/>
      <c r="F8" s="39"/>
      <c r="G8" s="39"/>
      <c r="H8" s="39"/>
      <c r="I8" s="36"/>
      <c r="J8" s="38"/>
      <c r="K8" s="38"/>
      <c r="L8" s="36"/>
      <c r="M8" s="36"/>
      <c r="N8" s="38"/>
      <c r="O8" s="38"/>
      <c r="P8" s="38"/>
      <c r="Q8" s="36"/>
      <c r="R8" s="36"/>
    </row>
    <row r="9" spans="1:19">
      <c r="A9" s="35"/>
      <c r="B9" s="36"/>
      <c r="C9" s="36"/>
      <c r="D9" s="37"/>
      <c r="E9" s="37"/>
      <c r="F9" s="37"/>
      <c r="G9" s="37"/>
      <c r="H9" s="37"/>
      <c r="I9" s="36"/>
      <c r="J9" s="38"/>
      <c r="K9" s="38"/>
      <c r="L9" s="36"/>
      <c r="M9" s="36"/>
      <c r="N9" s="38"/>
      <c r="O9" s="38"/>
      <c r="P9" s="38"/>
      <c r="Q9" s="36"/>
      <c r="R9" s="36"/>
    </row>
    <row r="10" spans="1:19">
      <c r="A10" s="35"/>
      <c r="B10" s="36"/>
      <c r="C10" s="36"/>
      <c r="D10" s="37"/>
      <c r="E10" s="37"/>
      <c r="F10" s="37"/>
      <c r="G10" s="37"/>
      <c r="H10" s="37"/>
      <c r="I10" s="36"/>
      <c r="J10" s="38"/>
      <c r="K10" s="38"/>
      <c r="L10" s="36"/>
      <c r="M10" s="36"/>
      <c r="N10" s="38"/>
      <c r="O10" s="38"/>
      <c r="P10" s="38"/>
      <c r="Q10" s="36"/>
      <c r="R10" s="36"/>
    </row>
    <row r="11" spans="1:19">
      <c r="A11" s="35"/>
      <c r="B11" s="36"/>
      <c r="C11" s="36"/>
      <c r="D11" s="37"/>
      <c r="E11" s="37"/>
      <c r="F11" s="37"/>
      <c r="G11" s="37"/>
      <c r="H11" s="37"/>
      <c r="I11" s="36"/>
      <c r="J11" s="38"/>
      <c r="K11" s="38"/>
      <c r="L11" s="36"/>
      <c r="M11" s="36"/>
      <c r="N11" s="38"/>
      <c r="O11" s="38"/>
      <c r="P11" s="38"/>
      <c r="Q11" s="36"/>
      <c r="R11" s="36"/>
    </row>
    <row r="12" spans="1:19">
      <c r="A12" s="40"/>
      <c r="B12" s="41"/>
      <c r="C12" s="41"/>
      <c r="D12" s="41"/>
      <c r="E12" s="41"/>
      <c r="F12" s="41"/>
      <c r="G12" s="41"/>
      <c r="H12" s="41"/>
      <c r="I12" s="41"/>
      <c r="J12" s="42"/>
      <c r="K12" s="42"/>
      <c r="L12" s="41"/>
      <c r="M12" s="41"/>
      <c r="N12" s="42"/>
      <c r="O12" s="42"/>
      <c r="P12" s="42"/>
      <c r="Q12" s="41"/>
      <c r="R12" s="41"/>
      <c r="S12" s="80"/>
    </row>
    <row r="13" spans="1:19">
      <c r="A13" s="40"/>
      <c r="B13" s="41"/>
      <c r="C13" s="2" t="s">
        <v>3</v>
      </c>
      <c r="D13" s="154" t="s">
        <v>4</v>
      </c>
      <c r="E13" s="155"/>
      <c r="F13" s="155"/>
      <c r="G13" s="155"/>
      <c r="H13" s="156"/>
      <c r="I13" s="1"/>
      <c r="J13" s="42"/>
      <c r="K13" s="42"/>
      <c r="L13" s="41"/>
      <c r="M13" s="41"/>
      <c r="N13" s="42"/>
      <c r="O13" s="42"/>
      <c r="P13" s="42"/>
      <c r="Q13" s="41"/>
      <c r="R13" s="41"/>
      <c r="S13" s="80"/>
    </row>
    <row r="14" spans="1:19">
      <c r="A14" s="40"/>
      <c r="B14" s="41"/>
      <c r="C14" s="2" t="s">
        <v>5</v>
      </c>
      <c r="D14" s="161" t="s">
        <v>6</v>
      </c>
      <c r="E14" s="155"/>
      <c r="F14" s="155"/>
      <c r="G14" s="155"/>
      <c r="H14" s="156"/>
      <c r="I14" s="43" t="s">
        <v>7</v>
      </c>
      <c r="J14" s="42"/>
      <c r="K14" s="42"/>
      <c r="L14" s="41"/>
      <c r="M14" s="41"/>
      <c r="N14" s="42"/>
      <c r="O14" s="42"/>
      <c r="P14" s="42"/>
      <c r="Q14" s="41"/>
      <c r="R14" s="41"/>
      <c r="S14" s="80"/>
    </row>
    <row r="15" spans="1:19">
      <c r="A15" s="40"/>
      <c r="B15" s="41"/>
      <c r="C15" s="2" t="s">
        <v>8</v>
      </c>
      <c r="D15" s="161" t="s">
        <v>9</v>
      </c>
      <c r="E15" s="155"/>
      <c r="F15" s="155"/>
      <c r="G15" s="155"/>
      <c r="H15" s="156"/>
      <c r="I15" s="43" t="s">
        <v>7</v>
      </c>
      <c r="J15" s="42"/>
      <c r="K15" s="42"/>
      <c r="L15" s="41"/>
      <c r="M15" s="41"/>
      <c r="N15" s="42"/>
      <c r="O15" s="42"/>
      <c r="P15" s="42"/>
      <c r="Q15" s="41"/>
      <c r="R15" s="41"/>
      <c r="S15" s="80"/>
    </row>
    <row r="16" spans="1:19">
      <c r="A16" s="40"/>
      <c r="B16" s="41"/>
      <c r="C16" s="2" t="s">
        <v>10</v>
      </c>
      <c r="D16" s="161" t="s">
        <v>11</v>
      </c>
      <c r="E16" s="155"/>
      <c r="F16" s="155"/>
      <c r="G16" s="155"/>
      <c r="H16" s="156"/>
      <c r="I16" s="1"/>
      <c r="J16" s="42"/>
      <c r="K16" s="42"/>
      <c r="L16" s="41"/>
      <c r="M16" s="41"/>
      <c r="N16" s="42"/>
      <c r="O16" s="42"/>
      <c r="P16" s="42"/>
      <c r="Q16" s="41"/>
      <c r="R16" s="41"/>
      <c r="S16" s="80"/>
    </row>
    <row r="17" spans="1:32">
      <c r="A17" s="40"/>
      <c r="B17" s="41"/>
      <c r="C17" s="2" t="s">
        <v>12</v>
      </c>
      <c r="D17" s="161" t="s">
        <v>13</v>
      </c>
      <c r="E17" s="155"/>
      <c r="F17" s="155"/>
      <c r="G17" s="155"/>
      <c r="H17" s="156"/>
      <c r="I17" s="43" t="s">
        <v>7</v>
      </c>
      <c r="J17" s="42"/>
      <c r="K17" s="42"/>
      <c r="L17" s="41"/>
      <c r="M17" s="41"/>
      <c r="N17" s="42"/>
      <c r="O17" s="42"/>
      <c r="P17" s="42"/>
      <c r="Q17" s="41"/>
      <c r="R17" s="41"/>
      <c r="S17" s="80"/>
    </row>
    <row r="18" spans="1:32">
      <c r="A18" s="44"/>
      <c r="B18" s="44"/>
      <c r="C18" s="2" t="s">
        <v>14</v>
      </c>
      <c r="D18" s="161" t="s">
        <v>15</v>
      </c>
      <c r="E18" s="155"/>
      <c r="F18" s="155"/>
      <c r="G18" s="155"/>
      <c r="H18" s="156"/>
      <c r="I18" s="43" t="s">
        <v>7</v>
      </c>
      <c r="J18" s="42"/>
      <c r="K18" s="42"/>
      <c r="L18" s="41"/>
      <c r="M18" s="41"/>
      <c r="N18" s="42"/>
      <c r="O18" s="42"/>
      <c r="P18" s="42"/>
      <c r="Q18" s="41"/>
      <c r="R18" s="41"/>
      <c r="S18" s="80"/>
    </row>
    <row r="19" spans="1:32">
      <c r="A19" s="40"/>
      <c r="B19" s="41"/>
      <c r="C19" s="2" t="s">
        <v>16</v>
      </c>
      <c r="D19" s="161"/>
      <c r="E19" s="155"/>
      <c r="F19" s="155"/>
      <c r="G19" s="155"/>
      <c r="H19" s="156"/>
      <c r="I19" s="1"/>
      <c r="J19" s="42"/>
      <c r="K19" s="42"/>
      <c r="L19" s="41"/>
      <c r="M19" s="41"/>
      <c r="N19" s="42"/>
      <c r="O19" s="42"/>
      <c r="P19" s="42"/>
      <c r="Q19" s="41"/>
      <c r="R19" s="41"/>
      <c r="S19" s="80"/>
    </row>
    <row r="20" spans="1:32">
      <c r="C20" s="2" t="s">
        <v>16</v>
      </c>
      <c r="D20" s="161" t="s">
        <v>17</v>
      </c>
      <c r="E20" s="155"/>
      <c r="F20" s="155"/>
      <c r="G20" s="155"/>
      <c r="H20" s="156"/>
      <c r="I20" s="43" t="s">
        <v>7</v>
      </c>
      <c r="J20" s="42"/>
      <c r="K20" s="42"/>
      <c r="L20" s="41"/>
      <c r="M20" s="41"/>
      <c r="N20" s="42"/>
      <c r="O20" s="42"/>
      <c r="P20" s="42"/>
      <c r="Q20" s="41"/>
      <c r="R20" s="41"/>
      <c r="S20" s="80"/>
    </row>
    <row r="21" spans="1:32">
      <c r="A21" s="3"/>
      <c r="B21" s="157" t="s">
        <v>18</v>
      </c>
      <c r="C21" s="2" t="s">
        <v>19</v>
      </c>
      <c r="D21" s="161" t="s">
        <v>20</v>
      </c>
      <c r="E21" s="155"/>
      <c r="F21" s="155"/>
      <c r="G21" s="155"/>
      <c r="H21" s="156"/>
      <c r="I21" s="43" t="s">
        <v>7</v>
      </c>
      <c r="K21" s="42"/>
      <c r="L21" s="41"/>
      <c r="M21" s="41"/>
      <c r="N21" s="42"/>
      <c r="O21" s="42"/>
      <c r="P21" s="42"/>
      <c r="Q21" s="41"/>
      <c r="R21" s="41"/>
      <c r="S21" s="80"/>
    </row>
    <row r="22" spans="1:32">
      <c r="A22" s="3"/>
      <c r="B22" s="158"/>
      <c r="C22" s="2" t="s">
        <v>21</v>
      </c>
      <c r="D22" s="161" t="s">
        <v>22</v>
      </c>
      <c r="E22" s="155"/>
      <c r="F22" s="155"/>
      <c r="G22" s="155"/>
      <c r="H22" s="156"/>
      <c r="I22" s="43" t="s">
        <v>7</v>
      </c>
      <c r="J22" s="42"/>
      <c r="K22" s="42"/>
      <c r="L22" s="41"/>
      <c r="M22" s="41"/>
      <c r="N22" s="42"/>
      <c r="O22" s="42"/>
      <c r="P22" s="42"/>
      <c r="Q22" s="41"/>
      <c r="R22" s="41"/>
      <c r="S22" s="80"/>
    </row>
    <row r="23" spans="1:32">
      <c r="A23" s="4"/>
      <c r="B23" s="159" t="s">
        <v>23</v>
      </c>
      <c r="C23" s="2" t="s">
        <v>24</v>
      </c>
      <c r="D23" s="162" t="s">
        <v>25</v>
      </c>
      <c r="E23" s="155"/>
      <c r="F23" s="155"/>
      <c r="G23" s="155"/>
      <c r="H23" s="156"/>
      <c r="I23" s="45" t="s">
        <v>7</v>
      </c>
      <c r="J23" s="42"/>
      <c r="K23" s="42"/>
      <c r="L23" s="41"/>
      <c r="M23" s="41"/>
      <c r="N23" s="42"/>
      <c r="O23" s="42"/>
      <c r="P23" s="42"/>
      <c r="Q23" s="41"/>
      <c r="R23" s="41"/>
      <c r="S23" s="80"/>
    </row>
    <row r="24" spans="1:32">
      <c r="A24" s="4"/>
      <c r="B24" s="160"/>
      <c r="C24" s="2" t="s">
        <v>26</v>
      </c>
      <c r="D24" s="162" t="s">
        <v>27</v>
      </c>
      <c r="E24" s="155"/>
      <c r="F24" s="155"/>
      <c r="G24" s="155"/>
      <c r="H24" s="156"/>
      <c r="I24" s="45" t="s">
        <v>7</v>
      </c>
      <c r="J24" s="42"/>
      <c r="K24" s="42"/>
      <c r="L24" s="41"/>
      <c r="M24" s="41"/>
      <c r="N24" s="42"/>
      <c r="O24" s="42"/>
      <c r="P24" s="42"/>
      <c r="Q24" s="41"/>
      <c r="R24" s="41"/>
      <c r="S24" s="80"/>
    </row>
    <row r="25" spans="1:32">
      <c r="A25" s="4"/>
      <c r="B25" s="159" t="s">
        <v>28</v>
      </c>
      <c r="C25" s="2" t="s">
        <v>29</v>
      </c>
      <c r="D25" s="162" t="s">
        <v>30</v>
      </c>
      <c r="E25" s="155"/>
      <c r="F25" s="155"/>
      <c r="G25" s="155"/>
      <c r="H25" s="156"/>
      <c r="I25" s="45" t="s">
        <v>7</v>
      </c>
      <c r="J25" s="42"/>
      <c r="K25" s="42"/>
      <c r="L25" s="41"/>
      <c r="M25" s="41"/>
      <c r="N25" s="42"/>
      <c r="O25" s="42"/>
      <c r="P25" s="42"/>
      <c r="Q25" s="41"/>
      <c r="R25" s="41"/>
      <c r="S25" s="80"/>
    </row>
    <row r="26" spans="1:32">
      <c r="A26" s="4"/>
      <c r="B26" s="158"/>
      <c r="C26" s="2" t="s">
        <v>31</v>
      </c>
      <c r="D26" s="46" t="s">
        <v>32</v>
      </c>
      <c r="E26" s="47"/>
      <c r="F26" s="47"/>
      <c r="G26" s="47"/>
      <c r="H26" s="48"/>
      <c r="I26" s="45" t="s">
        <v>7</v>
      </c>
      <c r="J26" s="42"/>
      <c r="K26" s="42"/>
      <c r="L26" s="41"/>
      <c r="M26" s="41"/>
      <c r="N26" s="42"/>
      <c r="O26" s="42"/>
      <c r="P26" s="42"/>
      <c r="Q26" s="41"/>
      <c r="R26" s="41"/>
      <c r="S26" s="80"/>
    </row>
    <row r="27" spans="1:32">
      <c r="A27" s="4"/>
      <c r="B27" s="158"/>
      <c r="C27" s="2" t="s">
        <v>33</v>
      </c>
      <c r="D27" s="162" t="s">
        <v>34</v>
      </c>
      <c r="E27" s="155"/>
      <c r="F27" s="155"/>
      <c r="G27" s="155"/>
      <c r="H27" s="156"/>
      <c r="I27" s="45" t="s">
        <v>7</v>
      </c>
      <c r="J27" s="42"/>
      <c r="K27" s="42"/>
      <c r="L27" s="41"/>
      <c r="M27" s="41"/>
      <c r="N27" s="42"/>
      <c r="O27" s="42"/>
      <c r="P27" s="42"/>
      <c r="Q27" s="41"/>
      <c r="R27" s="41"/>
      <c r="S27" s="80"/>
    </row>
    <row r="28" spans="1:32">
      <c r="A28" s="4"/>
      <c r="B28" s="158"/>
      <c r="C28" s="2" t="s">
        <v>35</v>
      </c>
      <c r="D28" s="162" t="s">
        <v>36</v>
      </c>
      <c r="E28" s="155"/>
      <c r="F28" s="155"/>
      <c r="G28" s="155"/>
      <c r="H28" s="156"/>
      <c r="I28" s="49"/>
      <c r="J28" s="42"/>
      <c r="K28" s="42"/>
      <c r="L28" s="41"/>
      <c r="M28" s="41"/>
      <c r="N28" s="42"/>
      <c r="O28" s="50"/>
      <c r="P28" s="50"/>
      <c r="Q28" s="41"/>
      <c r="R28" s="41"/>
      <c r="S28" s="80"/>
      <c r="AE28" s="103"/>
    </row>
    <row r="29" spans="1:32">
      <c r="A29" s="44"/>
      <c r="B29" s="44"/>
      <c r="C29" s="2" t="s">
        <v>37</v>
      </c>
      <c r="D29" s="163" t="s">
        <v>38</v>
      </c>
      <c r="E29" s="155"/>
      <c r="F29" s="155"/>
      <c r="G29" s="155"/>
      <c r="H29" s="155"/>
      <c r="I29" s="41"/>
      <c r="J29" s="42"/>
      <c r="K29" s="42"/>
      <c r="L29" s="41"/>
      <c r="M29" s="41"/>
      <c r="N29" s="42"/>
      <c r="O29" s="50"/>
      <c r="P29" s="50"/>
      <c r="Q29" s="41"/>
      <c r="R29" s="41"/>
      <c r="S29" s="80"/>
      <c r="AE29" s="103"/>
    </row>
    <row r="30" spans="1:32">
      <c r="A30" s="44"/>
      <c r="B30" s="44"/>
      <c r="C30" s="5" t="s">
        <v>39</v>
      </c>
      <c r="D30" s="164"/>
      <c r="E30" s="155"/>
      <c r="F30" s="155"/>
      <c r="G30" s="155"/>
      <c r="H30" s="156"/>
      <c r="I30" s="1"/>
      <c r="J30" s="42"/>
      <c r="K30" s="42"/>
      <c r="L30" s="41"/>
      <c r="M30" s="41"/>
      <c r="N30" s="42"/>
      <c r="O30" s="42"/>
      <c r="P30" s="42"/>
      <c r="Q30" s="41"/>
      <c r="R30" s="41"/>
      <c r="S30" s="80"/>
    </row>
    <row r="31" spans="1:32">
      <c r="A31" s="40"/>
      <c r="B31" s="41"/>
      <c r="C31" s="41"/>
      <c r="D31" s="6"/>
      <c r="E31" s="6"/>
      <c r="F31" s="6"/>
      <c r="G31" s="6"/>
      <c r="H31" s="6"/>
      <c r="I31" s="7"/>
      <c r="J31" s="7"/>
      <c r="K31" s="7"/>
      <c r="L31" s="7"/>
      <c r="M31" s="7"/>
      <c r="N31" s="7"/>
      <c r="O31" s="7"/>
      <c r="P31" s="7"/>
      <c r="Q31" s="7"/>
      <c r="R31" s="7"/>
      <c r="S31" s="80"/>
      <c r="AE31" s="95" t="s">
        <v>40</v>
      </c>
      <c r="AF31" s="95" t="s">
        <v>236</v>
      </c>
    </row>
    <row r="32" spans="1:32">
      <c r="A32" s="51"/>
      <c r="B32" s="52" t="s">
        <v>41</v>
      </c>
      <c r="C32" s="9" t="s">
        <v>42</v>
      </c>
      <c r="D32" s="10" t="s">
        <v>43</v>
      </c>
      <c r="E32" s="10" t="s">
        <v>44</v>
      </c>
      <c r="F32" s="10" t="s">
        <v>45</v>
      </c>
      <c r="G32" s="10" t="s">
        <v>46</v>
      </c>
      <c r="H32" s="10" t="s">
        <v>47</v>
      </c>
      <c r="I32" s="10" t="s">
        <v>48</v>
      </c>
      <c r="J32" s="11" t="s">
        <v>49</v>
      </c>
      <c r="K32" s="11" t="s">
        <v>50</v>
      </c>
      <c r="L32" s="10" t="s">
        <v>51</v>
      </c>
      <c r="M32" s="10" t="s">
        <v>52</v>
      </c>
      <c r="N32" s="11" t="s">
        <v>53</v>
      </c>
      <c r="O32" s="11" t="s">
        <v>54</v>
      </c>
      <c r="P32" s="11" t="s">
        <v>55</v>
      </c>
      <c r="Q32" s="10" t="s">
        <v>56</v>
      </c>
      <c r="R32" s="10" t="s">
        <v>57</v>
      </c>
      <c r="S32" s="104" t="s">
        <v>58</v>
      </c>
      <c r="T32" s="105" t="s">
        <v>59</v>
      </c>
      <c r="U32" s="105" t="s">
        <v>60</v>
      </c>
      <c r="V32" s="105" t="s">
        <v>61</v>
      </c>
      <c r="W32" s="105" t="s">
        <v>62</v>
      </c>
      <c r="X32" s="105" t="s">
        <v>63</v>
      </c>
      <c r="Y32" s="105" t="s">
        <v>64</v>
      </c>
      <c r="Z32" s="105" t="s">
        <v>65</v>
      </c>
      <c r="AA32" s="105" t="s">
        <v>66</v>
      </c>
      <c r="AB32" s="105" t="s">
        <v>67</v>
      </c>
      <c r="AC32" s="105" t="s">
        <v>68</v>
      </c>
      <c r="AD32" s="105" t="s">
        <v>69</v>
      </c>
      <c r="AE32" s="106" t="s">
        <v>70</v>
      </c>
      <c r="AF32" s="106" t="s">
        <v>71</v>
      </c>
    </row>
    <row r="33" spans="1:32">
      <c r="A33" s="40"/>
      <c r="B33" s="41"/>
      <c r="C33" s="12" t="s">
        <v>72</v>
      </c>
      <c r="D33" s="13" t="s">
        <v>73</v>
      </c>
      <c r="E33" s="13" t="s">
        <v>74</v>
      </c>
      <c r="F33" s="13" t="s">
        <v>75</v>
      </c>
      <c r="G33" s="14" t="s">
        <v>76</v>
      </c>
      <c r="H33" s="13" t="s">
        <v>77</v>
      </c>
      <c r="I33" s="13" t="s">
        <v>78</v>
      </c>
      <c r="J33" s="15" t="s">
        <v>79</v>
      </c>
      <c r="K33" s="15" t="s">
        <v>80</v>
      </c>
      <c r="L33" s="14" t="s">
        <v>81</v>
      </c>
      <c r="M33" s="14" t="s">
        <v>237</v>
      </c>
      <c r="N33" s="16" t="s">
        <v>83</v>
      </c>
      <c r="O33" s="13">
        <v>16580</v>
      </c>
      <c r="P33" s="17"/>
      <c r="Q33" s="13" t="s">
        <v>84</v>
      </c>
      <c r="R33" s="18" t="s">
        <v>85</v>
      </c>
      <c r="S33" s="84"/>
      <c r="T33" s="84"/>
      <c r="U33" s="84"/>
      <c r="V33" s="84"/>
      <c r="W33" s="84"/>
      <c r="X33" s="84"/>
      <c r="Y33" s="84"/>
      <c r="Z33" s="84"/>
      <c r="AA33" s="84"/>
      <c r="AB33" s="84"/>
      <c r="AC33" s="84"/>
      <c r="AD33" s="84"/>
      <c r="AE33" s="84">
        <v>6369</v>
      </c>
      <c r="AF33" s="84" t="s">
        <v>238</v>
      </c>
    </row>
    <row r="34" spans="1:32">
      <c r="A34" s="53"/>
      <c r="B34" s="54" t="s">
        <v>7</v>
      </c>
      <c r="C34" s="12" t="s">
        <v>86</v>
      </c>
      <c r="D34" s="13" t="s">
        <v>87</v>
      </c>
      <c r="E34" s="19" t="s">
        <v>88</v>
      </c>
      <c r="F34" s="19" t="s">
        <v>89</v>
      </c>
      <c r="G34" s="19" t="s">
        <v>76</v>
      </c>
      <c r="H34" s="18" t="s">
        <v>77</v>
      </c>
      <c r="I34" s="18" t="s">
        <v>90</v>
      </c>
      <c r="J34" s="20" t="s">
        <v>91</v>
      </c>
      <c r="K34" s="21" t="s">
        <v>92</v>
      </c>
      <c r="L34" s="13" t="s">
        <v>81</v>
      </c>
      <c r="M34" s="19" t="s">
        <v>237</v>
      </c>
      <c r="N34" s="16" t="s">
        <v>83</v>
      </c>
      <c r="O34" s="8">
        <v>9420</v>
      </c>
      <c r="P34" s="22"/>
      <c r="Q34" s="18" t="s">
        <v>93</v>
      </c>
      <c r="R34" s="18" t="s">
        <v>94</v>
      </c>
      <c r="S34" s="84"/>
      <c r="T34" s="84"/>
      <c r="U34" s="84"/>
      <c r="V34" s="84"/>
      <c r="W34" s="84"/>
      <c r="X34" s="84"/>
      <c r="Y34" s="84"/>
      <c r="Z34" s="84"/>
      <c r="AA34" s="84"/>
      <c r="AB34" s="84"/>
      <c r="AC34" s="84"/>
      <c r="AD34" s="84"/>
      <c r="AE34" s="107">
        <v>3039</v>
      </c>
      <c r="AF34" s="84" t="s">
        <v>239</v>
      </c>
    </row>
    <row r="35" spans="1:32">
      <c r="A35" s="108"/>
      <c r="B35" s="23" t="s">
        <v>95</v>
      </c>
      <c r="C35" s="5" t="s">
        <v>96</v>
      </c>
      <c r="D35" s="13" t="s">
        <v>97</v>
      </c>
      <c r="E35" s="13" t="s">
        <v>98</v>
      </c>
      <c r="F35" s="18" t="s">
        <v>99</v>
      </c>
      <c r="G35" s="24" t="s">
        <v>76</v>
      </c>
      <c r="H35" s="24" t="s">
        <v>77</v>
      </c>
      <c r="I35" s="13" t="s">
        <v>100</v>
      </c>
      <c r="J35" s="25" t="s">
        <v>101</v>
      </c>
      <c r="K35" s="13" t="s">
        <v>102</v>
      </c>
      <c r="L35" s="13" t="s">
        <v>103</v>
      </c>
      <c r="M35" s="26" t="s">
        <v>237</v>
      </c>
      <c r="N35" s="16" t="s">
        <v>83</v>
      </c>
      <c r="O35" s="13">
        <v>5600</v>
      </c>
      <c r="P35" s="13"/>
      <c r="Q35" s="13" t="s">
        <v>104</v>
      </c>
      <c r="R35" s="27" t="s">
        <v>105</v>
      </c>
      <c r="S35" s="109">
        <v>800</v>
      </c>
      <c r="T35" s="28">
        <v>803</v>
      </c>
      <c r="U35" s="28">
        <v>795</v>
      </c>
      <c r="V35" s="28" t="e">
        <v>#VALUE!</v>
      </c>
      <c r="W35" s="28" t="e">
        <v>#VALUE!</v>
      </c>
      <c r="X35" s="28" t="e">
        <v>#VALUE!</v>
      </c>
      <c r="Y35" s="28" t="e">
        <v>#VALUE!</v>
      </c>
      <c r="Z35" s="28" t="e">
        <v>#VALUE!</v>
      </c>
      <c r="AA35" s="28" t="e">
        <v>#VALUE!</v>
      </c>
      <c r="AB35" s="28" t="e">
        <v>#VALUE!</v>
      </c>
      <c r="AC35" s="28" t="e">
        <v>#VALUE!</v>
      </c>
      <c r="AD35" s="28" t="e">
        <v>#VALUE!</v>
      </c>
      <c r="AE35" s="110">
        <v>2398</v>
      </c>
      <c r="AF35" s="84" t="s">
        <v>240</v>
      </c>
    </row>
    <row r="36" spans="1:32">
      <c r="A36" s="56"/>
      <c r="B36" s="57"/>
      <c r="C36" s="12" t="s">
        <v>106</v>
      </c>
      <c r="D36" s="13" t="s">
        <v>107</v>
      </c>
      <c r="E36" s="13" t="s">
        <v>108</v>
      </c>
      <c r="F36" s="13" t="s">
        <v>109</v>
      </c>
      <c r="G36" s="13" t="s">
        <v>76</v>
      </c>
      <c r="H36" s="13" t="s">
        <v>110</v>
      </c>
      <c r="I36" s="13" t="s">
        <v>111</v>
      </c>
      <c r="J36" s="13" t="s">
        <v>112</v>
      </c>
      <c r="K36" s="13" t="s">
        <v>113</v>
      </c>
      <c r="L36" s="13" t="s">
        <v>103</v>
      </c>
      <c r="M36" s="29" t="s">
        <v>82</v>
      </c>
      <c r="N36" s="16" t="s">
        <v>83</v>
      </c>
      <c r="O36" s="13">
        <v>4000</v>
      </c>
      <c r="P36" s="17"/>
      <c r="Q36" s="13" t="s">
        <v>114</v>
      </c>
      <c r="R36" s="13" t="s">
        <v>115</v>
      </c>
      <c r="S36" s="84">
        <v>507</v>
      </c>
      <c r="T36" s="111">
        <v>513</v>
      </c>
      <c r="U36" s="111">
        <v>494</v>
      </c>
      <c r="V36" s="111" t="e">
        <v>#VALUE!</v>
      </c>
      <c r="W36" s="111" t="e">
        <v>#VALUE!</v>
      </c>
      <c r="X36" s="111" t="e">
        <v>#VALUE!</v>
      </c>
      <c r="Y36" s="111" t="e">
        <v>#VALUE!</v>
      </c>
      <c r="Z36" s="111" t="e">
        <v>#VALUE!</v>
      </c>
      <c r="AA36" s="111" t="e">
        <v>#VALUE!</v>
      </c>
      <c r="AB36" s="111" t="e">
        <v>#VALUE!</v>
      </c>
      <c r="AC36" s="111" t="e">
        <v>#VALUE!</v>
      </c>
      <c r="AD36" s="111" t="e">
        <v>#VALUE!</v>
      </c>
      <c r="AE36" s="110">
        <v>1514</v>
      </c>
      <c r="AF36" s="84" t="s">
        <v>241</v>
      </c>
    </row>
    <row r="37" spans="1:32">
      <c r="A37" s="56"/>
      <c r="B37" s="58"/>
      <c r="C37" s="30" t="s">
        <v>116</v>
      </c>
      <c r="D37" s="13" t="s">
        <v>117</v>
      </c>
      <c r="E37" s="13" t="s">
        <v>118</v>
      </c>
      <c r="F37" s="13" t="s">
        <v>119</v>
      </c>
      <c r="G37" s="13" t="s">
        <v>76</v>
      </c>
      <c r="H37" s="13" t="s">
        <v>110</v>
      </c>
      <c r="I37" s="13" t="s">
        <v>120</v>
      </c>
      <c r="J37" s="13" t="s">
        <v>121</v>
      </c>
      <c r="K37" s="13" t="s">
        <v>122</v>
      </c>
      <c r="L37" s="13" t="s">
        <v>103</v>
      </c>
      <c r="M37" s="29" t="s">
        <v>82</v>
      </c>
      <c r="N37" s="16" t="s">
        <v>83</v>
      </c>
      <c r="O37" s="13">
        <v>1600</v>
      </c>
      <c r="P37" s="17"/>
      <c r="Q37" s="13" t="s">
        <v>123</v>
      </c>
      <c r="R37" s="13" t="s">
        <v>124</v>
      </c>
      <c r="S37" s="84">
        <v>230</v>
      </c>
      <c r="T37" s="111">
        <v>240</v>
      </c>
      <c r="U37" s="111">
        <v>233</v>
      </c>
      <c r="V37" s="111" t="e">
        <v>#VALUE!</v>
      </c>
      <c r="W37" s="111" t="e">
        <v>#VALUE!</v>
      </c>
      <c r="X37" s="111" t="e">
        <v>#VALUE!</v>
      </c>
      <c r="Y37" s="111" t="e">
        <v>#VALUE!</v>
      </c>
      <c r="Z37" s="111" t="e">
        <v>#VALUE!</v>
      </c>
      <c r="AA37" s="111" t="e">
        <v>#VALUE!</v>
      </c>
      <c r="AB37" s="111" t="e">
        <v>#VALUE!</v>
      </c>
      <c r="AC37" s="111" t="e">
        <v>#VALUE!</v>
      </c>
      <c r="AD37" s="111" t="e">
        <v>#VALUE!</v>
      </c>
      <c r="AE37" s="110">
        <v>703</v>
      </c>
      <c r="AF37" s="84" t="s">
        <v>242</v>
      </c>
    </row>
    <row r="38" spans="1:32">
      <c r="A38" s="59"/>
      <c r="B38" s="60" t="s">
        <v>95</v>
      </c>
      <c r="C38" s="9" t="s">
        <v>125</v>
      </c>
      <c r="D38" s="18" t="s">
        <v>126</v>
      </c>
      <c r="E38" s="18" t="s">
        <v>127</v>
      </c>
      <c r="F38" s="18" t="s">
        <v>128</v>
      </c>
      <c r="G38" s="18" t="s">
        <v>76</v>
      </c>
      <c r="H38" s="18" t="s">
        <v>77</v>
      </c>
      <c r="I38" s="18" t="s">
        <v>129</v>
      </c>
      <c r="J38" s="13" t="s">
        <v>130</v>
      </c>
      <c r="K38" s="13" t="s">
        <v>131</v>
      </c>
      <c r="L38" s="13" t="s">
        <v>103</v>
      </c>
      <c r="M38" s="18" t="s">
        <v>82</v>
      </c>
      <c r="N38" s="16" t="s">
        <v>83</v>
      </c>
      <c r="O38" s="112">
        <v>8580</v>
      </c>
      <c r="P38" s="22"/>
      <c r="Q38" s="18" t="s">
        <v>132</v>
      </c>
      <c r="R38" s="18" t="s">
        <v>133</v>
      </c>
      <c r="S38" s="113">
        <v>554</v>
      </c>
      <c r="T38" s="111">
        <v>550</v>
      </c>
      <c r="U38" s="111">
        <v>712</v>
      </c>
      <c r="V38" s="111">
        <v>305</v>
      </c>
      <c r="W38" s="111">
        <v>0</v>
      </c>
      <c r="X38" s="111">
        <v>0</v>
      </c>
      <c r="Y38" s="111">
        <v>0</v>
      </c>
      <c r="Z38" s="111">
        <v>0</v>
      </c>
      <c r="AA38" s="111">
        <v>0</v>
      </c>
      <c r="AB38" s="111">
        <v>0</v>
      </c>
      <c r="AC38" s="111">
        <v>0</v>
      </c>
      <c r="AD38" s="111">
        <v>0</v>
      </c>
      <c r="AE38" s="110">
        <v>1816</v>
      </c>
      <c r="AF38" s="84" t="s">
        <v>243</v>
      </c>
    </row>
    <row r="39" spans="1:32">
      <c r="A39" s="56"/>
      <c r="B39" s="58"/>
      <c r="C39" s="30" t="s">
        <v>134</v>
      </c>
      <c r="D39" s="13" t="s">
        <v>135</v>
      </c>
      <c r="E39" s="13" t="s">
        <v>136</v>
      </c>
      <c r="F39" s="13" t="s">
        <v>137</v>
      </c>
      <c r="G39" s="13" t="s">
        <v>76</v>
      </c>
      <c r="H39" s="13" t="s">
        <v>110</v>
      </c>
      <c r="I39" s="61" t="s">
        <v>138</v>
      </c>
      <c r="J39" s="13" t="s">
        <v>139</v>
      </c>
      <c r="K39" s="13" t="s">
        <v>140</v>
      </c>
      <c r="L39" s="13" t="s">
        <v>103</v>
      </c>
      <c r="M39" s="29" t="s">
        <v>82</v>
      </c>
      <c r="N39" s="16" t="s">
        <v>83</v>
      </c>
      <c r="O39" s="13">
        <v>3000</v>
      </c>
      <c r="P39" s="69"/>
      <c r="Q39" s="62" t="s">
        <v>141</v>
      </c>
      <c r="R39" s="63" t="s">
        <v>142</v>
      </c>
      <c r="S39" s="84">
        <v>31</v>
      </c>
      <c r="T39" s="111">
        <v>110</v>
      </c>
      <c r="U39" s="111">
        <v>266</v>
      </c>
      <c r="V39" s="111">
        <v>90</v>
      </c>
      <c r="W39" s="111">
        <v>0</v>
      </c>
      <c r="X39" s="111">
        <v>0</v>
      </c>
      <c r="Y39" s="111">
        <v>0</v>
      </c>
      <c r="Z39" s="111">
        <v>0</v>
      </c>
      <c r="AA39" s="111">
        <v>0</v>
      </c>
      <c r="AB39" s="111">
        <v>0</v>
      </c>
      <c r="AC39" s="111">
        <v>0</v>
      </c>
      <c r="AD39" s="111">
        <v>0</v>
      </c>
      <c r="AE39" s="110">
        <v>407</v>
      </c>
      <c r="AF39" s="84" t="s">
        <v>244</v>
      </c>
    </row>
    <row r="40" spans="1:32">
      <c r="A40" s="56"/>
      <c r="B40" s="56"/>
      <c r="C40" s="30" t="s">
        <v>143</v>
      </c>
      <c r="D40" s="18" t="s">
        <v>144</v>
      </c>
      <c r="E40" s="18" t="s">
        <v>145</v>
      </c>
      <c r="F40" s="18" t="s">
        <v>146</v>
      </c>
      <c r="G40" s="18" t="s">
        <v>76</v>
      </c>
      <c r="H40" s="18" t="s">
        <v>110</v>
      </c>
      <c r="I40" s="64" t="s">
        <v>147</v>
      </c>
      <c r="J40" s="13" t="s">
        <v>148</v>
      </c>
      <c r="K40" s="13" t="s">
        <v>149</v>
      </c>
      <c r="L40" s="13" t="s">
        <v>103</v>
      </c>
      <c r="M40" s="29" t="s">
        <v>82</v>
      </c>
      <c r="N40" s="16" t="s">
        <v>83</v>
      </c>
      <c r="O40" s="13">
        <v>5500</v>
      </c>
      <c r="P40" s="73"/>
      <c r="Q40" s="65" t="s">
        <v>150</v>
      </c>
      <c r="R40" s="66" t="s">
        <v>151</v>
      </c>
      <c r="S40" s="84">
        <v>515</v>
      </c>
      <c r="T40" s="111">
        <v>429</v>
      </c>
      <c r="U40" s="111">
        <v>432</v>
      </c>
      <c r="V40" s="111">
        <v>206</v>
      </c>
      <c r="W40" s="111">
        <v>0</v>
      </c>
      <c r="X40" s="111">
        <v>0</v>
      </c>
      <c r="Y40" s="111">
        <v>0</v>
      </c>
      <c r="Z40" s="111">
        <v>0</v>
      </c>
      <c r="AA40" s="111">
        <v>0</v>
      </c>
      <c r="AB40" s="111">
        <v>0</v>
      </c>
      <c r="AC40" s="111">
        <v>0</v>
      </c>
      <c r="AD40" s="111">
        <v>0</v>
      </c>
      <c r="AE40" s="110">
        <v>1376</v>
      </c>
      <c r="AF40" s="84" t="s">
        <v>245</v>
      </c>
    </row>
    <row r="41" spans="1:32">
      <c r="A41" s="56"/>
      <c r="B41" s="56"/>
      <c r="C41" s="30" t="s">
        <v>152</v>
      </c>
      <c r="D41" s="18" t="s">
        <v>153</v>
      </c>
      <c r="E41" s="18" t="s">
        <v>154</v>
      </c>
      <c r="F41" s="18" t="s">
        <v>155</v>
      </c>
      <c r="G41" s="18" t="s">
        <v>76</v>
      </c>
      <c r="H41" s="18" t="s">
        <v>110</v>
      </c>
      <c r="I41" s="64" t="s">
        <v>156</v>
      </c>
      <c r="J41" s="13" t="s">
        <v>157</v>
      </c>
      <c r="K41" s="13" t="s">
        <v>158</v>
      </c>
      <c r="L41" s="13" t="s">
        <v>103</v>
      </c>
      <c r="M41" s="29" t="s">
        <v>82</v>
      </c>
      <c r="N41" s="13">
        <v>64</v>
      </c>
      <c r="O41" s="13">
        <v>80</v>
      </c>
      <c r="P41" s="73"/>
      <c r="Q41" s="67" t="s">
        <v>104</v>
      </c>
      <c r="R41" s="68" t="s">
        <v>159</v>
      </c>
      <c r="S41" s="84">
        <v>8</v>
      </c>
      <c r="T41" s="111">
        <v>11</v>
      </c>
      <c r="U41" s="111">
        <v>14</v>
      </c>
      <c r="V41" s="111">
        <v>9</v>
      </c>
      <c r="W41" s="111">
        <v>0</v>
      </c>
      <c r="X41" s="111">
        <v>0</v>
      </c>
      <c r="Y41" s="111">
        <v>0</v>
      </c>
      <c r="Z41" s="111">
        <v>0</v>
      </c>
      <c r="AA41" s="111">
        <v>0</v>
      </c>
      <c r="AB41" s="111">
        <v>0</v>
      </c>
      <c r="AC41" s="111">
        <v>0</v>
      </c>
      <c r="AD41" s="111">
        <v>0</v>
      </c>
      <c r="AE41" s="110">
        <v>33</v>
      </c>
      <c r="AF41" s="84" t="s">
        <v>246</v>
      </c>
    </row>
    <row r="42" spans="1:32">
      <c r="A42" s="59"/>
      <c r="B42" s="60" t="s">
        <v>95</v>
      </c>
      <c r="C42" s="9" t="s">
        <v>160</v>
      </c>
      <c r="D42" s="18" t="s">
        <v>161</v>
      </c>
      <c r="E42" s="18" t="s">
        <v>162</v>
      </c>
      <c r="F42" s="18" t="s">
        <v>163</v>
      </c>
      <c r="G42" s="18" t="s">
        <v>76</v>
      </c>
      <c r="H42" s="18" t="s">
        <v>77</v>
      </c>
      <c r="I42" s="61" t="s">
        <v>164</v>
      </c>
      <c r="J42" s="61" t="s">
        <v>165</v>
      </c>
      <c r="K42" s="61" t="s">
        <v>166</v>
      </c>
      <c r="L42" s="13" t="s">
        <v>103</v>
      </c>
      <c r="M42" s="29" t="s">
        <v>82</v>
      </c>
      <c r="N42" s="16" t="s">
        <v>83</v>
      </c>
      <c r="O42" s="13">
        <v>1400</v>
      </c>
      <c r="P42" s="73"/>
      <c r="Q42" s="18" t="s">
        <v>167</v>
      </c>
      <c r="R42" s="69" t="s">
        <v>168</v>
      </c>
      <c r="S42" s="109">
        <v>73</v>
      </c>
      <c r="T42" s="111">
        <v>104</v>
      </c>
      <c r="U42" s="111">
        <v>100</v>
      </c>
      <c r="V42" s="111">
        <v>90</v>
      </c>
      <c r="W42" s="111">
        <v>0</v>
      </c>
      <c r="X42" s="111">
        <v>0</v>
      </c>
      <c r="Y42" s="111">
        <v>0</v>
      </c>
      <c r="Z42" s="111">
        <v>0</v>
      </c>
      <c r="AA42" s="111">
        <v>0</v>
      </c>
      <c r="AB42" s="111">
        <v>0</v>
      </c>
      <c r="AC42" s="111">
        <v>0</v>
      </c>
      <c r="AD42" s="111">
        <v>0</v>
      </c>
      <c r="AE42" s="110">
        <v>277</v>
      </c>
      <c r="AF42" s="84" t="s">
        <v>247</v>
      </c>
    </row>
    <row r="43" spans="1:32">
      <c r="A43" s="56"/>
      <c r="B43" s="58"/>
      <c r="C43" s="31" t="s">
        <v>169</v>
      </c>
      <c r="D43" s="13" t="s">
        <v>170</v>
      </c>
      <c r="E43" s="13" t="s">
        <v>171</v>
      </c>
      <c r="F43" s="13" t="s">
        <v>172</v>
      </c>
      <c r="G43" s="70" t="s">
        <v>76</v>
      </c>
      <c r="H43" s="71" t="s">
        <v>110</v>
      </c>
      <c r="I43" s="70" t="s">
        <v>173</v>
      </c>
      <c r="J43" s="72" t="s">
        <v>174</v>
      </c>
      <c r="K43" s="72" t="s">
        <v>175</v>
      </c>
      <c r="L43" s="13" t="s">
        <v>103</v>
      </c>
      <c r="M43" s="29" t="s">
        <v>82</v>
      </c>
      <c r="N43" s="16" t="s">
        <v>83</v>
      </c>
      <c r="O43" s="74">
        <v>200</v>
      </c>
      <c r="P43" s="17"/>
      <c r="Q43" s="61" t="s">
        <v>176</v>
      </c>
      <c r="R43" s="74" t="s">
        <v>177</v>
      </c>
      <c r="S43" s="84">
        <v>22</v>
      </c>
      <c r="T43" s="111">
        <v>34</v>
      </c>
      <c r="U43" s="111">
        <v>27</v>
      </c>
      <c r="V43" s="111">
        <v>28</v>
      </c>
      <c r="W43" s="111">
        <v>0</v>
      </c>
      <c r="X43" s="111">
        <v>0</v>
      </c>
      <c r="Y43" s="111">
        <v>0</v>
      </c>
      <c r="Z43" s="111">
        <v>0</v>
      </c>
      <c r="AA43" s="111">
        <v>0</v>
      </c>
      <c r="AB43" s="111">
        <v>0</v>
      </c>
      <c r="AC43" s="111">
        <v>0</v>
      </c>
      <c r="AD43" s="111">
        <v>0</v>
      </c>
      <c r="AE43" s="110">
        <v>83</v>
      </c>
      <c r="AF43" s="84" t="s">
        <v>248</v>
      </c>
    </row>
    <row r="44" spans="1:32">
      <c r="A44" s="40"/>
      <c r="B44" s="41"/>
      <c r="C44" s="31" t="s">
        <v>178</v>
      </c>
      <c r="D44" s="13" t="s">
        <v>179</v>
      </c>
      <c r="E44" s="13" t="s">
        <v>180</v>
      </c>
      <c r="F44" s="13" t="s">
        <v>181</v>
      </c>
      <c r="G44" s="75" t="s">
        <v>76</v>
      </c>
      <c r="H44" s="76" t="s">
        <v>110</v>
      </c>
      <c r="I44" s="64" t="s">
        <v>182</v>
      </c>
      <c r="J44" s="77" t="s">
        <v>183</v>
      </c>
      <c r="K44" s="77" t="s">
        <v>184</v>
      </c>
      <c r="L44" s="13" t="s">
        <v>103</v>
      </c>
      <c r="M44" s="29" t="s">
        <v>82</v>
      </c>
      <c r="N44" s="16" t="s">
        <v>83</v>
      </c>
      <c r="O44" s="74">
        <v>1265</v>
      </c>
      <c r="P44" s="17"/>
      <c r="Q44" s="64" t="s">
        <v>185</v>
      </c>
      <c r="R44" s="78" t="s">
        <v>186</v>
      </c>
      <c r="S44" s="84">
        <v>102</v>
      </c>
      <c r="T44" s="84">
        <v>88</v>
      </c>
      <c r="U44" s="84">
        <v>130</v>
      </c>
      <c r="V44" s="84">
        <v>43</v>
      </c>
      <c r="W44" s="84">
        <v>0</v>
      </c>
      <c r="X44" s="84">
        <v>0</v>
      </c>
      <c r="Y44" s="84">
        <v>0</v>
      </c>
      <c r="Z44" s="84">
        <v>0</v>
      </c>
      <c r="AA44" s="84">
        <v>0</v>
      </c>
      <c r="AB44" s="84">
        <v>0</v>
      </c>
      <c r="AC44" s="84">
        <v>0</v>
      </c>
      <c r="AD44" s="84">
        <v>0</v>
      </c>
      <c r="AE44" s="110">
        <v>320</v>
      </c>
      <c r="AF44" s="84" t="s">
        <v>249</v>
      </c>
    </row>
    <row r="45" spans="1:32">
      <c r="A45" s="40"/>
      <c r="B45" s="40"/>
      <c r="C45" s="31" t="s">
        <v>187</v>
      </c>
      <c r="D45" s="13" t="s">
        <v>188</v>
      </c>
      <c r="E45" s="13" t="s">
        <v>189</v>
      </c>
      <c r="F45" s="13" t="s">
        <v>190</v>
      </c>
      <c r="G45" s="75" t="s">
        <v>76</v>
      </c>
      <c r="H45" s="76" t="s">
        <v>110</v>
      </c>
      <c r="I45" s="64" t="s">
        <v>191</v>
      </c>
      <c r="J45" s="77" t="s">
        <v>192</v>
      </c>
      <c r="K45" s="77" t="s">
        <v>193</v>
      </c>
      <c r="L45" s="13" t="s">
        <v>103</v>
      </c>
      <c r="M45" s="29" t="s">
        <v>82</v>
      </c>
      <c r="N45" s="16" t="s">
        <v>83</v>
      </c>
      <c r="O45" s="74">
        <v>120</v>
      </c>
      <c r="P45" s="17"/>
      <c r="Q45" s="78" t="s">
        <v>104</v>
      </c>
      <c r="R45" s="78" t="s">
        <v>194</v>
      </c>
      <c r="S45" s="84">
        <v>8</v>
      </c>
      <c r="T45" s="84">
        <v>15</v>
      </c>
      <c r="U45" s="84">
        <v>14</v>
      </c>
      <c r="V45" s="84">
        <v>37</v>
      </c>
      <c r="W45" s="84">
        <v>0</v>
      </c>
      <c r="X45" s="84">
        <v>0</v>
      </c>
      <c r="Y45" s="84">
        <v>0</v>
      </c>
      <c r="Z45" s="84">
        <v>0</v>
      </c>
      <c r="AA45" s="84">
        <v>0</v>
      </c>
      <c r="AB45" s="84">
        <v>0</v>
      </c>
      <c r="AC45" s="84">
        <v>0</v>
      </c>
      <c r="AD45" s="84">
        <v>0</v>
      </c>
      <c r="AE45" s="110">
        <v>37</v>
      </c>
      <c r="AF45" s="84" t="s">
        <v>250</v>
      </c>
    </row>
    <row r="46" spans="1:32">
      <c r="A46" s="40"/>
      <c r="B46" s="40"/>
      <c r="C46" s="31" t="s">
        <v>195</v>
      </c>
      <c r="D46" s="13" t="s">
        <v>196</v>
      </c>
      <c r="E46" s="13" t="s">
        <v>197</v>
      </c>
      <c r="F46" s="13" t="s">
        <v>198</v>
      </c>
      <c r="G46" s="75" t="s">
        <v>76</v>
      </c>
      <c r="H46" s="76" t="s">
        <v>110</v>
      </c>
      <c r="I46" s="64" t="s">
        <v>199</v>
      </c>
      <c r="J46" s="77" t="s">
        <v>200</v>
      </c>
      <c r="K46" s="77" t="s">
        <v>201</v>
      </c>
      <c r="L46" s="13" t="s">
        <v>103</v>
      </c>
      <c r="M46" s="29" t="s">
        <v>82</v>
      </c>
      <c r="N46" s="16" t="s">
        <v>83</v>
      </c>
      <c r="O46" s="74">
        <v>120</v>
      </c>
      <c r="P46" s="17"/>
      <c r="Q46" s="78" t="s">
        <v>202</v>
      </c>
      <c r="R46" s="78" t="s">
        <v>203</v>
      </c>
      <c r="S46" s="84">
        <v>24</v>
      </c>
      <c r="T46" s="84">
        <v>12</v>
      </c>
      <c r="U46" s="84">
        <v>16</v>
      </c>
      <c r="V46" s="84">
        <v>26</v>
      </c>
      <c r="W46" s="84">
        <v>0</v>
      </c>
      <c r="X46" s="84">
        <v>0</v>
      </c>
      <c r="Y46" s="84">
        <v>0</v>
      </c>
      <c r="Z46" s="84">
        <v>0</v>
      </c>
      <c r="AA46" s="84">
        <v>0</v>
      </c>
      <c r="AB46" s="84">
        <v>0</v>
      </c>
      <c r="AC46" s="84">
        <v>0</v>
      </c>
      <c r="AD46" s="84">
        <v>0</v>
      </c>
      <c r="AE46" s="110">
        <v>52</v>
      </c>
      <c r="AF46" s="84" t="s">
        <v>251</v>
      </c>
    </row>
    <row r="47" spans="1:32">
      <c r="A47" s="40"/>
      <c r="B47" s="40"/>
      <c r="C47" s="31" t="s">
        <v>204</v>
      </c>
      <c r="D47" s="13" t="s">
        <v>205</v>
      </c>
      <c r="E47" s="13" t="s">
        <v>206</v>
      </c>
      <c r="F47" s="13" t="s">
        <v>207</v>
      </c>
      <c r="G47" s="75" t="s">
        <v>76</v>
      </c>
      <c r="H47" s="76" t="s">
        <v>110</v>
      </c>
      <c r="I47" s="75" t="s">
        <v>208</v>
      </c>
      <c r="J47" s="77" t="s">
        <v>209</v>
      </c>
      <c r="K47" s="77" t="s">
        <v>210</v>
      </c>
      <c r="L47" s="13" t="s">
        <v>103</v>
      </c>
      <c r="M47" s="29" t="s">
        <v>82</v>
      </c>
      <c r="N47" s="16" t="s">
        <v>83</v>
      </c>
      <c r="O47" s="74">
        <v>700</v>
      </c>
      <c r="P47" s="17"/>
      <c r="Q47" s="78" t="s">
        <v>211</v>
      </c>
      <c r="R47" s="78" t="s">
        <v>212</v>
      </c>
      <c r="S47" s="84">
        <v>55</v>
      </c>
      <c r="T47" s="84">
        <v>68</v>
      </c>
      <c r="U47" s="84">
        <v>74</v>
      </c>
      <c r="V47" s="84">
        <v>73</v>
      </c>
      <c r="W47" s="84">
        <v>0</v>
      </c>
      <c r="X47" s="84">
        <v>0</v>
      </c>
      <c r="Y47" s="84">
        <v>0</v>
      </c>
      <c r="Z47" s="84">
        <v>0</v>
      </c>
      <c r="AA47" s="84">
        <v>0</v>
      </c>
      <c r="AB47" s="84">
        <v>0</v>
      </c>
      <c r="AC47" s="84">
        <v>0</v>
      </c>
      <c r="AD47" s="84">
        <v>0</v>
      </c>
      <c r="AE47" s="110">
        <v>197</v>
      </c>
      <c r="AF47" s="84" t="s">
        <v>252</v>
      </c>
    </row>
    <row r="48" spans="1:32">
      <c r="A48" s="80"/>
      <c r="B48" s="80"/>
      <c r="D48" s="81"/>
      <c r="E48" s="81"/>
      <c r="F48" s="81"/>
      <c r="G48" s="81"/>
      <c r="H48" s="81"/>
    </row>
    <row r="49" spans="1:20">
      <c r="A49" s="80"/>
      <c r="B49" s="80"/>
      <c r="D49" s="81"/>
      <c r="E49" s="81"/>
      <c r="F49" s="81"/>
      <c r="G49" s="81"/>
      <c r="H49" s="81"/>
    </row>
    <row r="50" spans="1:20">
      <c r="A50" s="80"/>
      <c r="B50" s="80"/>
      <c r="D50" s="81"/>
      <c r="E50" s="81"/>
      <c r="F50" s="81"/>
      <c r="G50" s="81"/>
      <c r="H50" s="81"/>
    </row>
    <row r="51" spans="1:20">
      <c r="A51" s="80"/>
      <c r="B51" s="80"/>
      <c r="D51" s="81"/>
      <c r="E51" s="81"/>
      <c r="F51" s="81"/>
      <c r="G51" s="81"/>
      <c r="H51" s="81"/>
    </row>
    <row r="52" spans="1:20">
      <c r="A52" s="80"/>
      <c r="B52" s="80"/>
      <c r="D52" s="81"/>
      <c r="E52" s="81"/>
      <c r="F52" s="81"/>
      <c r="G52" s="81"/>
      <c r="H52" s="81"/>
    </row>
    <row r="53" spans="1:20">
      <c r="A53" s="80"/>
      <c r="B53" s="80"/>
      <c r="D53" s="81"/>
      <c r="E53" s="81"/>
      <c r="F53" s="81"/>
      <c r="G53" s="81"/>
      <c r="H53" s="81"/>
    </row>
    <row r="54" spans="1:20">
      <c r="A54" s="80"/>
      <c r="B54" s="80"/>
      <c r="D54" s="81"/>
      <c r="E54" s="81"/>
      <c r="F54" s="81"/>
      <c r="G54" s="81"/>
      <c r="H54" s="81"/>
    </row>
    <row r="55" spans="1:20">
      <c r="A55" s="80"/>
      <c r="B55" s="80"/>
      <c r="D55" s="81"/>
      <c r="E55" s="81"/>
      <c r="F55" s="81"/>
      <c r="G55" s="81"/>
      <c r="H55" s="81"/>
    </row>
    <row r="56" spans="1:20">
      <c r="A56" s="80"/>
      <c r="B56" s="80"/>
      <c r="C56" s="80"/>
      <c r="D56" s="81"/>
      <c r="E56" s="81"/>
      <c r="F56" s="81"/>
      <c r="G56" s="81"/>
      <c r="H56" s="81"/>
      <c r="I56" s="80"/>
      <c r="J56" s="80"/>
      <c r="K56" s="80"/>
      <c r="L56" s="80"/>
      <c r="M56" s="80"/>
      <c r="N56" s="80"/>
      <c r="O56" s="80"/>
      <c r="P56" s="80"/>
      <c r="Q56" s="80"/>
      <c r="R56" s="80"/>
      <c r="S56" s="80"/>
    </row>
    <row r="57" spans="1:20">
      <c r="A57" s="80"/>
      <c r="B57" s="80"/>
      <c r="C57" s="80"/>
      <c r="D57" s="81"/>
      <c r="E57" s="81"/>
      <c r="F57" s="81"/>
      <c r="G57" s="81"/>
      <c r="H57" s="81"/>
      <c r="I57" s="80"/>
      <c r="J57" s="80"/>
      <c r="K57" s="80"/>
      <c r="L57" s="80"/>
      <c r="M57" s="80"/>
      <c r="N57" s="80"/>
      <c r="O57" s="80"/>
      <c r="P57" s="80"/>
      <c r="Q57" s="80"/>
      <c r="R57" s="80"/>
      <c r="S57" s="80"/>
    </row>
    <row r="58" spans="1:20">
      <c r="A58" s="80"/>
      <c r="B58" s="80"/>
      <c r="C58" s="80"/>
      <c r="D58" s="81"/>
      <c r="E58" s="81"/>
      <c r="F58" s="81"/>
      <c r="G58" s="81"/>
      <c r="H58" s="81"/>
      <c r="I58" s="80"/>
      <c r="J58" s="80"/>
      <c r="K58" s="80"/>
      <c r="L58" s="80"/>
      <c r="M58" s="80"/>
      <c r="N58" s="80"/>
      <c r="O58" s="80"/>
      <c r="P58" s="80"/>
      <c r="Q58" s="80"/>
      <c r="R58" s="80"/>
      <c r="S58" s="80"/>
    </row>
    <row r="59" spans="1:20">
      <c r="A59" s="80"/>
      <c r="B59" s="80"/>
      <c r="C59" s="80"/>
      <c r="D59" s="81"/>
      <c r="E59" s="81"/>
      <c r="F59" s="81"/>
      <c r="G59" s="81"/>
      <c r="H59" s="81"/>
      <c r="I59" s="80"/>
      <c r="J59" s="80"/>
      <c r="K59" s="80"/>
      <c r="L59" s="80"/>
      <c r="M59" s="80"/>
      <c r="N59" s="80"/>
      <c r="O59" s="80"/>
      <c r="P59" s="80"/>
      <c r="Q59" s="80"/>
      <c r="R59" s="80"/>
      <c r="S59" s="80"/>
    </row>
    <row r="60" spans="1:20">
      <c r="C60" s="80"/>
      <c r="D60" s="81"/>
      <c r="E60" s="81"/>
      <c r="F60" s="81"/>
      <c r="G60" s="81"/>
      <c r="H60" s="81"/>
    </row>
    <row r="61" spans="1:20">
      <c r="D61" s="81"/>
      <c r="E61" s="81"/>
      <c r="F61" s="81"/>
      <c r="G61" s="81"/>
      <c r="H61" s="81"/>
    </row>
    <row r="62" spans="1:20">
      <c r="D62" s="81"/>
      <c r="E62" s="81"/>
      <c r="F62" s="81"/>
      <c r="G62" s="81"/>
      <c r="H62" s="81"/>
    </row>
    <row r="63" spans="1:20">
      <c r="C63" s="33" t="s">
        <v>213</v>
      </c>
      <c r="D63" s="170"/>
      <c r="E63" s="171"/>
      <c r="F63" s="171"/>
      <c r="G63" s="172"/>
      <c r="H63" s="43" t="s">
        <v>7</v>
      </c>
      <c r="I63" s="165" t="s">
        <v>214</v>
      </c>
      <c r="J63" s="155"/>
      <c r="K63" s="155"/>
      <c r="L63" s="155"/>
      <c r="M63" s="155"/>
      <c r="N63" s="155"/>
      <c r="O63" s="155"/>
      <c r="P63" s="155"/>
      <c r="Q63" s="155"/>
      <c r="R63" s="155"/>
      <c r="S63" s="155"/>
      <c r="T63" s="156"/>
    </row>
    <row r="64" spans="1:20">
      <c r="C64" s="2" t="s">
        <v>215</v>
      </c>
      <c r="D64" s="166"/>
      <c r="E64" s="155"/>
      <c r="F64" s="155"/>
      <c r="G64" s="156"/>
      <c r="H64" s="43" t="s">
        <v>7</v>
      </c>
      <c r="I64" s="82" t="s">
        <v>216</v>
      </c>
      <c r="J64" s="83" t="s">
        <v>217</v>
      </c>
      <c r="K64" s="83" t="s">
        <v>218</v>
      </c>
      <c r="L64" s="83" t="s">
        <v>219</v>
      </c>
      <c r="M64" s="83" t="s">
        <v>220</v>
      </c>
      <c r="N64" s="83" t="s">
        <v>221</v>
      </c>
      <c r="O64" s="83" t="s">
        <v>222</v>
      </c>
      <c r="P64" s="83" t="s">
        <v>223</v>
      </c>
      <c r="Q64" s="83" t="s">
        <v>224</v>
      </c>
      <c r="R64" s="83" t="s">
        <v>225</v>
      </c>
      <c r="S64" s="83" t="s">
        <v>226</v>
      </c>
      <c r="T64" s="83" t="s">
        <v>227</v>
      </c>
    </row>
    <row r="65" spans="3:20">
      <c r="C65" s="2" t="s">
        <v>228</v>
      </c>
      <c r="D65" s="166"/>
      <c r="E65" s="155"/>
      <c r="F65" s="155"/>
      <c r="G65" s="156"/>
      <c r="H65" s="43" t="s">
        <v>7</v>
      </c>
      <c r="I65" s="84"/>
      <c r="J65" s="84"/>
      <c r="K65" s="84"/>
      <c r="L65" s="84"/>
      <c r="M65" s="84"/>
      <c r="N65" s="84"/>
      <c r="O65" s="84"/>
      <c r="P65" s="84"/>
      <c r="Q65" s="84"/>
      <c r="R65" s="84"/>
      <c r="S65" s="84"/>
      <c r="T65" s="84"/>
    </row>
    <row r="66" spans="3:20">
      <c r="C66" s="34" t="s">
        <v>229</v>
      </c>
      <c r="D66" s="167"/>
      <c r="E66" s="155"/>
      <c r="F66" s="155"/>
      <c r="G66" s="156"/>
      <c r="H66" s="81"/>
      <c r="I66" s="80"/>
      <c r="J66" s="80"/>
      <c r="K66" s="80"/>
      <c r="L66" s="80"/>
      <c r="M66" s="80"/>
      <c r="N66" s="80"/>
      <c r="O66" s="80"/>
      <c r="P66" s="80"/>
      <c r="Q66" s="80"/>
      <c r="R66" s="80"/>
    </row>
    <row r="67" spans="3:20">
      <c r="C67" s="2" t="s">
        <v>230</v>
      </c>
      <c r="D67" s="168"/>
      <c r="E67" s="155"/>
      <c r="F67" s="155"/>
      <c r="G67" s="156"/>
      <c r="H67" s="43" t="s">
        <v>7</v>
      </c>
      <c r="I67" s="80"/>
      <c r="J67" s="80"/>
      <c r="K67" s="80"/>
      <c r="L67" s="80"/>
      <c r="M67" s="80"/>
      <c r="N67" s="80"/>
      <c r="O67" s="80"/>
      <c r="P67" s="80"/>
      <c r="Q67" s="80"/>
      <c r="R67" s="80"/>
    </row>
    <row r="68" spans="3:20">
      <c r="C68" s="2" t="s">
        <v>231</v>
      </c>
      <c r="D68" s="166"/>
      <c r="E68" s="155"/>
      <c r="F68" s="155"/>
      <c r="G68" s="156"/>
      <c r="H68" s="81"/>
      <c r="I68" s="80"/>
      <c r="J68" s="80"/>
      <c r="K68" s="80"/>
      <c r="L68" s="80"/>
      <c r="M68" s="80"/>
      <c r="N68" s="80"/>
      <c r="O68" s="80"/>
      <c r="P68" s="80"/>
      <c r="Q68" s="80"/>
      <c r="R68" s="80"/>
    </row>
    <row r="69" spans="3:20">
      <c r="C69" s="2" t="s">
        <v>232</v>
      </c>
      <c r="D69" s="169"/>
      <c r="E69" s="155"/>
      <c r="F69" s="155"/>
      <c r="G69" s="156"/>
      <c r="H69" s="81"/>
      <c r="I69" s="80"/>
      <c r="J69" s="80"/>
      <c r="K69" s="80"/>
      <c r="L69" s="80"/>
      <c r="M69" s="80"/>
      <c r="N69" s="80"/>
      <c r="O69" s="80"/>
      <c r="P69" s="80"/>
      <c r="Q69" s="80"/>
      <c r="R69" s="80"/>
    </row>
    <row r="70" spans="3:20">
      <c r="C70" s="80"/>
      <c r="D70" s="81"/>
      <c r="E70" s="81"/>
      <c r="F70" s="81"/>
      <c r="G70" s="81"/>
      <c r="H70" s="81"/>
      <c r="I70" s="80"/>
      <c r="J70" s="80"/>
      <c r="K70" s="80"/>
      <c r="L70" s="80"/>
      <c r="M70" s="80"/>
      <c r="N70" s="80"/>
      <c r="O70" s="80"/>
      <c r="P70" s="80"/>
      <c r="Q70" s="80"/>
      <c r="R70" s="80"/>
      <c r="S70" s="80"/>
    </row>
    <row r="71" spans="3:20">
      <c r="D71" s="81"/>
      <c r="E71" s="81"/>
      <c r="F71" s="81"/>
      <c r="G71" s="81"/>
      <c r="H71" s="81"/>
    </row>
    <row r="72" spans="3:20">
      <c r="D72" s="81"/>
      <c r="E72" s="81"/>
      <c r="F72" s="81"/>
      <c r="G72" s="81"/>
      <c r="H72" s="81"/>
    </row>
    <row r="73" spans="3:20">
      <c r="D73" s="81"/>
      <c r="E73" s="81"/>
      <c r="F73" s="81"/>
      <c r="G73" s="81"/>
      <c r="H73" s="81"/>
    </row>
    <row r="74" spans="3:20">
      <c r="D74" s="81"/>
      <c r="E74" s="81"/>
      <c r="F74" s="81"/>
      <c r="G74" s="81"/>
      <c r="H74" s="81"/>
    </row>
    <row r="75" spans="3:20">
      <c r="D75" s="81"/>
      <c r="E75" s="81"/>
      <c r="F75" s="81"/>
      <c r="G75" s="81"/>
      <c r="H75" s="81"/>
    </row>
    <row r="76" spans="3:20">
      <c r="D76" s="81"/>
      <c r="E76" s="81"/>
      <c r="F76" s="81"/>
      <c r="G76" s="81"/>
      <c r="H76" s="81"/>
    </row>
    <row r="77" spans="3:20">
      <c r="D77" s="81"/>
      <c r="E77" s="81"/>
      <c r="F77" s="81"/>
      <c r="G77" s="81"/>
      <c r="H77" s="81"/>
    </row>
    <row r="78" spans="3:20">
      <c r="D78" s="81"/>
      <c r="E78" s="81"/>
      <c r="F78" s="81"/>
      <c r="G78" s="81"/>
      <c r="H78" s="81"/>
    </row>
    <row r="79" spans="3:20">
      <c r="D79" s="81"/>
      <c r="E79" s="81"/>
      <c r="F79" s="81"/>
      <c r="G79" s="81"/>
      <c r="H79" s="81"/>
    </row>
    <row r="80" spans="3:20">
      <c r="D80" s="81"/>
      <c r="E80" s="81"/>
      <c r="F80" s="81"/>
      <c r="G80" s="81"/>
      <c r="H80" s="81"/>
    </row>
    <row r="81" spans="4:8">
      <c r="D81" s="81"/>
      <c r="E81" s="81"/>
      <c r="F81" s="81"/>
      <c r="G81" s="81"/>
      <c r="H81" s="81"/>
    </row>
    <row r="82" spans="4:8">
      <c r="D82" s="81"/>
      <c r="E82" s="81"/>
      <c r="F82" s="81"/>
      <c r="G82" s="81"/>
      <c r="H82" s="81"/>
    </row>
    <row r="83" spans="4:8">
      <c r="D83" s="81"/>
      <c r="E83" s="81"/>
      <c r="F83" s="81"/>
      <c r="G83" s="81"/>
      <c r="H83" s="81"/>
    </row>
    <row r="84" spans="4:8">
      <c r="D84" s="81"/>
      <c r="E84" s="81"/>
      <c r="F84" s="81"/>
      <c r="G84" s="81"/>
      <c r="H84" s="81"/>
    </row>
    <row r="85" spans="4:8">
      <c r="D85" s="81"/>
      <c r="E85" s="81"/>
      <c r="F85" s="81"/>
      <c r="G85" s="81"/>
      <c r="H85" s="81"/>
    </row>
    <row r="86" spans="4:8">
      <c r="D86" s="81"/>
      <c r="E86" s="81"/>
      <c r="F86" s="81"/>
      <c r="G86" s="81"/>
      <c r="H86" s="81"/>
    </row>
    <row r="87" spans="4:8">
      <c r="D87" s="81"/>
      <c r="E87" s="81"/>
      <c r="F87" s="81"/>
      <c r="G87" s="81"/>
      <c r="H87" s="81"/>
    </row>
    <row r="88" spans="4:8">
      <c r="D88" s="81"/>
      <c r="E88" s="81"/>
      <c r="F88" s="81"/>
      <c r="G88" s="81"/>
      <c r="H88" s="81"/>
    </row>
    <row r="89" spans="4:8">
      <c r="D89" s="81"/>
      <c r="E89" s="81"/>
      <c r="F89" s="81"/>
      <c r="G89" s="81"/>
      <c r="H89" s="81"/>
    </row>
    <row r="90" spans="4:8">
      <c r="D90" s="81"/>
      <c r="E90" s="81"/>
      <c r="F90" s="81"/>
      <c r="G90" s="81"/>
      <c r="H90" s="81"/>
    </row>
    <row r="91" spans="4:8">
      <c r="D91" s="81"/>
      <c r="E91" s="81"/>
      <c r="F91" s="81"/>
      <c r="G91" s="81"/>
      <c r="H91" s="81"/>
    </row>
    <row r="92" spans="4:8">
      <c r="D92" s="81"/>
      <c r="E92" s="81"/>
      <c r="F92" s="81"/>
      <c r="G92" s="81"/>
      <c r="H92" s="81"/>
    </row>
    <row r="93" spans="4:8">
      <c r="D93" s="81"/>
      <c r="E93" s="81"/>
      <c r="F93" s="81"/>
      <c r="G93" s="81"/>
      <c r="H93" s="81"/>
    </row>
    <row r="94" spans="4:8">
      <c r="D94" s="81"/>
      <c r="E94" s="81"/>
      <c r="F94" s="81"/>
      <c r="G94" s="81"/>
      <c r="H94" s="81"/>
    </row>
    <row r="95" spans="4:8">
      <c r="D95" s="81"/>
      <c r="E95" s="81"/>
      <c r="F95" s="81"/>
      <c r="G95" s="81"/>
      <c r="H95" s="81"/>
    </row>
    <row r="96" spans="4:8">
      <c r="D96" s="81"/>
      <c r="E96" s="81"/>
      <c r="F96" s="81"/>
      <c r="G96" s="81"/>
      <c r="H96" s="81"/>
    </row>
    <row r="97" spans="4:8">
      <c r="D97" s="81"/>
      <c r="E97" s="81"/>
      <c r="F97" s="81"/>
      <c r="G97" s="81"/>
      <c r="H97" s="81"/>
    </row>
    <row r="98" spans="4:8">
      <c r="D98" s="81"/>
      <c r="E98" s="81"/>
      <c r="F98" s="81"/>
      <c r="G98" s="81"/>
      <c r="H98" s="81"/>
    </row>
    <row r="99" spans="4:8">
      <c r="D99" s="81"/>
      <c r="E99" s="81"/>
      <c r="F99" s="81"/>
      <c r="G99" s="81"/>
      <c r="H99" s="81"/>
    </row>
    <row r="100" spans="4:8">
      <c r="D100" s="81"/>
      <c r="E100" s="81"/>
      <c r="F100" s="81"/>
      <c r="G100" s="81"/>
      <c r="H100" s="81"/>
    </row>
    <row r="101" spans="4:8">
      <c r="D101" s="81"/>
      <c r="E101" s="81"/>
      <c r="F101" s="81"/>
      <c r="G101" s="81"/>
      <c r="H101" s="81"/>
    </row>
    <row r="102" spans="4:8">
      <c r="D102" s="81"/>
      <c r="E102" s="81"/>
      <c r="F102" s="81"/>
      <c r="G102" s="81"/>
      <c r="H102" s="81"/>
    </row>
    <row r="103" spans="4:8">
      <c r="D103" s="81"/>
      <c r="E103" s="81"/>
      <c r="F103" s="81"/>
      <c r="G103" s="81"/>
      <c r="H103" s="81"/>
    </row>
    <row r="104" spans="4:8">
      <c r="D104" s="81"/>
      <c r="E104" s="81"/>
      <c r="F104" s="81"/>
      <c r="G104" s="81"/>
      <c r="H104" s="81"/>
    </row>
    <row r="105" spans="4:8">
      <c r="D105" s="81"/>
      <c r="E105" s="81"/>
      <c r="F105" s="81"/>
      <c r="G105" s="81"/>
      <c r="H105" s="81"/>
    </row>
    <row r="106" spans="4:8">
      <c r="D106" s="81"/>
      <c r="E106" s="81"/>
      <c r="F106" s="81"/>
      <c r="G106" s="81"/>
      <c r="H106" s="81"/>
    </row>
    <row r="107" spans="4:8">
      <c r="D107" s="81"/>
      <c r="E107" s="81"/>
      <c r="F107" s="81"/>
      <c r="G107" s="81"/>
      <c r="H107" s="81"/>
    </row>
    <row r="108" spans="4:8">
      <c r="D108" s="81"/>
      <c r="E108" s="81"/>
      <c r="F108" s="81"/>
      <c r="G108" s="81"/>
      <c r="H108" s="81"/>
    </row>
    <row r="109" spans="4:8">
      <c r="D109" s="81"/>
      <c r="E109" s="81"/>
      <c r="F109" s="81"/>
      <c r="G109" s="81"/>
      <c r="H109" s="81"/>
    </row>
    <row r="110" spans="4:8">
      <c r="D110" s="81"/>
      <c r="E110" s="81"/>
      <c r="F110" s="81"/>
      <c r="G110" s="81"/>
      <c r="H110" s="81"/>
    </row>
    <row r="111" spans="4:8">
      <c r="D111" s="81"/>
      <c r="E111" s="81"/>
      <c r="F111" s="81"/>
      <c r="G111" s="81"/>
      <c r="H111" s="81"/>
    </row>
    <row r="112" spans="4:8">
      <c r="D112" s="81"/>
      <c r="E112" s="81"/>
      <c r="F112" s="81"/>
      <c r="G112" s="81"/>
      <c r="H112" s="81"/>
    </row>
    <row r="113" spans="4:8">
      <c r="D113" s="81"/>
      <c r="E113" s="81"/>
      <c r="F113" s="81"/>
      <c r="G113" s="81"/>
      <c r="H113" s="81"/>
    </row>
    <row r="114" spans="4:8">
      <c r="D114" s="81"/>
      <c r="E114" s="81"/>
      <c r="F114" s="81"/>
      <c r="G114" s="81"/>
      <c r="H114" s="81"/>
    </row>
    <row r="115" spans="4:8">
      <c r="D115" s="81"/>
      <c r="E115" s="81"/>
      <c r="F115" s="81"/>
      <c r="G115" s="81"/>
      <c r="H115" s="81"/>
    </row>
    <row r="116" spans="4:8">
      <c r="D116" s="81"/>
      <c r="E116" s="81"/>
      <c r="F116" s="81"/>
      <c r="G116" s="81"/>
      <c r="H116" s="81"/>
    </row>
    <row r="117" spans="4:8">
      <c r="D117" s="81"/>
      <c r="E117" s="81"/>
      <c r="F117" s="81"/>
      <c r="G117" s="81"/>
      <c r="H117" s="81"/>
    </row>
    <row r="118" spans="4:8">
      <c r="D118" s="81"/>
      <c r="E118" s="81"/>
      <c r="F118" s="81"/>
      <c r="G118" s="81"/>
      <c r="H118" s="81"/>
    </row>
    <row r="119" spans="4:8">
      <c r="D119" s="81"/>
      <c r="E119" s="81"/>
      <c r="F119" s="81"/>
      <c r="G119" s="81"/>
      <c r="H119" s="81"/>
    </row>
    <row r="120" spans="4:8">
      <c r="D120" s="81"/>
      <c r="E120" s="81"/>
      <c r="F120" s="81"/>
      <c r="G120" s="81"/>
      <c r="H120" s="81"/>
    </row>
    <row r="121" spans="4:8">
      <c r="D121" s="81"/>
      <c r="E121" s="81"/>
      <c r="F121" s="81"/>
      <c r="G121" s="81"/>
      <c r="H121" s="81"/>
    </row>
    <row r="122" spans="4:8">
      <c r="D122" s="81"/>
      <c r="E122" s="81"/>
      <c r="F122" s="81"/>
      <c r="G122" s="81"/>
      <c r="H122" s="81"/>
    </row>
    <row r="123" spans="4:8">
      <c r="D123" s="81"/>
      <c r="E123" s="81"/>
      <c r="F123" s="81"/>
      <c r="G123" s="81"/>
      <c r="H123" s="81"/>
    </row>
    <row r="124" spans="4:8">
      <c r="D124" s="81"/>
      <c r="E124" s="81"/>
      <c r="F124" s="81"/>
      <c r="G124" s="81"/>
      <c r="H124" s="81"/>
    </row>
    <row r="125" spans="4:8">
      <c r="D125" s="81"/>
      <c r="E125" s="81"/>
      <c r="F125" s="81"/>
      <c r="G125" s="81"/>
      <c r="H125" s="81"/>
    </row>
    <row r="126" spans="4:8">
      <c r="D126" s="81"/>
      <c r="E126" s="81"/>
      <c r="F126" s="81"/>
      <c r="G126" s="81"/>
      <c r="H126" s="81"/>
    </row>
    <row r="127" spans="4:8">
      <c r="D127" s="81"/>
      <c r="E127" s="81"/>
      <c r="F127" s="81"/>
      <c r="G127" s="81"/>
      <c r="H127" s="81"/>
    </row>
    <row r="128" spans="4:8">
      <c r="D128" s="81"/>
      <c r="E128" s="81"/>
      <c r="F128" s="81"/>
      <c r="G128" s="81"/>
      <c r="H128" s="81"/>
    </row>
    <row r="129" spans="4:8">
      <c r="D129" s="81"/>
      <c r="E129" s="81"/>
      <c r="F129" s="81"/>
      <c r="G129" s="81"/>
      <c r="H129" s="81"/>
    </row>
    <row r="130" spans="4:8">
      <c r="D130" s="81"/>
      <c r="E130" s="81"/>
      <c r="F130" s="81"/>
      <c r="G130" s="81"/>
      <c r="H130" s="81"/>
    </row>
    <row r="131" spans="4:8">
      <c r="D131" s="81"/>
      <c r="E131" s="81"/>
      <c r="F131" s="81"/>
      <c r="G131" s="81"/>
      <c r="H131" s="81"/>
    </row>
    <row r="132" spans="4:8">
      <c r="D132" s="81"/>
      <c r="E132" s="81"/>
      <c r="F132" s="81"/>
      <c r="G132" s="81"/>
      <c r="H132" s="81"/>
    </row>
    <row r="133" spans="4:8">
      <c r="D133" s="81"/>
      <c r="E133" s="81"/>
      <c r="F133" s="81"/>
      <c r="G133" s="81"/>
      <c r="H133" s="81"/>
    </row>
    <row r="134" spans="4:8">
      <c r="D134" s="81"/>
      <c r="E134" s="81"/>
      <c r="F134" s="81"/>
      <c r="G134" s="81"/>
      <c r="H134" s="81"/>
    </row>
    <row r="135" spans="4:8">
      <c r="D135" s="81"/>
      <c r="E135" s="81"/>
      <c r="F135" s="81"/>
      <c r="G135" s="81"/>
      <c r="H135" s="81"/>
    </row>
    <row r="136" spans="4:8">
      <c r="D136" s="81"/>
      <c r="E136" s="81"/>
      <c r="F136" s="81"/>
      <c r="G136" s="81"/>
      <c r="H136" s="81"/>
    </row>
    <row r="137" spans="4:8">
      <c r="D137" s="81"/>
      <c r="E137" s="81"/>
      <c r="F137" s="81"/>
      <c r="G137" s="81"/>
      <c r="H137" s="81"/>
    </row>
    <row r="138" spans="4:8">
      <c r="D138" s="81"/>
      <c r="E138" s="81"/>
      <c r="F138" s="81"/>
      <c r="G138" s="81"/>
      <c r="H138" s="81"/>
    </row>
    <row r="139" spans="4:8">
      <c r="D139" s="81"/>
      <c r="E139" s="81"/>
      <c r="F139" s="81"/>
      <c r="G139" s="81"/>
      <c r="H139" s="81"/>
    </row>
    <row r="140" spans="4:8">
      <c r="D140" s="81"/>
      <c r="E140" s="81"/>
      <c r="F140" s="81"/>
      <c r="G140" s="81"/>
      <c r="H140" s="81"/>
    </row>
    <row r="141" spans="4:8">
      <c r="D141" s="81"/>
      <c r="E141" s="81"/>
      <c r="F141" s="81"/>
      <c r="G141" s="81"/>
      <c r="H141" s="81"/>
    </row>
    <row r="142" spans="4:8">
      <c r="D142" s="81"/>
      <c r="E142" s="81"/>
      <c r="F142" s="81"/>
      <c r="G142" s="81"/>
      <c r="H142" s="81"/>
    </row>
    <row r="143" spans="4:8">
      <c r="D143" s="81"/>
      <c r="E143" s="81"/>
      <c r="F143" s="81"/>
      <c r="G143" s="81"/>
      <c r="H143" s="81"/>
    </row>
    <row r="144" spans="4:8">
      <c r="D144" s="81"/>
      <c r="E144" s="81"/>
      <c r="F144" s="81"/>
      <c r="G144" s="81"/>
      <c r="H144" s="81"/>
    </row>
    <row r="145" spans="4:8">
      <c r="D145" s="81"/>
      <c r="E145" s="81"/>
      <c r="F145" s="81"/>
      <c r="G145" s="81"/>
      <c r="H145" s="81"/>
    </row>
    <row r="146" spans="4:8">
      <c r="D146" s="81"/>
      <c r="E146" s="81"/>
      <c r="F146" s="81"/>
      <c r="G146" s="81"/>
      <c r="H146" s="81"/>
    </row>
    <row r="147" spans="4:8">
      <c r="D147" s="81"/>
      <c r="E147" s="81"/>
      <c r="F147" s="81"/>
      <c r="G147" s="81"/>
      <c r="H147" s="81"/>
    </row>
    <row r="148" spans="4:8">
      <c r="D148" s="81"/>
      <c r="E148" s="81"/>
      <c r="F148" s="81"/>
      <c r="G148" s="81"/>
      <c r="H148" s="81"/>
    </row>
    <row r="149" spans="4:8">
      <c r="D149" s="81"/>
      <c r="E149" s="81"/>
      <c r="F149" s="81"/>
      <c r="G149" s="81"/>
      <c r="H149" s="81"/>
    </row>
    <row r="150" spans="4:8">
      <c r="D150" s="81"/>
      <c r="E150" s="81"/>
      <c r="F150" s="81"/>
      <c r="G150" s="81"/>
      <c r="H150" s="81"/>
    </row>
    <row r="151" spans="4:8">
      <c r="D151" s="81"/>
      <c r="E151" s="81"/>
      <c r="F151" s="81"/>
      <c r="G151" s="81"/>
      <c r="H151" s="81"/>
    </row>
    <row r="152" spans="4:8">
      <c r="D152" s="81"/>
      <c r="E152" s="81"/>
      <c r="F152" s="81"/>
      <c r="G152" s="81"/>
      <c r="H152" s="81"/>
    </row>
    <row r="153" spans="4:8">
      <c r="D153" s="81"/>
      <c r="E153" s="81"/>
      <c r="F153" s="81"/>
      <c r="G153" s="81"/>
      <c r="H153" s="81"/>
    </row>
    <row r="154" spans="4:8">
      <c r="D154" s="81"/>
      <c r="E154" s="81"/>
      <c r="F154" s="81"/>
      <c r="G154" s="81"/>
      <c r="H154" s="81"/>
    </row>
    <row r="155" spans="4:8">
      <c r="D155" s="81"/>
      <c r="E155" s="81"/>
      <c r="F155" s="81"/>
      <c r="G155" s="81"/>
      <c r="H155" s="81"/>
    </row>
    <row r="156" spans="4:8">
      <c r="D156" s="81"/>
      <c r="E156" s="81"/>
      <c r="F156" s="81"/>
      <c r="G156" s="81"/>
      <c r="H156" s="81"/>
    </row>
    <row r="157" spans="4:8">
      <c r="D157" s="81"/>
      <c r="E157" s="81"/>
      <c r="F157" s="81"/>
      <c r="G157" s="81"/>
      <c r="H157" s="81"/>
    </row>
    <row r="158" spans="4:8">
      <c r="D158" s="81"/>
      <c r="E158" s="81"/>
      <c r="F158" s="81"/>
      <c r="G158" s="81"/>
      <c r="H158" s="81"/>
    </row>
    <row r="159" spans="4:8">
      <c r="D159" s="81"/>
      <c r="E159" s="81"/>
      <c r="F159" s="81"/>
      <c r="G159" s="81"/>
      <c r="H159" s="81"/>
    </row>
    <row r="160" spans="4:8">
      <c r="D160" s="81"/>
      <c r="E160" s="81"/>
      <c r="F160" s="81"/>
      <c r="G160" s="81"/>
      <c r="H160" s="81"/>
    </row>
    <row r="161" spans="4:8">
      <c r="D161" s="81"/>
      <c r="E161" s="81"/>
      <c r="F161" s="81"/>
      <c r="G161" s="81"/>
      <c r="H161" s="81"/>
    </row>
    <row r="162" spans="4:8">
      <c r="D162" s="81"/>
      <c r="E162" s="81"/>
      <c r="F162" s="81"/>
      <c r="G162" s="81"/>
      <c r="H162" s="81"/>
    </row>
    <row r="163" spans="4:8">
      <c r="D163" s="81"/>
      <c r="E163" s="81"/>
      <c r="F163" s="81"/>
      <c r="G163" s="81"/>
      <c r="H163" s="81"/>
    </row>
    <row r="164" spans="4:8">
      <c r="D164" s="81"/>
      <c r="E164" s="81"/>
      <c r="F164" s="81"/>
      <c r="G164" s="81"/>
      <c r="H164" s="81"/>
    </row>
    <row r="165" spans="4:8">
      <c r="D165" s="81"/>
      <c r="E165" s="81"/>
      <c r="F165" s="81"/>
      <c r="G165" s="81"/>
      <c r="H165" s="81"/>
    </row>
    <row r="166" spans="4:8">
      <c r="D166" s="81"/>
      <c r="E166" s="81"/>
      <c r="F166" s="81"/>
      <c r="G166" s="81"/>
      <c r="H166" s="81"/>
    </row>
    <row r="167" spans="4:8">
      <c r="D167" s="81"/>
      <c r="E167" s="81"/>
      <c r="F167" s="81"/>
      <c r="G167" s="81"/>
      <c r="H167" s="81"/>
    </row>
    <row r="168" spans="4:8">
      <c r="D168" s="81"/>
      <c r="E168" s="81"/>
      <c r="F168" s="81"/>
      <c r="G168" s="81"/>
      <c r="H168" s="81"/>
    </row>
    <row r="169" spans="4:8">
      <c r="D169" s="81"/>
      <c r="E169" s="81"/>
      <c r="F169" s="81"/>
      <c r="G169" s="81"/>
      <c r="H169" s="81"/>
    </row>
    <row r="170" spans="4:8">
      <c r="D170" s="81"/>
      <c r="E170" s="81"/>
      <c r="F170" s="81"/>
      <c r="G170" s="81"/>
      <c r="H170" s="81"/>
    </row>
    <row r="171" spans="4:8">
      <c r="D171" s="81"/>
      <c r="E171" s="81"/>
      <c r="F171" s="81"/>
      <c r="G171" s="81"/>
      <c r="H171" s="81"/>
    </row>
    <row r="172" spans="4:8">
      <c r="D172" s="81"/>
      <c r="E172" s="81"/>
      <c r="F172" s="81"/>
      <c r="G172" s="81"/>
      <c r="H172" s="81"/>
    </row>
    <row r="173" spans="4:8">
      <c r="D173" s="81"/>
      <c r="E173" s="81"/>
      <c r="F173" s="81"/>
      <c r="G173" s="81"/>
      <c r="H173" s="81"/>
    </row>
    <row r="174" spans="4:8">
      <c r="D174" s="81"/>
      <c r="E174" s="81"/>
      <c r="F174" s="81"/>
      <c r="G174" s="81"/>
      <c r="H174" s="81"/>
    </row>
    <row r="175" spans="4:8">
      <c r="D175" s="81"/>
      <c r="E175" s="81"/>
      <c r="F175" s="81"/>
      <c r="G175" s="81"/>
      <c r="H175" s="81"/>
    </row>
    <row r="176" spans="4:8">
      <c r="D176" s="81"/>
      <c r="E176" s="81"/>
      <c r="F176" s="81"/>
      <c r="G176" s="81"/>
      <c r="H176" s="81"/>
    </row>
    <row r="177" spans="4:8">
      <c r="D177" s="81"/>
      <c r="E177" s="81"/>
      <c r="F177" s="81"/>
      <c r="G177" s="81"/>
      <c r="H177" s="81"/>
    </row>
    <row r="178" spans="4:8">
      <c r="D178" s="81"/>
      <c r="E178" s="81"/>
      <c r="F178" s="81"/>
      <c r="G178" s="81"/>
      <c r="H178" s="81"/>
    </row>
    <row r="179" spans="4:8">
      <c r="D179" s="81"/>
      <c r="E179" s="81"/>
      <c r="F179" s="81"/>
      <c r="G179" s="81"/>
      <c r="H179" s="81"/>
    </row>
    <row r="180" spans="4:8">
      <c r="D180" s="81"/>
      <c r="E180" s="81"/>
      <c r="F180" s="81"/>
      <c r="G180" s="81"/>
      <c r="H180" s="81"/>
    </row>
    <row r="181" spans="4:8">
      <c r="D181" s="81"/>
      <c r="E181" s="81"/>
      <c r="F181" s="81"/>
      <c r="G181" s="81"/>
      <c r="H181" s="81"/>
    </row>
    <row r="182" spans="4:8">
      <c r="D182" s="81"/>
      <c r="E182" s="81"/>
      <c r="F182" s="81"/>
      <c r="G182" s="81"/>
      <c r="H182" s="81"/>
    </row>
    <row r="183" spans="4:8">
      <c r="D183" s="81"/>
      <c r="E183" s="81"/>
      <c r="F183" s="81"/>
      <c r="G183" s="81"/>
      <c r="H183" s="81"/>
    </row>
    <row r="184" spans="4:8">
      <c r="D184" s="81"/>
      <c r="E184" s="81"/>
      <c r="F184" s="81"/>
      <c r="G184" s="81"/>
      <c r="H184" s="81"/>
    </row>
    <row r="185" spans="4:8">
      <c r="D185" s="81"/>
      <c r="E185" s="81"/>
      <c r="F185" s="81"/>
      <c r="G185" s="81"/>
      <c r="H185" s="81"/>
    </row>
    <row r="186" spans="4:8">
      <c r="D186" s="81"/>
      <c r="E186" s="81"/>
      <c r="F186" s="81"/>
      <c r="G186" s="81"/>
      <c r="H186" s="81"/>
    </row>
    <row r="187" spans="4:8">
      <c r="D187" s="81"/>
      <c r="E187" s="81"/>
      <c r="F187" s="81"/>
      <c r="G187" s="81"/>
      <c r="H187" s="81"/>
    </row>
    <row r="188" spans="4:8">
      <c r="D188" s="81"/>
      <c r="E188" s="81"/>
      <c r="F188" s="81"/>
      <c r="G188" s="81"/>
      <c r="H188" s="81"/>
    </row>
    <row r="189" spans="4:8">
      <c r="D189" s="81"/>
      <c r="E189" s="81"/>
      <c r="F189" s="81"/>
      <c r="G189" s="81"/>
      <c r="H189" s="81"/>
    </row>
    <row r="190" spans="4:8">
      <c r="D190" s="81"/>
      <c r="E190" s="81"/>
      <c r="F190" s="81"/>
      <c r="G190" s="81"/>
      <c r="H190" s="81"/>
    </row>
    <row r="191" spans="4:8">
      <c r="D191" s="81"/>
      <c r="E191" s="81"/>
      <c r="F191" s="81"/>
      <c r="G191" s="81"/>
      <c r="H191" s="81"/>
    </row>
    <row r="192" spans="4:8">
      <c r="D192" s="81"/>
      <c r="E192" s="81"/>
      <c r="F192" s="81"/>
      <c r="G192" s="81"/>
      <c r="H192" s="81"/>
    </row>
    <row r="193" spans="4:8">
      <c r="D193" s="81"/>
      <c r="E193" s="81"/>
      <c r="F193" s="81"/>
      <c r="G193" s="81"/>
      <c r="H193" s="81"/>
    </row>
    <row r="194" spans="4:8">
      <c r="D194" s="81"/>
      <c r="E194" s="81"/>
      <c r="F194" s="81"/>
      <c r="G194" s="81"/>
      <c r="H194" s="81"/>
    </row>
    <row r="195" spans="4:8">
      <c r="D195" s="81"/>
      <c r="E195" s="81"/>
      <c r="F195" s="81"/>
      <c r="G195" s="81"/>
      <c r="H195" s="81"/>
    </row>
    <row r="196" spans="4:8">
      <c r="D196" s="81"/>
      <c r="E196" s="81"/>
      <c r="F196" s="81"/>
      <c r="G196" s="81"/>
      <c r="H196" s="81"/>
    </row>
    <row r="197" spans="4:8">
      <c r="D197" s="81"/>
      <c r="E197" s="81"/>
      <c r="F197" s="81"/>
      <c r="G197" s="81"/>
      <c r="H197" s="81"/>
    </row>
    <row r="198" spans="4:8">
      <c r="D198" s="81"/>
      <c r="E198" s="81"/>
      <c r="F198" s="81"/>
      <c r="G198" s="81"/>
      <c r="H198" s="81"/>
    </row>
    <row r="199" spans="4:8">
      <c r="D199" s="81"/>
      <c r="E199" s="81"/>
      <c r="F199" s="81"/>
      <c r="G199" s="81"/>
      <c r="H199" s="81"/>
    </row>
    <row r="200" spans="4:8">
      <c r="D200" s="81"/>
      <c r="E200" s="81"/>
      <c r="F200" s="81"/>
      <c r="G200" s="81"/>
      <c r="H200" s="81"/>
    </row>
    <row r="201" spans="4:8">
      <c r="D201" s="81"/>
      <c r="E201" s="81"/>
      <c r="F201" s="81"/>
      <c r="G201" s="81"/>
      <c r="H201" s="81"/>
    </row>
    <row r="202" spans="4:8">
      <c r="D202" s="81"/>
      <c r="E202" s="81"/>
      <c r="F202" s="81"/>
      <c r="G202" s="81"/>
      <c r="H202" s="81"/>
    </row>
    <row r="203" spans="4:8">
      <c r="D203" s="81"/>
      <c r="E203" s="81"/>
      <c r="F203" s="81"/>
      <c r="G203" s="81"/>
      <c r="H203" s="81"/>
    </row>
    <row r="204" spans="4:8">
      <c r="D204" s="81"/>
      <c r="E204" s="81"/>
      <c r="F204" s="81"/>
      <c r="G204" s="81"/>
      <c r="H204" s="81"/>
    </row>
    <row r="205" spans="4:8">
      <c r="D205" s="81"/>
      <c r="E205" s="81"/>
      <c r="F205" s="81"/>
      <c r="G205" s="81"/>
      <c r="H205" s="81"/>
    </row>
    <row r="206" spans="4:8">
      <c r="D206" s="81"/>
      <c r="E206" s="81"/>
      <c r="F206" s="81"/>
      <c r="G206" s="81"/>
      <c r="H206" s="81"/>
    </row>
    <row r="207" spans="4:8">
      <c r="D207" s="81"/>
      <c r="E207" s="81"/>
      <c r="F207" s="81"/>
      <c r="G207" s="81"/>
      <c r="H207" s="81"/>
    </row>
    <row r="208" spans="4:8">
      <c r="D208" s="81"/>
      <c r="E208" s="81"/>
      <c r="F208" s="81"/>
      <c r="G208" s="81"/>
      <c r="H208" s="81"/>
    </row>
    <row r="209" spans="4:8">
      <c r="D209" s="81"/>
      <c r="E209" s="81"/>
      <c r="F209" s="81"/>
      <c r="G209" s="81"/>
      <c r="H209" s="81"/>
    </row>
    <row r="210" spans="4:8">
      <c r="D210" s="81"/>
      <c r="E210" s="81"/>
      <c r="F210" s="81"/>
      <c r="G210" s="81"/>
      <c r="H210" s="81"/>
    </row>
    <row r="211" spans="4:8">
      <c r="D211" s="81"/>
      <c r="E211" s="81"/>
      <c r="F211" s="81"/>
      <c r="G211" s="81"/>
      <c r="H211" s="81"/>
    </row>
    <row r="212" spans="4:8">
      <c r="D212" s="81"/>
      <c r="E212" s="81"/>
      <c r="F212" s="81"/>
      <c r="G212" s="81"/>
      <c r="H212" s="81"/>
    </row>
    <row r="213" spans="4:8">
      <c r="D213" s="81"/>
      <c r="E213" s="81"/>
      <c r="F213" s="81"/>
      <c r="G213" s="81"/>
      <c r="H213" s="81"/>
    </row>
    <row r="214" spans="4:8">
      <c r="D214" s="81"/>
      <c r="E214" s="81"/>
      <c r="F214" s="81"/>
      <c r="G214" s="81"/>
      <c r="H214" s="81"/>
    </row>
    <row r="215" spans="4:8">
      <c r="D215" s="81"/>
      <c r="E215" s="81"/>
      <c r="F215" s="81"/>
      <c r="G215" s="81"/>
      <c r="H215" s="81"/>
    </row>
    <row r="216" spans="4:8">
      <c r="D216" s="81"/>
      <c r="E216" s="81"/>
      <c r="F216" s="81"/>
      <c r="G216" s="81"/>
      <c r="H216" s="81"/>
    </row>
    <row r="217" spans="4:8">
      <c r="D217" s="81"/>
      <c r="E217" s="81"/>
      <c r="F217" s="81"/>
      <c r="G217" s="81"/>
      <c r="H217" s="81"/>
    </row>
    <row r="218" spans="4:8">
      <c r="D218" s="81"/>
      <c r="E218" s="81"/>
      <c r="F218" s="81"/>
      <c r="G218" s="81"/>
      <c r="H218" s="81"/>
    </row>
    <row r="219" spans="4:8">
      <c r="D219" s="81"/>
      <c r="E219" s="81"/>
      <c r="F219" s="81"/>
      <c r="G219" s="81"/>
      <c r="H219" s="81"/>
    </row>
    <row r="220" spans="4:8">
      <c r="D220" s="81"/>
      <c r="E220" s="81"/>
      <c r="F220" s="81"/>
      <c r="G220" s="81"/>
      <c r="H220" s="81"/>
    </row>
    <row r="221" spans="4:8">
      <c r="D221" s="81"/>
      <c r="E221" s="81"/>
      <c r="F221" s="81"/>
      <c r="G221" s="81"/>
      <c r="H221" s="81"/>
    </row>
    <row r="222" spans="4:8">
      <c r="D222" s="81"/>
      <c r="E222" s="81"/>
      <c r="F222" s="81"/>
      <c r="G222" s="81"/>
      <c r="H222" s="81"/>
    </row>
    <row r="223" spans="4:8">
      <c r="D223" s="81"/>
      <c r="E223" s="81"/>
      <c r="F223" s="81"/>
      <c r="G223" s="81"/>
      <c r="H223" s="81"/>
    </row>
    <row r="224" spans="4:8">
      <c r="D224" s="81"/>
      <c r="E224" s="81"/>
      <c r="F224" s="81"/>
      <c r="G224" s="81"/>
      <c r="H224" s="81"/>
    </row>
    <row r="225" spans="4:8">
      <c r="D225" s="81"/>
      <c r="E225" s="81"/>
      <c r="F225" s="81"/>
      <c r="G225" s="81"/>
      <c r="H225" s="81"/>
    </row>
    <row r="226" spans="4:8">
      <c r="D226" s="81"/>
      <c r="E226" s="81"/>
      <c r="F226" s="81"/>
      <c r="G226" s="81"/>
      <c r="H226" s="81"/>
    </row>
    <row r="227" spans="4:8">
      <c r="D227" s="81"/>
      <c r="E227" s="81"/>
      <c r="F227" s="81"/>
      <c r="G227" s="81"/>
      <c r="H227" s="81"/>
    </row>
    <row r="228" spans="4:8">
      <c r="D228" s="81"/>
      <c r="E228" s="81"/>
      <c r="F228" s="81"/>
      <c r="G228" s="81"/>
      <c r="H228" s="81"/>
    </row>
    <row r="229" spans="4:8">
      <c r="D229" s="81"/>
      <c r="E229" s="81"/>
      <c r="F229" s="81"/>
      <c r="G229" s="81"/>
      <c r="H229" s="81"/>
    </row>
    <row r="230" spans="4:8">
      <c r="D230" s="81"/>
      <c r="E230" s="81"/>
      <c r="F230" s="81"/>
      <c r="G230" s="81"/>
      <c r="H230" s="81"/>
    </row>
    <row r="231" spans="4:8">
      <c r="D231" s="81"/>
      <c r="E231" s="81"/>
      <c r="F231" s="81"/>
      <c r="G231" s="81"/>
      <c r="H231" s="81"/>
    </row>
    <row r="232" spans="4:8">
      <c r="D232" s="81"/>
      <c r="E232" s="81"/>
      <c r="F232" s="81"/>
      <c r="G232" s="81"/>
      <c r="H232" s="81"/>
    </row>
    <row r="233" spans="4:8">
      <c r="D233" s="81"/>
      <c r="E233" s="81"/>
      <c r="F233" s="81"/>
      <c r="G233" s="81"/>
      <c r="H233" s="81"/>
    </row>
    <row r="234" spans="4:8">
      <c r="D234" s="81"/>
      <c r="E234" s="81"/>
      <c r="F234" s="81"/>
      <c r="G234" s="81"/>
      <c r="H234" s="81"/>
    </row>
    <row r="235" spans="4:8">
      <c r="D235" s="81"/>
      <c r="E235" s="81"/>
      <c r="F235" s="81"/>
      <c r="G235" s="81"/>
      <c r="H235" s="81"/>
    </row>
    <row r="236" spans="4:8">
      <c r="D236" s="81"/>
      <c r="E236" s="81"/>
      <c r="F236" s="81"/>
      <c r="G236" s="81"/>
      <c r="H236" s="81"/>
    </row>
    <row r="237" spans="4:8">
      <c r="D237" s="81"/>
      <c r="E237" s="81"/>
      <c r="F237" s="81"/>
      <c r="G237" s="81"/>
      <c r="H237" s="81"/>
    </row>
    <row r="238" spans="4:8">
      <c r="D238" s="81"/>
      <c r="E238" s="81"/>
      <c r="F238" s="81"/>
      <c r="G238" s="81"/>
      <c r="H238" s="81"/>
    </row>
    <row r="239" spans="4:8">
      <c r="D239" s="81"/>
      <c r="E239" s="81"/>
      <c r="F239" s="81"/>
      <c r="G239" s="81"/>
      <c r="H239" s="81"/>
    </row>
    <row r="240" spans="4:8">
      <c r="D240" s="81"/>
      <c r="E240" s="81"/>
      <c r="F240" s="81"/>
      <c r="G240" s="81"/>
      <c r="H240" s="81"/>
    </row>
    <row r="241" spans="4:8">
      <c r="D241" s="81"/>
      <c r="E241" s="81"/>
      <c r="F241" s="81"/>
      <c r="G241" s="81"/>
      <c r="H241" s="81"/>
    </row>
    <row r="242" spans="4:8">
      <c r="D242" s="81"/>
      <c r="E242" s="81"/>
      <c r="F242" s="81"/>
      <c r="G242" s="81"/>
      <c r="H242" s="81"/>
    </row>
    <row r="243" spans="4:8">
      <c r="D243" s="81"/>
      <c r="E243" s="81"/>
      <c r="F243" s="81"/>
      <c r="G243" s="81"/>
      <c r="H243" s="81"/>
    </row>
    <row r="244" spans="4:8">
      <c r="D244" s="81"/>
      <c r="E244" s="81"/>
      <c r="F244" s="81"/>
      <c r="G244" s="81"/>
      <c r="H244" s="81"/>
    </row>
    <row r="245" spans="4:8">
      <c r="D245" s="81"/>
      <c r="E245" s="81"/>
      <c r="F245" s="81"/>
      <c r="G245" s="81"/>
      <c r="H245" s="81"/>
    </row>
    <row r="246" spans="4:8">
      <c r="D246" s="81"/>
      <c r="E246" s="81"/>
      <c r="F246" s="81"/>
      <c r="G246" s="81"/>
      <c r="H246" s="81"/>
    </row>
    <row r="247" spans="4:8">
      <c r="D247" s="81"/>
      <c r="E247" s="81"/>
      <c r="F247" s="81"/>
      <c r="G247" s="81"/>
      <c r="H247" s="81"/>
    </row>
    <row r="248" spans="4:8">
      <c r="D248" s="81"/>
      <c r="E248" s="81"/>
      <c r="F248" s="81"/>
      <c r="G248" s="81"/>
      <c r="H248" s="81"/>
    </row>
    <row r="249" spans="4:8">
      <c r="D249" s="81"/>
      <c r="E249" s="81"/>
      <c r="F249" s="81"/>
      <c r="G249" s="81"/>
      <c r="H249" s="81"/>
    </row>
    <row r="250" spans="4:8">
      <c r="D250" s="81"/>
      <c r="E250" s="81"/>
      <c r="F250" s="81"/>
      <c r="G250" s="81"/>
      <c r="H250" s="81"/>
    </row>
    <row r="251" spans="4:8">
      <c r="D251" s="81"/>
      <c r="E251" s="81"/>
      <c r="F251" s="81"/>
      <c r="G251" s="81"/>
      <c r="H251" s="81"/>
    </row>
    <row r="252" spans="4:8">
      <c r="D252" s="81"/>
      <c r="E252" s="81"/>
      <c r="F252" s="81"/>
      <c r="G252" s="81"/>
      <c r="H252" s="81"/>
    </row>
    <row r="253" spans="4:8">
      <c r="D253" s="81"/>
      <c r="E253" s="81"/>
      <c r="F253" s="81"/>
      <c r="G253" s="81"/>
      <c r="H253" s="81"/>
    </row>
    <row r="254" spans="4:8">
      <c r="D254" s="81"/>
      <c r="E254" s="81"/>
      <c r="F254" s="81"/>
      <c r="G254" s="81"/>
      <c r="H254" s="81"/>
    </row>
    <row r="255" spans="4:8">
      <c r="D255" s="81"/>
      <c r="E255" s="81"/>
      <c r="F255" s="81"/>
      <c r="G255" s="81"/>
      <c r="H255" s="81"/>
    </row>
    <row r="256" spans="4:8">
      <c r="D256" s="81"/>
      <c r="E256" s="81"/>
      <c r="F256" s="81"/>
      <c r="G256" s="81"/>
      <c r="H256" s="81"/>
    </row>
    <row r="257" spans="4:8">
      <c r="D257" s="81"/>
      <c r="E257" s="81"/>
      <c r="F257" s="81"/>
      <c r="G257" s="81"/>
      <c r="H257" s="81"/>
    </row>
    <row r="258" spans="4:8">
      <c r="D258" s="81"/>
      <c r="E258" s="81"/>
      <c r="F258" s="81"/>
      <c r="G258" s="81"/>
      <c r="H258" s="81"/>
    </row>
    <row r="259" spans="4:8">
      <c r="D259" s="81"/>
      <c r="E259" s="81"/>
      <c r="F259" s="81"/>
      <c r="G259" s="81"/>
      <c r="H259" s="81"/>
    </row>
    <row r="260" spans="4:8">
      <c r="D260" s="81"/>
      <c r="E260" s="81"/>
      <c r="F260" s="81"/>
      <c r="G260" s="81"/>
      <c r="H260" s="81"/>
    </row>
    <row r="261" spans="4:8">
      <c r="D261" s="81"/>
      <c r="E261" s="81"/>
      <c r="F261" s="81"/>
      <c r="G261" s="81"/>
      <c r="H261" s="81"/>
    </row>
    <row r="262" spans="4:8">
      <c r="D262" s="81"/>
      <c r="E262" s="81"/>
      <c r="F262" s="81"/>
      <c r="G262" s="81"/>
      <c r="H262" s="81"/>
    </row>
    <row r="263" spans="4:8">
      <c r="D263" s="81"/>
      <c r="E263" s="81"/>
      <c r="F263" s="81"/>
      <c r="G263" s="81"/>
      <c r="H263" s="81"/>
    </row>
    <row r="264" spans="4:8">
      <c r="D264" s="81"/>
      <c r="E264" s="81"/>
      <c r="F264" s="81"/>
      <c r="G264" s="81"/>
      <c r="H264" s="81"/>
    </row>
    <row r="265" spans="4:8">
      <c r="D265" s="81"/>
      <c r="E265" s="81"/>
      <c r="F265" s="81"/>
      <c r="G265" s="81"/>
      <c r="H265" s="81"/>
    </row>
    <row r="266" spans="4:8">
      <c r="D266" s="81"/>
      <c r="E266" s="81"/>
      <c r="F266" s="81"/>
      <c r="G266" s="81"/>
      <c r="H266" s="81"/>
    </row>
    <row r="267" spans="4:8">
      <c r="D267" s="81"/>
      <c r="E267" s="81"/>
      <c r="F267" s="81"/>
      <c r="G267" s="81"/>
      <c r="H267" s="81"/>
    </row>
    <row r="268" spans="4:8">
      <c r="D268" s="81"/>
      <c r="E268" s="81"/>
      <c r="F268" s="81"/>
      <c r="G268" s="81"/>
      <c r="H268" s="81"/>
    </row>
    <row r="269" spans="4:8">
      <c r="D269" s="81"/>
      <c r="E269" s="81"/>
      <c r="F269" s="81"/>
      <c r="G269" s="81"/>
      <c r="H269" s="81"/>
    </row>
    <row r="270" spans="4:8">
      <c r="D270" s="81"/>
      <c r="E270" s="81"/>
      <c r="F270" s="81"/>
      <c r="G270" s="81"/>
      <c r="H270" s="81"/>
    </row>
    <row r="271" spans="4:8">
      <c r="D271" s="81"/>
      <c r="E271" s="81"/>
      <c r="F271" s="81"/>
      <c r="G271" s="81"/>
      <c r="H271" s="81"/>
    </row>
    <row r="272" spans="4:8">
      <c r="D272" s="81"/>
      <c r="E272" s="81"/>
      <c r="F272" s="81"/>
      <c r="G272" s="81"/>
      <c r="H272" s="81"/>
    </row>
    <row r="273" spans="4:8">
      <c r="D273" s="81"/>
      <c r="E273" s="81"/>
      <c r="F273" s="81"/>
      <c r="G273" s="81"/>
      <c r="H273" s="81"/>
    </row>
    <row r="274" spans="4:8">
      <c r="D274" s="81"/>
      <c r="E274" s="81"/>
      <c r="F274" s="81"/>
      <c r="G274" s="81"/>
      <c r="H274" s="81"/>
    </row>
    <row r="275" spans="4:8">
      <c r="D275" s="81"/>
      <c r="E275" s="81"/>
      <c r="F275" s="81"/>
      <c r="G275" s="81"/>
      <c r="H275" s="81"/>
    </row>
    <row r="276" spans="4:8">
      <c r="D276" s="81"/>
      <c r="E276" s="81"/>
      <c r="F276" s="81"/>
      <c r="G276" s="81"/>
      <c r="H276" s="81"/>
    </row>
    <row r="277" spans="4:8">
      <c r="D277" s="81"/>
      <c r="E277" s="81"/>
      <c r="F277" s="81"/>
      <c r="G277" s="81"/>
      <c r="H277" s="81"/>
    </row>
    <row r="278" spans="4:8">
      <c r="D278" s="81"/>
      <c r="E278" s="81"/>
      <c r="F278" s="81"/>
      <c r="G278" s="81"/>
      <c r="H278" s="81"/>
    </row>
    <row r="279" spans="4:8">
      <c r="D279" s="81"/>
      <c r="E279" s="81"/>
      <c r="F279" s="81"/>
      <c r="G279" s="81"/>
      <c r="H279" s="81"/>
    </row>
    <row r="280" spans="4:8">
      <c r="D280" s="81"/>
      <c r="E280" s="81"/>
      <c r="F280" s="81"/>
      <c r="G280" s="81"/>
      <c r="H280" s="81"/>
    </row>
    <row r="281" spans="4:8">
      <c r="D281" s="81"/>
      <c r="E281" s="81"/>
      <c r="F281" s="81"/>
      <c r="G281" s="81"/>
      <c r="H281" s="81"/>
    </row>
    <row r="282" spans="4:8">
      <c r="D282" s="81"/>
      <c r="E282" s="81"/>
      <c r="F282" s="81"/>
      <c r="G282" s="81"/>
      <c r="H282" s="81"/>
    </row>
    <row r="283" spans="4:8">
      <c r="D283" s="81"/>
      <c r="E283" s="81"/>
      <c r="F283" s="81"/>
      <c r="G283" s="81"/>
      <c r="H283" s="81"/>
    </row>
    <row r="284" spans="4:8">
      <c r="D284" s="81"/>
      <c r="E284" s="81"/>
      <c r="F284" s="81"/>
      <c r="G284" s="81"/>
      <c r="H284" s="81"/>
    </row>
    <row r="285" spans="4:8">
      <c r="D285" s="81"/>
      <c r="E285" s="81"/>
      <c r="F285" s="81"/>
      <c r="G285" s="81"/>
      <c r="H285" s="81"/>
    </row>
    <row r="286" spans="4:8">
      <c r="D286" s="81"/>
      <c r="E286" s="81"/>
      <c r="F286" s="81"/>
      <c r="G286" s="81"/>
      <c r="H286" s="81"/>
    </row>
    <row r="287" spans="4:8">
      <c r="D287" s="81"/>
      <c r="E287" s="81"/>
      <c r="F287" s="81"/>
      <c r="G287" s="81"/>
      <c r="H287" s="81"/>
    </row>
    <row r="288" spans="4:8">
      <c r="D288" s="81"/>
      <c r="E288" s="81"/>
      <c r="F288" s="81"/>
      <c r="G288" s="81"/>
      <c r="H288" s="81"/>
    </row>
    <row r="289" spans="4:8">
      <c r="D289" s="81"/>
      <c r="E289" s="81"/>
      <c r="F289" s="81"/>
      <c r="G289" s="81"/>
      <c r="H289" s="81"/>
    </row>
    <row r="290" spans="4:8">
      <c r="D290" s="81"/>
      <c r="E290" s="81"/>
      <c r="F290" s="81"/>
      <c r="G290" s="81"/>
      <c r="H290" s="81"/>
    </row>
    <row r="291" spans="4:8">
      <c r="D291" s="81"/>
      <c r="E291" s="81"/>
      <c r="F291" s="81"/>
      <c r="G291" s="81"/>
      <c r="H291" s="81"/>
    </row>
    <row r="292" spans="4:8">
      <c r="D292" s="81"/>
      <c r="E292" s="81"/>
      <c r="F292" s="81"/>
      <c r="G292" s="81"/>
      <c r="H292" s="81"/>
    </row>
    <row r="293" spans="4:8">
      <c r="D293" s="81"/>
      <c r="E293" s="81"/>
      <c r="F293" s="81"/>
      <c r="G293" s="81"/>
      <c r="H293" s="81"/>
    </row>
    <row r="294" spans="4:8">
      <c r="D294" s="81"/>
      <c r="E294" s="81"/>
      <c r="F294" s="81"/>
      <c r="G294" s="81"/>
      <c r="H294" s="81"/>
    </row>
    <row r="295" spans="4:8">
      <c r="D295" s="81"/>
      <c r="E295" s="81"/>
      <c r="F295" s="81"/>
      <c r="G295" s="81"/>
      <c r="H295" s="81"/>
    </row>
    <row r="296" spans="4:8">
      <c r="D296" s="81"/>
      <c r="E296" s="81"/>
      <c r="F296" s="81"/>
      <c r="G296" s="81"/>
      <c r="H296" s="81"/>
    </row>
    <row r="297" spans="4:8">
      <c r="D297" s="81"/>
      <c r="E297" s="81"/>
      <c r="F297" s="81"/>
      <c r="G297" s="81"/>
      <c r="H297" s="81"/>
    </row>
    <row r="298" spans="4:8">
      <c r="D298" s="81"/>
      <c r="E298" s="81"/>
      <c r="F298" s="81"/>
      <c r="G298" s="81"/>
      <c r="H298" s="81"/>
    </row>
    <row r="299" spans="4:8">
      <c r="D299" s="81"/>
      <c r="E299" s="81"/>
      <c r="F299" s="81"/>
      <c r="G299" s="81"/>
      <c r="H299" s="81"/>
    </row>
    <row r="300" spans="4:8">
      <c r="D300" s="81"/>
      <c r="E300" s="81"/>
      <c r="F300" s="81"/>
      <c r="G300" s="81"/>
      <c r="H300" s="81"/>
    </row>
    <row r="301" spans="4:8">
      <c r="D301" s="81"/>
      <c r="E301" s="81"/>
      <c r="F301" s="81"/>
      <c r="G301" s="81"/>
      <c r="H301" s="81"/>
    </row>
    <row r="302" spans="4:8">
      <c r="D302" s="81"/>
      <c r="E302" s="81"/>
      <c r="F302" s="81"/>
      <c r="G302" s="81"/>
      <c r="H302" s="81"/>
    </row>
    <row r="303" spans="4:8">
      <c r="D303" s="81"/>
      <c r="E303" s="81"/>
      <c r="F303" s="81"/>
      <c r="G303" s="81"/>
      <c r="H303" s="81"/>
    </row>
    <row r="304" spans="4:8">
      <c r="D304" s="81"/>
      <c r="E304" s="81"/>
      <c r="F304" s="81"/>
      <c r="G304" s="81"/>
      <c r="H304" s="81"/>
    </row>
    <row r="305" spans="4:8">
      <c r="D305" s="81"/>
      <c r="E305" s="81"/>
      <c r="F305" s="81"/>
      <c r="G305" s="81"/>
      <c r="H305" s="81"/>
    </row>
    <row r="306" spans="4:8">
      <c r="D306" s="81"/>
      <c r="E306" s="81"/>
      <c r="F306" s="81"/>
      <c r="G306" s="81"/>
      <c r="H306" s="81"/>
    </row>
    <row r="307" spans="4:8">
      <c r="D307" s="81"/>
      <c r="E307" s="81"/>
      <c r="F307" s="81"/>
      <c r="G307" s="81"/>
      <c r="H307" s="81"/>
    </row>
    <row r="308" spans="4:8">
      <c r="D308" s="81"/>
      <c r="E308" s="81"/>
      <c r="F308" s="81"/>
      <c r="G308" s="81"/>
      <c r="H308" s="81"/>
    </row>
    <row r="309" spans="4:8">
      <c r="D309" s="81"/>
      <c r="E309" s="81"/>
      <c r="F309" s="81"/>
      <c r="G309" s="81"/>
      <c r="H309" s="81"/>
    </row>
    <row r="310" spans="4:8">
      <c r="D310" s="81"/>
      <c r="E310" s="81"/>
      <c r="F310" s="81"/>
      <c r="G310" s="81"/>
      <c r="H310" s="81"/>
    </row>
    <row r="311" spans="4:8">
      <c r="D311" s="81"/>
      <c r="E311" s="81"/>
      <c r="F311" s="81"/>
      <c r="G311" s="81"/>
      <c r="H311" s="81"/>
    </row>
    <row r="312" spans="4:8">
      <c r="D312" s="81"/>
      <c r="E312" s="81"/>
      <c r="F312" s="81"/>
      <c r="G312" s="81"/>
      <c r="H312" s="81"/>
    </row>
    <row r="313" spans="4:8">
      <c r="D313" s="81"/>
      <c r="E313" s="81"/>
      <c r="F313" s="81"/>
      <c r="G313" s="81"/>
      <c r="H313" s="81"/>
    </row>
    <row r="314" spans="4:8">
      <c r="D314" s="81"/>
      <c r="E314" s="81"/>
      <c r="F314" s="81"/>
      <c r="G314" s="81"/>
      <c r="H314" s="81"/>
    </row>
    <row r="315" spans="4:8">
      <c r="D315" s="81"/>
      <c r="E315" s="81"/>
      <c r="F315" s="81"/>
      <c r="G315" s="81"/>
      <c r="H315" s="81"/>
    </row>
    <row r="316" spans="4:8">
      <c r="D316" s="81"/>
      <c r="E316" s="81"/>
      <c r="F316" s="81"/>
      <c r="G316" s="81"/>
      <c r="H316" s="81"/>
    </row>
    <row r="317" spans="4:8">
      <c r="D317" s="81"/>
      <c r="E317" s="81"/>
      <c r="F317" s="81"/>
      <c r="G317" s="81"/>
      <c r="H317" s="81"/>
    </row>
    <row r="318" spans="4:8">
      <c r="D318" s="81"/>
      <c r="E318" s="81"/>
      <c r="F318" s="81"/>
      <c r="G318" s="81"/>
      <c r="H318" s="81"/>
    </row>
    <row r="319" spans="4:8">
      <c r="D319" s="81"/>
      <c r="E319" s="81"/>
      <c r="F319" s="81"/>
      <c r="G319" s="81"/>
      <c r="H319" s="81"/>
    </row>
    <row r="320" spans="4:8">
      <c r="D320" s="81"/>
      <c r="E320" s="81"/>
      <c r="F320" s="81"/>
      <c r="G320" s="81"/>
      <c r="H320" s="81"/>
    </row>
    <row r="321" spans="4:8">
      <c r="D321" s="81"/>
      <c r="E321" s="81"/>
      <c r="F321" s="81"/>
      <c r="G321" s="81"/>
      <c r="H321" s="81"/>
    </row>
    <row r="322" spans="4:8">
      <c r="D322" s="81"/>
      <c r="E322" s="81"/>
      <c r="F322" s="81"/>
      <c r="G322" s="81"/>
      <c r="H322" s="81"/>
    </row>
    <row r="323" spans="4:8">
      <c r="D323" s="81"/>
      <c r="E323" s="81"/>
      <c r="F323" s="81"/>
      <c r="G323" s="81"/>
      <c r="H323" s="81"/>
    </row>
    <row r="324" spans="4:8">
      <c r="D324" s="81"/>
      <c r="E324" s="81"/>
      <c r="F324" s="81"/>
      <c r="G324" s="81"/>
      <c r="H324" s="81"/>
    </row>
    <row r="325" spans="4:8">
      <c r="D325" s="81"/>
      <c r="E325" s="81"/>
      <c r="F325" s="81"/>
      <c r="G325" s="81"/>
      <c r="H325" s="81"/>
    </row>
    <row r="326" spans="4:8">
      <c r="D326" s="81"/>
      <c r="E326" s="81"/>
      <c r="F326" s="81"/>
      <c r="G326" s="81"/>
      <c r="H326" s="81"/>
    </row>
    <row r="327" spans="4:8">
      <c r="D327" s="81"/>
      <c r="E327" s="81"/>
      <c r="F327" s="81"/>
      <c r="G327" s="81"/>
      <c r="H327" s="81"/>
    </row>
    <row r="328" spans="4:8">
      <c r="D328" s="81"/>
      <c r="E328" s="81"/>
      <c r="F328" s="81"/>
      <c r="G328" s="81"/>
      <c r="H328" s="81"/>
    </row>
    <row r="329" spans="4:8">
      <c r="D329" s="81"/>
      <c r="E329" s="81"/>
      <c r="F329" s="81"/>
      <c r="G329" s="81"/>
      <c r="H329" s="81"/>
    </row>
    <row r="330" spans="4:8">
      <c r="D330" s="81"/>
      <c r="E330" s="81"/>
      <c r="F330" s="81"/>
      <c r="G330" s="81"/>
      <c r="H330" s="81"/>
    </row>
    <row r="331" spans="4:8">
      <c r="D331" s="81"/>
      <c r="E331" s="81"/>
      <c r="F331" s="81"/>
      <c r="G331" s="81"/>
      <c r="H331" s="81"/>
    </row>
    <row r="332" spans="4:8">
      <c r="D332" s="81"/>
      <c r="E332" s="81"/>
      <c r="F332" s="81"/>
      <c r="G332" s="81"/>
      <c r="H332" s="81"/>
    </row>
    <row r="333" spans="4:8">
      <c r="D333" s="81"/>
      <c r="E333" s="81"/>
      <c r="F333" s="81"/>
      <c r="G333" s="81"/>
      <c r="H333" s="81"/>
    </row>
    <row r="334" spans="4:8">
      <c r="D334" s="81"/>
      <c r="E334" s="81"/>
      <c r="F334" s="81"/>
      <c r="G334" s="81"/>
      <c r="H334" s="81"/>
    </row>
    <row r="335" spans="4:8">
      <c r="D335" s="81"/>
      <c r="E335" s="81"/>
      <c r="F335" s="81"/>
      <c r="G335" s="81"/>
      <c r="H335" s="81"/>
    </row>
    <row r="336" spans="4:8">
      <c r="D336" s="81"/>
      <c r="E336" s="81"/>
      <c r="F336" s="81"/>
      <c r="G336" s="81"/>
      <c r="H336" s="81"/>
    </row>
    <row r="337" spans="4:8">
      <c r="D337" s="81"/>
      <c r="E337" s="81"/>
      <c r="F337" s="81"/>
      <c r="G337" s="81"/>
      <c r="H337" s="81"/>
    </row>
    <row r="338" spans="4:8">
      <c r="D338" s="81"/>
      <c r="E338" s="81"/>
      <c r="F338" s="81"/>
      <c r="G338" s="81"/>
      <c r="H338" s="81"/>
    </row>
    <row r="339" spans="4:8">
      <c r="D339" s="81"/>
      <c r="E339" s="81"/>
      <c r="F339" s="81"/>
      <c r="G339" s="81"/>
      <c r="H339" s="81"/>
    </row>
    <row r="340" spans="4:8">
      <c r="D340" s="81"/>
      <c r="E340" s="81"/>
      <c r="F340" s="81"/>
      <c r="G340" s="81"/>
      <c r="H340" s="81"/>
    </row>
    <row r="341" spans="4:8">
      <c r="D341" s="81"/>
      <c r="E341" s="81"/>
      <c r="F341" s="81"/>
      <c r="G341" s="81"/>
      <c r="H341" s="81"/>
    </row>
    <row r="342" spans="4:8">
      <c r="D342" s="81"/>
      <c r="E342" s="81"/>
      <c r="F342" s="81"/>
      <c r="G342" s="81"/>
      <c r="H342" s="81"/>
    </row>
    <row r="343" spans="4:8">
      <c r="D343" s="81"/>
      <c r="E343" s="81"/>
      <c r="F343" s="81"/>
      <c r="G343" s="81"/>
      <c r="H343" s="81"/>
    </row>
    <row r="344" spans="4:8">
      <c r="D344" s="81"/>
      <c r="E344" s="81"/>
      <c r="F344" s="81"/>
      <c r="G344" s="81"/>
      <c r="H344" s="81"/>
    </row>
    <row r="345" spans="4:8">
      <c r="D345" s="81"/>
      <c r="E345" s="81"/>
      <c r="F345" s="81"/>
      <c r="G345" s="81"/>
      <c r="H345" s="81"/>
    </row>
    <row r="346" spans="4:8">
      <c r="D346" s="81"/>
      <c r="E346" s="81"/>
      <c r="F346" s="81"/>
      <c r="G346" s="81"/>
      <c r="H346" s="81"/>
    </row>
    <row r="347" spans="4:8">
      <c r="D347" s="81"/>
      <c r="E347" s="81"/>
      <c r="F347" s="81"/>
      <c r="G347" s="81"/>
      <c r="H347" s="81"/>
    </row>
    <row r="348" spans="4:8">
      <c r="D348" s="81"/>
      <c r="E348" s="81"/>
      <c r="F348" s="81"/>
      <c r="G348" s="81"/>
      <c r="H348" s="81"/>
    </row>
    <row r="349" spans="4:8">
      <c r="D349" s="81"/>
      <c r="E349" s="81"/>
      <c r="F349" s="81"/>
      <c r="G349" s="81"/>
      <c r="H349" s="81"/>
    </row>
    <row r="350" spans="4:8">
      <c r="D350" s="81"/>
      <c r="E350" s="81"/>
      <c r="F350" s="81"/>
      <c r="G350" s="81"/>
      <c r="H350" s="81"/>
    </row>
    <row r="351" spans="4:8">
      <c r="D351" s="81"/>
      <c r="E351" s="81"/>
      <c r="F351" s="81"/>
      <c r="G351" s="81"/>
      <c r="H351" s="81"/>
    </row>
    <row r="352" spans="4:8">
      <c r="D352" s="81"/>
      <c r="E352" s="81"/>
      <c r="F352" s="81"/>
      <c r="G352" s="81"/>
      <c r="H352" s="81"/>
    </row>
    <row r="353" spans="4:8">
      <c r="D353" s="81"/>
      <c r="E353" s="81"/>
      <c r="F353" s="81"/>
      <c r="G353" s="81"/>
      <c r="H353" s="81"/>
    </row>
    <row r="354" spans="4:8">
      <c r="D354" s="81"/>
      <c r="E354" s="81"/>
      <c r="F354" s="81"/>
      <c r="G354" s="81"/>
      <c r="H354" s="81"/>
    </row>
    <row r="355" spans="4:8">
      <c r="D355" s="81"/>
      <c r="E355" s="81"/>
      <c r="F355" s="81"/>
      <c r="G355" s="81"/>
      <c r="H355" s="81"/>
    </row>
    <row r="356" spans="4:8">
      <c r="D356" s="81"/>
      <c r="E356" s="81"/>
      <c r="F356" s="81"/>
      <c r="G356" s="81"/>
      <c r="H356" s="81"/>
    </row>
    <row r="357" spans="4:8">
      <c r="D357" s="81"/>
      <c r="E357" s="81"/>
      <c r="F357" s="81"/>
      <c r="G357" s="81"/>
      <c r="H357" s="81"/>
    </row>
    <row r="358" spans="4:8">
      <c r="D358" s="81"/>
      <c r="E358" s="81"/>
      <c r="F358" s="81"/>
      <c r="G358" s="81"/>
      <c r="H358" s="81"/>
    </row>
    <row r="359" spans="4:8">
      <c r="D359" s="81"/>
      <c r="E359" s="81"/>
      <c r="F359" s="81"/>
      <c r="G359" s="81"/>
      <c r="H359" s="81"/>
    </row>
    <row r="360" spans="4:8">
      <c r="D360" s="81"/>
      <c r="E360" s="81"/>
      <c r="F360" s="81"/>
      <c r="G360" s="81"/>
      <c r="H360" s="81"/>
    </row>
    <row r="361" spans="4:8">
      <c r="D361" s="81"/>
      <c r="E361" s="81"/>
      <c r="F361" s="81"/>
      <c r="G361" s="81"/>
      <c r="H361" s="81"/>
    </row>
    <row r="362" spans="4:8">
      <c r="D362" s="81"/>
      <c r="E362" s="81"/>
      <c r="F362" s="81"/>
      <c r="G362" s="81"/>
      <c r="H362" s="81"/>
    </row>
    <row r="363" spans="4:8">
      <c r="D363" s="81"/>
      <c r="E363" s="81"/>
      <c r="F363" s="81"/>
      <c r="G363" s="81"/>
      <c r="H363" s="81"/>
    </row>
    <row r="364" spans="4:8">
      <c r="D364" s="81"/>
      <c r="E364" s="81"/>
      <c r="F364" s="81"/>
      <c r="G364" s="81"/>
      <c r="H364" s="81"/>
    </row>
    <row r="365" spans="4:8">
      <c r="D365" s="81"/>
      <c r="E365" s="81"/>
      <c r="F365" s="81"/>
      <c r="G365" s="81"/>
      <c r="H365" s="81"/>
    </row>
    <row r="366" spans="4:8">
      <c r="D366" s="81"/>
      <c r="E366" s="81"/>
      <c r="F366" s="81"/>
      <c r="G366" s="81"/>
      <c r="H366" s="81"/>
    </row>
    <row r="367" spans="4:8">
      <c r="D367" s="81"/>
      <c r="E367" s="81"/>
      <c r="F367" s="81"/>
      <c r="G367" s="81"/>
      <c r="H367" s="81"/>
    </row>
    <row r="368" spans="4:8">
      <c r="D368" s="81"/>
      <c r="E368" s="81"/>
      <c r="F368" s="81"/>
      <c r="G368" s="81"/>
      <c r="H368" s="81"/>
    </row>
    <row r="369" spans="4:8">
      <c r="D369" s="81"/>
      <c r="E369" s="81"/>
      <c r="F369" s="81"/>
      <c r="G369" s="81"/>
      <c r="H369" s="81"/>
    </row>
    <row r="370" spans="4:8">
      <c r="D370" s="81"/>
      <c r="E370" s="81"/>
      <c r="F370" s="81"/>
      <c r="G370" s="81"/>
      <c r="H370" s="81"/>
    </row>
    <row r="371" spans="4:8">
      <c r="D371" s="81"/>
      <c r="E371" s="81"/>
      <c r="F371" s="81"/>
      <c r="G371" s="81"/>
      <c r="H371" s="81"/>
    </row>
    <row r="372" spans="4:8">
      <c r="D372" s="81"/>
      <c r="E372" s="81"/>
      <c r="F372" s="81"/>
      <c r="G372" s="81"/>
      <c r="H372" s="81"/>
    </row>
    <row r="373" spans="4:8">
      <c r="D373" s="81"/>
      <c r="E373" s="81"/>
      <c r="F373" s="81"/>
      <c r="G373" s="81"/>
      <c r="H373" s="81"/>
    </row>
    <row r="374" spans="4:8">
      <c r="D374" s="81"/>
      <c r="E374" s="81"/>
      <c r="F374" s="81"/>
      <c r="G374" s="81"/>
      <c r="H374" s="81"/>
    </row>
    <row r="375" spans="4:8">
      <c r="D375" s="81"/>
      <c r="E375" s="81"/>
      <c r="F375" s="81"/>
      <c r="G375" s="81"/>
      <c r="H375" s="81"/>
    </row>
    <row r="376" spans="4:8">
      <c r="D376" s="81"/>
      <c r="E376" s="81"/>
      <c r="F376" s="81"/>
      <c r="G376" s="81"/>
      <c r="H376" s="81"/>
    </row>
    <row r="377" spans="4:8">
      <c r="D377" s="81"/>
      <c r="E377" s="81"/>
      <c r="F377" s="81"/>
      <c r="G377" s="81"/>
      <c r="H377" s="81"/>
    </row>
    <row r="378" spans="4:8">
      <c r="D378" s="81"/>
      <c r="E378" s="81"/>
      <c r="F378" s="81"/>
      <c r="G378" s="81"/>
      <c r="H378" s="81"/>
    </row>
    <row r="379" spans="4:8">
      <c r="D379" s="81"/>
      <c r="E379" s="81"/>
      <c r="F379" s="81"/>
      <c r="G379" s="81"/>
      <c r="H379" s="81"/>
    </row>
    <row r="380" spans="4:8">
      <c r="D380" s="81"/>
      <c r="E380" s="81"/>
      <c r="F380" s="81"/>
      <c r="G380" s="81"/>
      <c r="H380" s="81"/>
    </row>
    <row r="381" spans="4:8">
      <c r="D381" s="81"/>
      <c r="E381" s="81"/>
      <c r="F381" s="81"/>
      <c r="G381" s="81"/>
      <c r="H381" s="81"/>
    </row>
    <row r="382" spans="4:8">
      <c r="D382" s="81"/>
      <c r="E382" s="81"/>
      <c r="F382" s="81"/>
      <c r="G382" s="81"/>
      <c r="H382" s="81"/>
    </row>
    <row r="383" spans="4:8">
      <c r="D383" s="81"/>
      <c r="E383" s="81"/>
      <c r="F383" s="81"/>
      <c r="G383" s="81"/>
      <c r="H383" s="81"/>
    </row>
    <row r="384" spans="4:8">
      <c r="D384" s="81"/>
      <c r="E384" s="81"/>
      <c r="F384" s="81"/>
      <c r="G384" s="81"/>
      <c r="H384" s="81"/>
    </row>
    <row r="385" spans="4:8">
      <c r="D385" s="81"/>
      <c r="E385" s="81"/>
      <c r="F385" s="81"/>
      <c r="G385" s="81"/>
      <c r="H385" s="81"/>
    </row>
    <row r="386" spans="4:8">
      <c r="D386" s="81"/>
      <c r="E386" s="81"/>
      <c r="F386" s="81"/>
      <c r="G386" s="81"/>
      <c r="H386" s="81"/>
    </row>
    <row r="387" spans="4:8">
      <c r="D387" s="81"/>
      <c r="E387" s="81"/>
      <c r="F387" s="81"/>
      <c r="G387" s="81"/>
      <c r="H387" s="81"/>
    </row>
    <row r="388" spans="4:8">
      <c r="D388" s="81"/>
      <c r="E388" s="81"/>
      <c r="F388" s="81"/>
      <c r="G388" s="81"/>
      <c r="H388" s="81"/>
    </row>
    <row r="389" spans="4:8">
      <c r="D389" s="81"/>
      <c r="E389" s="81"/>
      <c r="F389" s="81"/>
      <c r="G389" s="81"/>
      <c r="H389" s="81"/>
    </row>
    <row r="390" spans="4:8">
      <c r="D390" s="81"/>
      <c r="E390" s="81"/>
      <c r="F390" s="81"/>
      <c r="G390" s="81"/>
      <c r="H390" s="81"/>
    </row>
    <row r="391" spans="4:8">
      <c r="D391" s="81"/>
      <c r="E391" s="81"/>
      <c r="F391" s="81"/>
      <c r="G391" s="81"/>
      <c r="H391" s="81"/>
    </row>
    <row r="392" spans="4:8">
      <c r="D392" s="81"/>
      <c r="E392" s="81"/>
      <c r="F392" s="81"/>
      <c r="G392" s="81"/>
      <c r="H392" s="81"/>
    </row>
    <row r="393" spans="4:8">
      <c r="D393" s="81"/>
      <c r="E393" s="81"/>
      <c r="F393" s="81"/>
      <c r="G393" s="81"/>
      <c r="H393" s="81"/>
    </row>
    <row r="394" spans="4:8">
      <c r="D394" s="81"/>
      <c r="E394" s="81"/>
      <c r="F394" s="81"/>
      <c r="G394" s="81"/>
      <c r="H394" s="81"/>
    </row>
    <row r="395" spans="4:8">
      <c r="D395" s="81"/>
      <c r="E395" s="81"/>
      <c r="F395" s="81"/>
      <c r="G395" s="81"/>
      <c r="H395" s="81"/>
    </row>
    <row r="396" spans="4:8">
      <c r="D396" s="81"/>
      <c r="E396" s="81"/>
      <c r="F396" s="81"/>
      <c r="G396" s="81"/>
      <c r="H396" s="81"/>
    </row>
    <row r="397" spans="4:8">
      <c r="D397" s="81"/>
      <c r="E397" s="81"/>
      <c r="F397" s="81"/>
      <c r="G397" s="81"/>
      <c r="H397" s="81"/>
    </row>
    <row r="398" spans="4:8">
      <c r="D398" s="81"/>
      <c r="E398" s="81"/>
      <c r="F398" s="81"/>
      <c r="G398" s="81"/>
      <c r="H398" s="81"/>
    </row>
    <row r="399" spans="4:8">
      <c r="D399" s="81"/>
      <c r="E399" s="81"/>
      <c r="F399" s="81"/>
      <c r="G399" s="81"/>
      <c r="H399" s="81"/>
    </row>
    <row r="400" spans="4:8">
      <c r="D400" s="81"/>
      <c r="E400" s="81"/>
      <c r="F400" s="81"/>
      <c r="G400" s="81"/>
      <c r="H400" s="81"/>
    </row>
    <row r="401" spans="4:8">
      <c r="D401" s="81"/>
      <c r="E401" s="81"/>
      <c r="F401" s="81"/>
      <c r="G401" s="81"/>
      <c r="H401" s="81"/>
    </row>
    <row r="402" spans="4:8">
      <c r="D402" s="81"/>
      <c r="E402" s="81"/>
      <c r="F402" s="81"/>
      <c r="G402" s="81"/>
      <c r="H402" s="81"/>
    </row>
    <row r="403" spans="4:8">
      <c r="D403" s="81"/>
      <c r="E403" s="81"/>
      <c r="F403" s="81"/>
      <c r="G403" s="81"/>
      <c r="H403" s="81"/>
    </row>
    <row r="404" spans="4:8">
      <c r="D404" s="81"/>
      <c r="E404" s="81"/>
      <c r="F404" s="81"/>
      <c r="G404" s="81"/>
      <c r="H404" s="81"/>
    </row>
    <row r="405" spans="4:8">
      <c r="D405" s="81"/>
      <c r="E405" s="81"/>
      <c r="F405" s="81"/>
      <c r="G405" s="81"/>
      <c r="H405" s="81"/>
    </row>
    <row r="406" spans="4:8">
      <c r="D406" s="81"/>
      <c r="E406" s="81"/>
      <c r="F406" s="81"/>
      <c r="G406" s="81"/>
      <c r="H406" s="81"/>
    </row>
    <row r="407" spans="4:8">
      <c r="D407" s="81"/>
      <c r="E407" s="81"/>
      <c r="F407" s="81"/>
      <c r="G407" s="81"/>
      <c r="H407" s="81"/>
    </row>
    <row r="408" spans="4:8">
      <c r="D408" s="81"/>
      <c r="E408" s="81"/>
      <c r="F408" s="81"/>
      <c r="G408" s="81"/>
      <c r="H408" s="81"/>
    </row>
    <row r="409" spans="4:8">
      <c r="D409" s="81"/>
      <c r="E409" s="81"/>
      <c r="F409" s="81"/>
      <c r="G409" s="81"/>
      <c r="H409" s="81"/>
    </row>
    <row r="410" spans="4:8">
      <c r="D410" s="81"/>
      <c r="E410" s="81"/>
      <c r="F410" s="81"/>
      <c r="G410" s="81"/>
      <c r="H410" s="81"/>
    </row>
    <row r="411" spans="4:8">
      <c r="D411" s="81"/>
      <c r="E411" s="81"/>
      <c r="F411" s="81"/>
      <c r="G411" s="81"/>
      <c r="H411" s="81"/>
    </row>
    <row r="412" spans="4:8">
      <c r="D412" s="81"/>
      <c r="E412" s="81"/>
      <c r="F412" s="81"/>
      <c r="G412" s="81"/>
      <c r="H412" s="81"/>
    </row>
    <row r="413" spans="4:8">
      <c r="D413" s="81"/>
      <c r="E413" s="81"/>
      <c r="F413" s="81"/>
      <c r="G413" s="81"/>
      <c r="H413" s="81"/>
    </row>
    <row r="414" spans="4:8">
      <c r="D414" s="81"/>
      <c r="E414" s="81"/>
      <c r="F414" s="81"/>
      <c r="G414" s="81"/>
      <c r="H414" s="81"/>
    </row>
    <row r="415" spans="4:8">
      <c r="D415" s="81"/>
      <c r="E415" s="81"/>
      <c r="F415" s="81"/>
      <c r="G415" s="81"/>
      <c r="H415" s="81"/>
    </row>
    <row r="416" spans="4:8">
      <c r="D416" s="81"/>
      <c r="E416" s="81"/>
      <c r="F416" s="81"/>
      <c r="G416" s="81"/>
      <c r="H416" s="81"/>
    </row>
    <row r="417" spans="4:8">
      <c r="D417" s="81"/>
      <c r="E417" s="81"/>
      <c r="F417" s="81"/>
      <c r="G417" s="81"/>
      <c r="H417" s="81"/>
    </row>
    <row r="418" spans="4:8">
      <c r="D418" s="81"/>
      <c r="E418" s="81"/>
      <c r="F418" s="81"/>
      <c r="G418" s="81"/>
      <c r="H418" s="81"/>
    </row>
    <row r="419" spans="4:8">
      <c r="D419" s="81"/>
      <c r="E419" s="81"/>
      <c r="F419" s="81"/>
      <c r="G419" s="81"/>
      <c r="H419" s="81"/>
    </row>
    <row r="420" spans="4:8">
      <c r="D420" s="81"/>
      <c r="E420" s="81"/>
      <c r="F420" s="81"/>
      <c r="G420" s="81"/>
      <c r="H420" s="81"/>
    </row>
    <row r="421" spans="4:8">
      <c r="D421" s="81"/>
      <c r="E421" s="81"/>
      <c r="F421" s="81"/>
      <c r="G421" s="81"/>
      <c r="H421" s="81"/>
    </row>
    <row r="422" spans="4:8">
      <c r="D422" s="81"/>
      <c r="E422" s="81"/>
      <c r="F422" s="81"/>
      <c r="G422" s="81"/>
      <c r="H422" s="81"/>
    </row>
    <row r="423" spans="4:8">
      <c r="D423" s="81"/>
      <c r="E423" s="81"/>
      <c r="F423" s="81"/>
      <c r="G423" s="81"/>
      <c r="H423" s="81"/>
    </row>
    <row r="424" spans="4:8">
      <c r="D424" s="81"/>
      <c r="E424" s="81"/>
      <c r="F424" s="81"/>
      <c r="G424" s="81"/>
      <c r="H424" s="81"/>
    </row>
    <row r="425" spans="4:8">
      <c r="D425" s="81"/>
      <c r="E425" s="81"/>
      <c r="F425" s="81"/>
      <c r="G425" s="81"/>
      <c r="H425" s="81"/>
    </row>
    <row r="426" spans="4:8">
      <c r="D426" s="81"/>
      <c r="E426" s="81"/>
      <c r="F426" s="81"/>
      <c r="G426" s="81"/>
      <c r="H426" s="81"/>
    </row>
    <row r="427" spans="4:8">
      <c r="D427" s="81"/>
      <c r="E427" s="81"/>
      <c r="F427" s="81"/>
      <c r="G427" s="81"/>
      <c r="H427" s="81"/>
    </row>
    <row r="428" spans="4:8">
      <c r="D428" s="81"/>
      <c r="E428" s="81"/>
      <c r="F428" s="81"/>
      <c r="G428" s="81"/>
      <c r="H428" s="81"/>
    </row>
    <row r="429" spans="4:8">
      <c r="D429" s="81"/>
      <c r="E429" s="81"/>
      <c r="F429" s="81"/>
      <c r="G429" s="81"/>
      <c r="H429" s="81"/>
    </row>
    <row r="430" spans="4:8">
      <c r="D430" s="81"/>
      <c r="E430" s="81"/>
      <c r="F430" s="81"/>
      <c r="G430" s="81"/>
      <c r="H430" s="81"/>
    </row>
    <row r="431" spans="4:8">
      <c r="D431" s="81"/>
      <c r="E431" s="81"/>
      <c r="F431" s="81"/>
      <c r="G431" s="81"/>
      <c r="H431" s="81"/>
    </row>
    <row r="432" spans="4:8">
      <c r="D432" s="81"/>
      <c r="E432" s="81"/>
      <c r="F432" s="81"/>
      <c r="G432" s="81"/>
      <c r="H432" s="81"/>
    </row>
    <row r="433" spans="4:8">
      <c r="D433" s="81"/>
      <c r="E433" s="81"/>
      <c r="F433" s="81"/>
      <c r="G433" s="81"/>
      <c r="H433" s="81"/>
    </row>
    <row r="434" spans="4:8">
      <c r="D434" s="81"/>
      <c r="E434" s="81"/>
      <c r="F434" s="81"/>
      <c r="G434" s="81"/>
      <c r="H434" s="81"/>
    </row>
    <row r="435" spans="4:8">
      <c r="D435" s="81"/>
      <c r="E435" s="81"/>
      <c r="F435" s="81"/>
      <c r="G435" s="81"/>
      <c r="H435" s="81"/>
    </row>
    <row r="436" spans="4:8">
      <c r="D436" s="81"/>
      <c r="E436" s="81"/>
      <c r="F436" s="81"/>
      <c r="G436" s="81"/>
      <c r="H436" s="81"/>
    </row>
    <row r="437" spans="4:8">
      <c r="D437" s="81"/>
      <c r="E437" s="81"/>
      <c r="F437" s="81"/>
      <c r="G437" s="81"/>
      <c r="H437" s="81"/>
    </row>
    <row r="438" spans="4:8">
      <c r="D438" s="81"/>
      <c r="E438" s="81"/>
      <c r="F438" s="81"/>
      <c r="G438" s="81"/>
      <c r="H438" s="81"/>
    </row>
    <row r="439" spans="4:8">
      <c r="D439" s="81"/>
      <c r="E439" s="81"/>
      <c r="F439" s="81"/>
      <c r="G439" s="81"/>
      <c r="H439" s="81"/>
    </row>
    <row r="440" spans="4:8">
      <c r="D440" s="81"/>
      <c r="E440" s="81"/>
      <c r="F440" s="81"/>
      <c r="G440" s="81"/>
      <c r="H440" s="81"/>
    </row>
    <row r="441" spans="4:8">
      <c r="D441" s="81"/>
      <c r="E441" s="81"/>
      <c r="F441" s="81"/>
      <c r="G441" s="81"/>
      <c r="H441" s="81"/>
    </row>
    <row r="442" spans="4:8">
      <c r="D442" s="81"/>
      <c r="E442" s="81"/>
      <c r="F442" s="81"/>
      <c r="G442" s="81"/>
      <c r="H442" s="81"/>
    </row>
    <row r="443" spans="4:8">
      <c r="D443" s="81"/>
      <c r="E443" s="81"/>
      <c r="F443" s="81"/>
      <c r="G443" s="81"/>
      <c r="H443" s="81"/>
    </row>
    <row r="444" spans="4:8">
      <c r="D444" s="81"/>
      <c r="E444" s="81"/>
      <c r="F444" s="81"/>
      <c r="G444" s="81"/>
      <c r="H444" s="81"/>
    </row>
    <row r="445" spans="4:8">
      <c r="D445" s="81"/>
      <c r="E445" s="81"/>
      <c r="F445" s="81"/>
      <c r="G445" s="81"/>
      <c r="H445" s="81"/>
    </row>
    <row r="446" spans="4:8">
      <c r="D446" s="81"/>
      <c r="E446" s="81"/>
      <c r="F446" s="81"/>
      <c r="G446" s="81"/>
      <c r="H446" s="81"/>
    </row>
    <row r="447" spans="4:8">
      <c r="D447" s="81"/>
      <c r="E447" s="81"/>
      <c r="F447" s="81"/>
      <c r="G447" s="81"/>
      <c r="H447" s="81"/>
    </row>
    <row r="448" spans="4:8">
      <c r="D448" s="81"/>
      <c r="E448" s="81"/>
      <c r="F448" s="81"/>
      <c r="G448" s="81"/>
      <c r="H448" s="81"/>
    </row>
    <row r="449" spans="4:8">
      <c r="D449" s="81"/>
      <c r="E449" s="81"/>
      <c r="F449" s="81"/>
      <c r="G449" s="81"/>
      <c r="H449" s="81"/>
    </row>
    <row r="450" spans="4:8">
      <c r="D450" s="81"/>
      <c r="E450" s="81"/>
      <c r="F450" s="81"/>
      <c r="G450" s="81"/>
      <c r="H450" s="81"/>
    </row>
    <row r="451" spans="4:8">
      <c r="D451" s="81"/>
      <c r="E451" s="81"/>
      <c r="F451" s="81"/>
      <c r="G451" s="81"/>
      <c r="H451" s="81"/>
    </row>
    <row r="452" spans="4:8">
      <c r="D452" s="81"/>
      <c r="E452" s="81"/>
      <c r="F452" s="81"/>
      <c r="G452" s="81"/>
      <c r="H452" s="81"/>
    </row>
    <row r="453" spans="4:8">
      <c r="D453" s="81"/>
      <c r="E453" s="81"/>
      <c r="F453" s="81"/>
      <c r="G453" s="81"/>
      <c r="H453" s="81"/>
    </row>
    <row r="454" spans="4:8">
      <c r="D454" s="81"/>
      <c r="E454" s="81"/>
      <c r="F454" s="81"/>
      <c r="G454" s="81"/>
      <c r="H454" s="81"/>
    </row>
    <row r="455" spans="4:8">
      <c r="D455" s="81"/>
      <c r="E455" s="81"/>
      <c r="F455" s="81"/>
      <c r="G455" s="81"/>
      <c r="H455" s="81"/>
    </row>
    <row r="456" spans="4:8">
      <c r="D456" s="81"/>
      <c r="E456" s="81"/>
      <c r="F456" s="81"/>
      <c r="G456" s="81"/>
      <c r="H456" s="81"/>
    </row>
    <row r="457" spans="4:8">
      <c r="D457" s="81"/>
      <c r="E457" s="81"/>
      <c r="F457" s="81"/>
      <c r="G457" s="81"/>
      <c r="H457" s="81"/>
    </row>
    <row r="458" spans="4:8">
      <c r="D458" s="81"/>
      <c r="E458" s="81"/>
      <c r="F458" s="81"/>
      <c r="G458" s="81"/>
      <c r="H458" s="81"/>
    </row>
    <row r="459" spans="4:8">
      <c r="D459" s="81"/>
      <c r="E459" s="81"/>
      <c r="F459" s="81"/>
      <c r="G459" s="81"/>
      <c r="H459" s="81"/>
    </row>
    <row r="460" spans="4:8">
      <c r="D460" s="81"/>
      <c r="E460" s="81"/>
      <c r="F460" s="81"/>
      <c r="G460" s="81"/>
      <c r="H460" s="81"/>
    </row>
    <row r="461" spans="4:8">
      <c r="D461" s="81"/>
      <c r="E461" s="81"/>
      <c r="F461" s="81"/>
      <c r="G461" s="81"/>
      <c r="H461" s="81"/>
    </row>
    <row r="462" spans="4:8">
      <c r="D462" s="81"/>
      <c r="E462" s="81"/>
      <c r="F462" s="81"/>
      <c r="G462" s="81"/>
      <c r="H462" s="81"/>
    </row>
    <row r="463" spans="4:8">
      <c r="D463" s="81"/>
      <c r="E463" s="81"/>
      <c r="F463" s="81"/>
      <c r="G463" s="81"/>
      <c r="H463" s="81"/>
    </row>
    <row r="464" spans="4:8">
      <c r="D464" s="81"/>
      <c r="E464" s="81"/>
      <c r="F464" s="81"/>
      <c r="G464" s="81"/>
      <c r="H464" s="81"/>
    </row>
    <row r="465" spans="4:8">
      <c r="D465" s="81"/>
      <c r="E465" s="81"/>
      <c r="F465" s="81"/>
      <c r="G465" s="81"/>
      <c r="H465" s="81"/>
    </row>
    <row r="466" spans="4:8">
      <c r="D466" s="81"/>
      <c r="E466" s="81"/>
      <c r="F466" s="81"/>
      <c r="G466" s="81"/>
      <c r="H466" s="81"/>
    </row>
    <row r="467" spans="4:8">
      <c r="D467" s="81"/>
      <c r="E467" s="81"/>
      <c r="F467" s="81"/>
      <c r="G467" s="81"/>
      <c r="H467" s="81"/>
    </row>
    <row r="468" spans="4:8">
      <c r="D468" s="81"/>
      <c r="E468" s="81"/>
      <c r="F468" s="81"/>
      <c r="G468" s="81"/>
      <c r="H468" s="81"/>
    </row>
    <row r="469" spans="4:8">
      <c r="D469" s="81"/>
      <c r="E469" s="81"/>
      <c r="F469" s="81"/>
      <c r="G469" s="81"/>
      <c r="H469" s="81"/>
    </row>
    <row r="470" spans="4:8">
      <c r="D470" s="81"/>
      <c r="E470" s="81"/>
      <c r="F470" s="81"/>
      <c r="G470" s="81"/>
      <c r="H470" s="81"/>
    </row>
    <row r="471" spans="4:8">
      <c r="D471" s="81"/>
      <c r="E471" s="81"/>
      <c r="F471" s="81"/>
      <c r="G471" s="81"/>
      <c r="H471" s="81"/>
    </row>
    <row r="472" spans="4:8">
      <c r="D472" s="81"/>
      <c r="E472" s="81"/>
      <c r="F472" s="81"/>
      <c r="G472" s="81"/>
      <c r="H472" s="81"/>
    </row>
    <row r="473" spans="4:8">
      <c r="D473" s="81"/>
      <c r="E473" s="81"/>
      <c r="F473" s="81"/>
      <c r="G473" s="81"/>
      <c r="H473" s="81"/>
    </row>
    <row r="474" spans="4:8">
      <c r="D474" s="81"/>
      <c r="E474" s="81"/>
      <c r="F474" s="81"/>
      <c r="G474" s="81"/>
      <c r="H474" s="81"/>
    </row>
    <row r="475" spans="4:8">
      <c r="D475" s="81"/>
      <c r="E475" s="81"/>
      <c r="F475" s="81"/>
      <c r="G475" s="81"/>
      <c r="H475" s="81"/>
    </row>
    <row r="476" spans="4:8">
      <c r="D476" s="81"/>
      <c r="E476" s="81"/>
      <c r="F476" s="81"/>
      <c r="G476" s="81"/>
      <c r="H476" s="81"/>
    </row>
    <row r="477" spans="4:8">
      <c r="D477" s="81"/>
      <c r="E477" s="81"/>
      <c r="F477" s="81"/>
      <c r="G477" s="81"/>
      <c r="H477" s="81"/>
    </row>
    <row r="478" spans="4:8">
      <c r="D478" s="81"/>
      <c r="E478" s="81"/>
      <c r="F478" s="81"/>
      <c r="G478" s="81"/>
      <c r="H478" s="81"/>
    </row>
    <row r="479" spans="4:8">
      <c r="D479" s="81"/>
      <c r="E479" s="81"/>
      <c r="F479" s="81"/>
      <c r="G479" s="81"/>
      <c r="H479" s="81"/>
    </row>
    <row r="480" spans="4:8">
      <c r="D480" s="81"/>
      <c r="E480" s="81"/>
      <c r="F480" s="81"/>
      <c r="G480" s="81"/>
      <c r="H480" s="81"/>
    </row>
    <row r="481" spans="4:8">
      <c r="D481" s="81"/>
      <c r="E481" s="81"/>
      <c r="F481" s="81"/>
      <c r="G481" s="81"/>
      <c r="H481" s="81"/>
    </row>
    <row r="482" spans="4:8">
      <c r="D482" s="81"/>
      <c r="E482" s="81"/>
      <c r="F482" s="81"/>
      <c r="G482" s="81"/>
      <c r="H482" s="81"/>
    </row>
    <row r="483" spans="4:8">
      <c r="D483" s="81"/>
      <c r="E483" s="81"/>
      <c r="F483" s="81"/>
      <c r="G483" s="81"/>
      <c r="H483" s="81"/>
    </row>
    <row r="484" spans="4:8">
      <c r="D484" s="81"/>
      <c r="E484" s="81"/>
      <c r="F484" s="81"/>
      <c r="G484" s="81"/>
      <c r="H484" s="81"/>
    </row>
    <row r="485" spans="4:8">
      <c r="D485" s="81"/>
      <c r="E485" s="81"/>
      <c r="F485" s="81"/>
      <c r="G485" s="81"/>
      <c r="H485" s="81"/>
    </row>
    <row r="486" spans="4:8">
      <c r="D486" s="81"/>
      <c r="E486" s="81"/>
      <c r="F486" s="81"/>
      <c r="G486" s="81"/>
      <c r="H486" s="81"/>
    </row>
    <row r="487" spans="4:8">
      <c r="D487" s="81"/>
      <c r="E487" s="81"/>
      <c r="F487" s="81"/>
      <c r="G487" s="81"/>
      <c r="H487" s="81"/>
    </row>
    <row r="488" spans="4:8">
      <c r="D488" s="81"/>
      <c r="E488" s="81"/>
      <c r="F488" s="81"/>
      <c r="G488" s="81"/>
      <c r="H488" s="81"/>
    </row>
    <row r="489" spans="4:8">
      <c r="D489" s="81"/>
      <c r="E489" s="81"/>
      <c r="F489" s="81"/>
      <c r="G489" s="81"/>
      <c r="H489" s="81"/>
    </row>
    <row r="490" spans="4:8">
      <c r="D490" s="81"/>
      <c r="E490" s="81"/>
      <c r="F490" s="81"/>
      <c r="G490" s="81"/>
      <c r="H490" s="81"/>
    </row>
    <row r="491" spans="4:8">
      <c r="D491" s="81"/>
      <c r="E491" s="81"/>
      <c r="F491" s="81"/>
      <c r="G491" s="81"/>
      <c r="H491" s="81"/>
    </row>
    <row r="492" spans="4:8">
      <c r="D492" s="81"/>
      <c r="E492" s="81"/>
      <c r="F492" s="81"/>
      <c r="G492" s="81"/>
      <c r="H492" s="81"/>
    </row>
    <row r="493" spans="4:8">
      <c r="D493" s="81"/>
      <c r="E493" s="81"/>
      <c r="F493" s="81"/>
      <c r="G493" s="81"/>
      <c r="H493" s="81"/>
    </row>
    <row r="494" spans="4:8">
      <c r="D494" s="81"/>
      <c r="E494" s="81"/>
      <c r="F494" s="81"/>
      <c r="G494" s="81"/>
      <c r="H494" s="81"/>
    </row>
    <row r="495" spans="4:8">
      <c r="D495" s="81"/>
      <c r="E495" s="81"/>
      <c r="F495" s="81"/>
      <c r="G495" s="81"/>
      <c r="H495" s="81"/>
    </row>
    <row r="496" spans="4:8">
      <c r="D496" s="81"/>
      <c r="E496" s="81"/>
      <c r="F496" s="81"/>
      <c r="G496" s="81"/>
      <c r="H496" s="81"/>
    </row>
    <row r="497" spans="4:8">
      <c r="D497" s="81"/>
      <c r="E497" s="81"/>
      <c r="F497" s="81"/>
      <c r="G497" s="81"/>
      <c r="H497" s="81"/>
    </row>
    <row r="498" spans="4:8">
      <c r="D498" s="81"/>
      <c r="E498" s="81"/>
      <c r="F498" s="81"/>
      <c r="G498" s="81"/>
      <c r="H498" s="81"/>
    </row>
    <row r="499" spans="4:8">
      <c r="D499" s="81"/>
      <c r="E499" s="81"/>
      <c r="F499" s="81"/>
      <c r="G499" s="81"/>
      <c r="H499" s="81"/>
    </row>
    <row r="500" spans="4:8">
      <c r="D500" s="81"/>
      <c r="E500" s="81"/>
      <c r="F500" s="81"/>
      <c r="G500" s="81"/>
      <c r="H500" s="81"/>
    </row>
    <row r="501" spans="4:8">
      <c r="D501" s="81"/>
      <c r="E501" s="81"/>
      <c r="F501" s="81"/>
      <c r="G501" s="81"/>
      <c r="H501" s="81"/>
    </row>
    <row r="502" spans="4:8">
      <c r="D502" s="81"/>
      <c r="E502" s="81"/>
      <c r="F502" s="81"/>
      <c r="G502" s="81"/>
      <c r="H502" s="81"/>
    </row>
    <row r="503" spans="4:8">
      <c r="D503" s="81"/>
      <c r="E503" s="81"/>
      <c r="F503" s="81"/>
      <c r="G503" s="81"/>
      <c r="H503" s="81"/>
    </row>
    <row r="504" spans="4:8">
      <c r="D504" s="81"/>
      <c r="E504" s="81"/>
      <c r="F504" s="81"/>
      <c r="G504" s="81"/>
      <c r="H504" s="81"/>
    </row>
    <row r="505" spans="4:8">
      <c r="D505" s="81"/>
      <c r="E505" s="81"/>
      <c r="F505" s="81"/>
      <c r="G505" s="81"/>
      <c r="H505" s="81"/>
    </row>
    <row r="506" spans="4:8">
      <c r="D506" s="81"/>
      <c r="E506" s="81"/>
      <c r="F506" s="81"/>
      <c r="G506" s="81"/>
      <c r="H506" s="81"/>
    </row>
    <row r="507" spans="4:8">
      <c r="D507" s="81"/>
      <c r="E507" s="81"/>
      <c r="F507" s="81"/>
      <c r="G507" s="81"/>
      <c r="H507" s="81"/>
    </row>
    <row r="508" spans="4:8">
      <c r="D508" s="81"/>
      <c r="E508" s="81"/>
      <c r="F508" s="81"/>
      <c r="G508" s="81"/>
      <c r="H508" s="81"/>
    </row>
    <row r="509" spans="4:8">
      <c r="D509" s="81"/>
      <c r="E509" s="81"/>
      <c r="F509" s="81"/>
      <c r="G509" s="81"/>
      <c r="H509" s="81"/>
    </row>
    <row r="510" spans="4:8">
      <c r="D510" s="81"/>
      <c r="E510" s="81"/>
      <c r="F510" s="81"/>
      <c r="G510" s="81"/>
      <c r="H510" s="81"/>
    </row>
    <row r="511" spans="4:8">
      <c r="D511" s="81"/>
      <c r="E511" s="81"/>
      <c r="F511" s="81"/>
      <c r="G511" s="81"/>
      <c r="H511" s="81"/>
    </row>
    <row r="512" spans="4:8">
      <c r="D512" s="81"/>
      <c r="E512" s="81"/>
      <c r="F512" s="81"/>
      <c r="G512" s="81"/>
      <c r="H512" s="81"/>
    </row>
    <row r="513" spans="4:8">
      <c r="D513" s="81"/>
      <c r="E513" s="81"/>
      <c r="F513" s="81"/>
      <c r="G513" s="81"/>
      <c r="H513" s="81"/>
    </row>
    <row r="514" spans="4:8">
      <c r="D514" s="81"/>
      <c r="E514" s="81"/>
      <c r="F514" s="81"/>
      <c r="G514" s="81"/>
      <c r="H514" s="81"/>
    </row>
    <row r="515" spans="4:8">
      <c r="D515" s="81"/>
      <c r="E515" s="81"/>
      <c r="F515" s="81"/>
      <c r="G515" s="81"/>
      <c r="H515" s="81"/>
    </row>
    <row r="516" spans="4:8">
      <c r="D516" s="81"/>
      <c r="E516" s="81"/>
      <c r="F516" s="81"/>
      <c r="G516" s="81"/>
      <c r="H516" s="81"/>
    </row>
    <row r="517" spans="4:8">
      <c r="D517" s="81"/>
      <c r="E517" s="81"/>
      <c r="F517" s="81"/>
      <c r="G517" s="81"/>
      <c r="H517" s="81"/>
    </row>
    <row r="518" spans="4:8">
      <c r="D518" s="81"/>
      <c r="E518" s="81"/>
      <c r="F518" s="81"/>
      <c r="G518" s="81"/>
      <c r="H518" s="81"/>
    </row>
    <row r="519" spans="4:8">
      <c r="D519" s="81"/>
      <c r="E519" s="81"/>
      <c r="F519" s="81"/>
      <c r="G519" s="81"/>
      <c r="H519" s="81"/>
    </row>
    <row r="520" spans="4:8">
      <c r="D520" s="81"/>
      <c r="E520" s="81"/>
      <c r="F520" s="81"/>
      <c r="G520" s="81"/>
      <c r="H520" s="81"/>
    </row>
    <row r="521" spans="4:8">
      <c r="D521" s="81"/>
      <c r="E521" s="81"/>
      <c r="F521" s="81"/>
      <c r="G521" s="81"/>
      <c r="H521" s="81"/>
    </row>
    <row r="522" spans="4:8">
      <c r="D522" s="81"/>
      <c r="E522" s="81"/>
      <c r="F522" s="81"/>
      <c r="G522" s="81"/>
      <c r="H522" s="81"/>
    </row>
    <row r="523" spans="4:8">
      <c r="D523" s="81"/>
      <c r="E523" s="81"/>
      <c r="F523" s="81"/>
      <c r="G523" s="81"/>
      <c r="H523" s="81"/>
    </row>
    <row r="524" spans="4:8">
      <c r="D524" s="81"/>
      <c r="E524" s="81"/>
      <c r="F524" s="81"/>
      <c r="G524" s="81"/>
      <c r="H524" s="81"/>
    </row>
    <row r="525" spans="4:8">
      <c r="D525" s="81"/>
      <c r="E525" s="81"/>
      <c r="F525" s="81"/>
      <c r="G525" s="81"/>
      <c r="H525" s="81"/>
    </row>
    <row r="526" spans="4:8">
      <c r="D526" s="81"/>
      <c r="E526" s="81"/>
      <c r="F526" s="81"/>
      <c r="G526" s="81"/>
      <c r="H526" s="81"/>
    </row>
    <row r="527" spans="4:8">
      <c r="D527" s="81"/>
      <c r="E527" s="81"/>
      <c r="F527" s="81"/>
      <c r="G527" s="81"/>
      <c r="H527" s="81"/>
    </row>
    <row r="528" spans="4:8">
      <c r="D528" s="81"/>
      <c r="E528" s="81"/>
      <c r="F528" s="81"/>
      <c r="G528" s="81"/>
      <c r="H528" s="81"/>
    </row>
    <row r="529" spans="4:8">
      <c r="D529" s="81"/>
      <c r="E529" s="81"/>
      <c r="F529" s="81"/>
      <c r="G529" s="81"/>
      <c r="H529" s="81"/>
    </row>
    <row r="530" spans="4:8">
      <c r="D530" s="81"/>
      <c r="E530" s="81"/>
      <c r="F530" s="81"/>
      <c r="G530" s="81"/>
      <c r="H530" s="81"/>
    </row>
    <row r="531" spans="4:8">
      <c r="D531" s="81"/>
      <c r="E531" s="81"/>
      <c r="F531" s="81"/>
      <c r="G531" s="81"/>
      <c r="H531" s="81"/>
    </row>
    <row r="532" spans="4:8">
      <c r="D532" s="81"/>
      <c r="E532" s="81"/>
      <c r="F532" s="81"/>
      <c r="G532" s="81"/>
      <c r="H532" s="81"/>
    </row>
    <row r="533" spans="4:8">
      <c r="D533" s="81"/>
      <c r="E533" s="81"/>
      <c r="F533" s="81"/>
      <c r="G533" s="81"/>
      <c r="H533" s="81"/>
    </row>
    <row r="534" spans="4:8">
      <c r="D534" s="81"/>
      <c r="E534" s="81"/>
      <c r="F534" s="81"/>
      <c r="G534" s="81"/>
      <c r="H534" s="81"/>
    </row>
    <row r="535" spans="4:8">
      <c r="D535" s="81"/>
      <c r="E535" s="81"/>
      <c r="F535" s="81"/>
      <c r="G535" s="81"/>
      <c r="H535" s="81"/>
    </row>
    <row r="536" spans="4:8">
      <c r="D536" s="81"/>
      <c r="E536" s="81"/>
      <c r="F536" s="81"/>
      <c r="G536" s="81"/>
      <c r="H536" s="81"/>
    </row>
    <row r="537" spans="4:8">
      <c r="D537" s="81"/>
      <c r="E537" s="81"/>
      <c r="F537" s="81"/>
      <c r="G537" s="81"/>
      <c r="H537" s="81"/>
    </row>
    <row r="538" spans="4:8">
      <c r="D538" s="81"/>
      <c r="E538" s="81"/>
      <c r="F538" s="81"/>
      <c r="G538" s="81"/>
      <c r="H538" s="81"/>
    </row>
    <row r="539" spans="4:8">
      <c r="D539" s="81"/>
      <c r="E539" s="81"/>
      <c r="F539" s="81"/>
      <c r="G539" s="81"/>
      <c r="H539" s="81"/>
    </row>
    <row r="540" spans="4:8">
      <c r="D540" s="81"/>
      <c r="E540" s="81"/>
      <c r="F540" s="81"/>
      <c r="G540" s="81"/>
      <c r="H540" s="81"/>
    </row>
    <row r="541" spans="4:8">
      <c r="D541" s="81"/>
      <c r="E541" s="81"/>
      <c r="F541" s="81"/>
      <c r="G541" s="81"/>
      <c r="H541" s="81"/>
    </row>
    <row r="542" spans="4:8">
      <c r="D542" s="81"/>
      <c r="E542" s="81"/>
      <c r="F542" s="81"/>
      <c r="G542" s="81"/>
      <c r="H542" s="81"/>
    </row>
    <row r="543" spans="4:8">
      <c r="D543" s="81"/>
      <c r="E543" s="81"/>
      <c r="F543" s="81"/>
      <c r="G543" s="81"/>
      <c r="H543" s="81"/>
    </row>
    <row r="544" spans="4:8">
      <c r="D544" s="81"/>
      <c r="E544" s="81"/>
      <c r="F544" s="81"/>
      <c r="G544" s="81"/>
      <c r="H544" s="81"/>
    </row>
    <row r="545" spans="4:8">
      <c r="D545" s="81"/>
      <c r="E545" s="81"/>
      <c r="F545" s="81"/>
      <c r="G545" s="81"/>
      <c r="H545" s="81"/>
    </row>
    <row r="546" spans="4:8">
      <c r="D546" s="81"/>
      <c r="E546" s="81"/>
      <c r="F546" s="81"/>
      <c r="G546" s="81"/>
      <c r="H546" s="81"/>
    </row>
    <row r="547" spans="4:8">
      <c r="D547" s="81"/>
      <c r="E547" s="81"/>
      <c r="F547" s="81"/>
      <c r="G547" s="81"/>
      <c r="H547" s="81"/>
    </row>
    <row r="548" spans="4:8">
      <c r="D548" s="81"/>
      <c r="E548" s="81"/>
      <c r="F548" s="81"/>
      <c r="G548" s="81"/>
      <c r="H548" s="81"/>
    </row>
    <row r="549" spans="4:8">
      <c r="D549" s="81"/>
      <c r="E549" s="81"/>
      <c r="F549" s="81"/>
      <c r="G549" s="81"/>
      <c r="H549" s="81"/>
    </row>
    <row r="550" spans="4:8">
      <c r="D550" s="81"/>
      <c r="E550" s="81"/>
      <c r="F550" s="81"/>
      <c r="G550" s="81"/>
      <c r="H550" s="81"/>
    </row>
    <row r="551" spans="4:8">
      <c r="D551" s="81"/>
      <c r="E551" s="81"/>
      <c r="F551" s="81"/>
      <c r="G551" s="81"/>
      <c r="H551" s="81"/>
    </row>
    <row r="552" spans="4:8">
      <c r="D552" s="81"/>
      <c r="E552" s="81"/>
      <c r="F552" s="81"/>
      <c r="G552" s="81"/>
      <c r="H552" s="81"/>
    </row>
    <row r="553" spans="4:8">
      <c r="D553" s="81"/>
      <c r="E553" s="81"/>
      <c r="F553" s="81"/>
      <c r="G553" s="81"/>
      <c r="H553" s="81"/>
    </row>
    <row r="554" spans="4:8">
      <c r="D554" s="81"/>
      <c r="E554" s="81"/>
      <c r="F554" s="81"/>
      <c r="G554" s="81"/>
      <c r="H554" s="81"/>
    </row>
    <row r="555" spans="4:8">
      <c r="D555" s="81"/>
      <c r="E555" s="81"/>
      <c r="F555" s="81"/>
      <c r="G555" s="81"/>
      <c r="H555" s="81"/>
    </row>
    <row r="556" spans="4:8">
      <c r="D556" s="81"/>
      <c r="E556" s="81"/>
      <c r="F556" s="81"/>
      <c r="G556" s="81"/>
      <c r="H556" s="81"/>
    </row>
    <row r="557" spans="4:8">
      <c r="D557" s="81"/>
      <c r="E557" s="81"/>
      <c r="F557" s="81"/>
      <c r="G557" s="81"/>
      <c r="H557" s="81"/>
    </row>
    <row r="558" spans="4:8">
      <c r="D558" s="81"/>
      <c r="E558" s="81"/>
      <c r="F558" s="81"/>
      <c r="G558" s="81"/>
      <c r="H558" s="81"/>
    </row>
    <row r="559" spans="4:8">
      <c r="D559" s="81"/>
      <c r="E559" s="81"/>
      <c r="F559" s="81"/>
      <c r="G559" s="81"/>
      <c r="H559" s="81"/>
    </row>
    <row r="560" spans="4:8">
      <c r="D560" s="81"/>
      <c r="E560" s="81"/>
      <c r="F560" s="81"/>
      <c r="G560" s="81"/>
      <c r="H560" s="81"/>
    </row>
    <row r="561" spans="4:8">
      <c r="D561" s="81"/>
      <c r="E561" s="81"/>
      <c r="F561" s="81"/>
      <c r="G561" s="81"/>
      <c r="H561" s="81"/>
    </row>
    <row r="562" spans="4:8">
      <c r="D562" s="81"/>
      <c r="E562" s="81"/>
      <c r="F562" s="81"/>
      <c r="G562" s="81"/>
      <c r="H562" s="81"/>
    </row>
    <row r="563" spans="4:8">
      <c r="D563" s="81"/>
      <c r="E563" s="81"/>
      <c r="F563" s="81"/>
      <c r="G563" s="81"/>
      <c r="H563" s="81"/>
    </row>
    <row r="564" spans="4:8">
      <c r="D564" s="81"/>
      <c r="E564" s="81"/>
      <c r="F564" s="81"/>
      <c r="G564" s="81"/>
      <c r="H564" s="81"/>
    </row>
    <row r="565" spans="4:8">
      <c r="D565" s="81"/>
      <c r="E565" s="81"/>
      <c r="F565" s="81"/>
      <c r="G565" s="81"/>
      <c r="H565" s="81"/>
    </row>
    <row r="566" spans="4:8">
      <c r="D566" s="81"/>
      <c r="E566" s="81"/>
      <c r="F566" s="81"/>
      <c r="G566" s="81"/>
      <c r="H566" s="81"/>
    </row>
    <row r="567" spans="4:8">
      <c r="D567" s="81"/>
      <c r="E567" s="81"/>
      <c r="F567" s="81"/>
      <c r="G567" s="81"/>
      <c r="H567" s="81"/>
    </row>
    <row r="568" spans="4:8">
      <c r="D568" s="81"/>
      <c r="E568" s="81"/>
      <c r="F568" s="81"/>
      <c r="G568" s="81"/>
      <c r="H568" s="81"/>
    </row>
    <row r="569" spans="4:8">
      <c r="D569" s="81"/>
      <c r="E569" s="81"/>
      <c r="F569" s="81"/>
      <c r="G569" s="81"/>
      <c r="H569" s="81"/>
    </row>
    <row r="570" spans="4:8">
      <c r="D570" s="81"/>
      <c r="E570" s="81"/>
      <c r="F570" s="81"/>
      <c r="G570" s="81"/>
      <c r="H570" s="81"/>
    </row>
    <row r="571" spans="4:8">
      <c r="D571" s="81"/>
      <c r="E571" s="81"/>
      <c r="F571" s="81"/>
      <c r="G571" s="81"/>
      <c r="H571" s="81"/>
    </row>
    <row r="572" spans="4:8">
      <c r="D572" s="81"/>
      <c r="E572" s="81"/>
      <c r="F572" s="81"/>
      <c r="G572" s="81"/>
      <c r="H572" s="81"/>
    </row>
    <row r="573" spans="4:8">
      <c r="D573" s="81"/>
      <c r="E573" s="81"/>
      <c r="F573" s="81"/>
      <c r="G573" s="81"/>
      <c r="H573" s="81"/>
    </row>
    <row r="574" spans="4:8">
      <c r="D574" s="81"/>
      <c r="E574" s="81"/>
      <c r="F574" s="81"/>
      <c r="G574" s="81"/>
      <c r="H574" s="81"/>
    </row>
    <row r="575" spans="4:8">
      <c r="D575" s="81"/>
      <c r="E575" s="81"/>
      <c r="F575" s="81"/>
      <c r="G575" s="81"/>
      <c r="H575" s="81"/>
    </row>
    <row r="576" spans="4:8">
      <c r="D576" s="81"/>
      <c r="E576" s="81"/>
      <c r="F576" s="81"/>
      <c r="G576" s="81"/>
      <c r="H576" s="81"/>
    </row>
    <row r="577" spans="4:8">
      <c r="D577" s="81"/>
      <c r="E577" s="81"/>
      <c r="F577" s="81"/>
      <c r="G577" s="81"/>
      <c r="H577" s="81"/>
    </row>
    <row r="578" spans="4:8">
      <c r="D578" s="81"/>
      <c r="E578" s="81"/>
      <c r="F578" s="81"/>
      <c r="G578" s="81"/>
      <c r="H578" s="81"/>
    </row>
    <row r="579" spans="4:8">
      <c r="D579" s="81"/>
      <c r="E579" s="81"/>
      <c r="F579" s="81"/>
      <c r="G579" s="81"/>
      <c r="H579" s="81"/>
    </row>
    <row r="580" spans="4:8">
      <c r="D580" s="81"/>
      <c r="E580" s="81"/>
      <c r="F580" s="81"/>
      <c r="G580" s="81"/>
      <c r="H580" s="81"/>
    </row>
    <row r="581" spans="4:8">
      <c r="D581" s="81"/>
      <c r="E581" s="81"/>
      <c r="F581" s="81"/>
      <c r="G581" s="81"/>
      <c r="H581" s="81"/>
    </row>
    <row r="582" spans="4:8">
      <c r="D582" s="81"/>
      <c r="E582" s="81"/>
      <c r="F582" s="81"/>
      <c r="G582" s="81"/>
      <c r="H582" s="81"/>
    </row>
    <row r="583" spans="4:8">
      <c r="D583" s="81"/>
      <c r="E583" s="81"/>
      <c r="F583" s="81"/>
      <c r="G583" s="81"/>
      <c r="H583" s="81"/>
    </row>
    <row r="584" spans="4:8">
      <c r="D584" s="81"/>
      <c r="E584" s="81"/>
      <c r="F584" s="81"/>
      <c r="G584" s="81"/>
      <c r="H584" s="81"/>
    </row>
    <row r="585" spans="4:8">
      <c r="D585" s="81"/>
      <c r="E585" s="81"/>
      <c r="F585" s="81"/>
      <c r="G585" s="81"/>
      <c r="H585" s="81"/>
    </row>
    <row r="586" spans="4:8">
      <c r="D586" s="81"/>
      <c r="E586" s="81"/>
      <c r="F586" s="81"/>
      <c r="G586" s="81"/>
      <c r="H586" s="81"/>
    </row>
    <row r="587" spans="4:8">
      <c r="D587" s="81"/>
      <c r="E587" s="81"/>
      <c r="F587" s="81"/>
      <c r="G587" s="81"/>
      <c r="H587" s="81"/>
    </row>
    <row r="588" spans="4:8">
      <c r="D588" s="81"/>
      <c r="E588" s="81"/>
      <c r="F588" s="81"/>
      <c r="G588" s="81"/>
      <c r="H588" s="81"/>
    </row>
    <row r="589" spans="4:8">
      <c r="D589" s="81"/>
      <c r="E589" s="81"/>
      <c r="F589" s="81"/>
      <c r="G589" s="81"/>
      <c r="H589" s="81"/>
    </row>
    <row r="590" spans="4:8">
      <c r="D590" s="81"/>
      <c r="E590" s="81"/>
      <c r="F590" s="81"/>
      <c r="G590" s="81"/>
      <c r="H590" s="81"/>
    </row>
    <row r="591" spans="4:8">
      <c r="D591" s="81"/>
      <c r="E591" s="81"/>
      <c r="F591" s="81"/>
      <c r="G591" s="81"/>
      <c r="H591" s="81"/>
    </row>
    <row r="592" spans="4:8">
      <c r="D592" s="81"/>
      <c r="E592" s="81"/>
      <c r="F592" s="81"/>
      <c r="G592" s="81"/>
      <c r="H592" s="81"/>
    </row>
    <row r="593" spans="4:8">
      <c r="D593" s="81"/>
      <c r="E593" s="81"/>
      <c r="F593" s="81"/>
      <c r="G593" s="81"/>
      <c r="H593" s="81"/>
    </row>
    <row r="594" spans="4:8">
      <c r="D594" s="81"/>
      <c r="E594" s="81"/>
      <c r="F594" s="81"/>
      <c r="G594" s="81"/>
      <c r="H594" s="81"/>
    </row>
    <row r="595" spans="4:8">
      <c r="D595" s="81"/>
      <c r="E595" s="81"/>
      <c r="F595" s="81"/>
      <c r="G595" s="81"/>
      <c r="H595" s="81"/>
    </row>
    <row r="596" spans="4:8">
      <c r="D596" s="81"/>
      <c r="E596" s="81"/>
      <c r="F596" s="81"/>
      <c r="G596" s="81"/>
      <c r="H596" s="81"/>
    </row>
    <row r="597" spans="4:8">
      <c r="D597" s="81"/>
      <c r="E597" s="81"/>
      <c r="F597" s="81"/>
      <c r="G597" s="81"/>
      <c r="H597" s="81"/>
    </row>
    <row r="598" spans="4:8">
      <c r="D598" s="81"/>
      <c r="E598" s="81"/>
      <c r="F598" s="81"/>
      <c r="G598" s="81"/>
      <c r="H598" s="81"/>
    </row>
    <row r="599" spans="4:8">
      <c r="D599" s="81"/>
      <c r="E599" s="81"/>
      <c r="F599" s="81"/>
      <c r="G599" s="81"/>
      <c r="H599" s="81"/>
    </row>
    <row r="600" spans="4:8">
      <c r="D600" s="81"/>
      <c r="E600" s="81"/>
      <c r="F600" s="81"/>
      <c r="G600" s="81"/>
      <c r="H600" s="81"/>
    </row>
    <row r="601" spans="4:8">
      <c r="D601" s="81"/>
      <c r="E601" s="81"/>
      <c r="F601" s="81"/>
      <c r="G601" s="81"/>
      <c r="H601" s="81"/>
    </row>
    <row r="602" spans="4:8">
      <c r="D602" s="81"/>
      <c r="E602" s="81"/>
      <c r="F602" s="81"/>
      <c r="G602" s="81"/>
      <c r="H602" s="81"/>
    </row>
    <row r="603" spans="4:8">
      <c r="D603" s="81"/>
      <c r="E603" s="81"/>
      <c r="F603" s="81"/>
      <c r="G603" s="81"/>
      <c r="H603" s="81"/>
    </row>
    <row r="604" spans="4:8">
      <c r="D604" s="81"/>
      <c r="E604" s="81"/>
      <c r="F604" s="81"/>
      <c r="G604" s="81"/>
      <c r="H604" s="81"/>
    </row>
    <row r="605" spans="4:8">
      <c r="D605" s="81"/>
      <c r="E605" s="81"/>
      <c r="F605" s="81"/>
      <c r="G605" s="81"/>
      <c r="H605" s="81"/>
    </row>
    <row r="606" spans="4:8">
      <c r="D606" s="81"/>
      <c r="E606" s="81"/>
      <c r="F606" s="81"/>
      <c r="G606" s="81"/>
      <c r="H606" s="81"/>
    </row>
    <row r="607" spans="4:8">
      <c r="D607" s="81"/>
      <c r="E607" s="81"/>
      <c r="F607" s="81"/>
      <c r="G607" s="81"/>
      <c r="H607" s="81"/>
    </row>
    <row r="608" spans="4:8">
      <c r="D608" s="81"/>
      <c r="E608" s="81"/>
      <c r="F608" s="81"/>
      <c r="G608" s="81"/>
      <c r="H608" s="81"/>
    </row>
    <row r="609" spans="4:8">
      <c r="D609" s="81"/>
      <c r="E609" s="81"/>
      <c r="F609" s="81"/>
      <c r="G609" s="81"/>
      <c r="H609" s="81"/>
    </row>
    <row r="610" spans="4:8">
      <c r="D610" s="81"/>
      <c r="E610" s="81"/>
      <c r="F610" s="81"/>
      <c r="G610" s="81"/>
      <c r="H610" s="81"/>
    </row>
    <row r="611" spans="4:8">
      <c r="D611" s="81"/>
      <c r="E611" s="81"/>
      <c r="F611" s="81"/>
      <c r="G611" s="81"/>
      <c r="H611" s="81"/>
    </row>
    <row r="612" spans="4:8">
      <c r="D612" s="81"/>
      <c r="E612" s="81"/>
      <c r="F612" s="81"/>
      <c r="G612" s="81"/>
      <c r="H612" s="81"/>
    </row>
    <row r="613" spans="4:8">
      <c r="D613" s="81"/>
      <c r="E613" s="81"/>
      <c r="F613" s="81"/>
      <c r="G613" s="81"/>
      <c r="H613" s="81"/>
    </row>
    <row r="614" spans="4:8">
      <c r="D614" s="81"/>
      <c r="E614" s="81"/>
      <c r="F614" s="81"/>
      <c r="G614" s="81"/>
      <c r="H614" s="81"/>
    </row>
    <row r="615" spans="4:8">
      <c r="D615" s="81"/>
      <c r="E615" s="81"/>
      <c r="F615" s="81"/>
      <c r="G615" s="81"/>
      <c r="H615" s="81"/>
    </row>
    <row r="616" spans="4:8">
      <c r="D616" s="81"/>
      <c r="E616" s="81"/>
      <c r="F616" s="81"/>
      <c r="G616" s="81"/>
      <c r="H616" s="81"/>
    </row>
    <row r="617" spans="4:8">
      <c r="D617" s="81"/>
      <c r="E617" s="81"/>
      <c r="F617" s="81"/>
      <c r="G617" s="81"/>
      <c r="H617" s="81"/>
    </row>
    <row r="618" spans="4:8">
      <c r="D618" s="81"/>
      <c r="E618" s="81"/>
      <c r="F618" s="81"/>
      <c r="G618" s="81"/>
      <c r="H618" s="81"/>
    </row>
    <row r="619" spans="4:8">
      <c r="D619" s="81"/>
      <c r="E619" s="81"/>
      <c r="F619" s="81"/>
      <c r="G619" s="81"/>
      <c r="H619" s="81"/>
    </row>
    <row r="620" spans="4:8">
      <c r="D620" s="81"/>
      <c r="E620" s="81"/>
      <c r="F620" s="81"/>
      <c r="G620" s="81"/>
      <c r="H620" s="81"/>
    </row>
    <row r="621" spans="4:8">
      <c r="D621" s="81"/>
      <c r="E621" s="81"/>
      <c r="F621" s="81"/>
      <c r="G621" s="81"/>
      <c r="H621" s="81"/>
    </row>
    <row r="622" spans="4:8">
      <c r="D622" s="81"/>
      <c r="E622" s="81"/>
      <c r="F622" s="81"/>
      <c r="G622" s="81"/>
      <c r="H622" s="81"/>
    </row>
    <row r="623" spans="4:8">
      <c r="D623" s="81"/>
      <c r="E623" s="81"/>
      <c r="F623" s="81"/>
      <c r="G623" s="81"/>
      <c r="H623" s="81"/>
    </row>
    <row r="624" spans="4:8">
      <c r="D624" s="81"/>
      <c r="E624" s="81"/>
      <c r="F624" s="81"/>
      <c r="G624" s="81"/>
      <c r="H624" s="81"/>
    </row>
    <row r="625" spans="4:8">
      <c r="D625" s="81"/>
      <c r="E625" s="81"/>
      <c r="F625" s="81"/>
      <c r="G625" s="81"/>
      <c r="H625" s="81"/>
    </row>
    <row r="626" spans="4:8">
      <c r="D626" s="81"/>
      <c r="E626" s="81"/>
      <c r="F626" s="81"/>
      <c r="G626" s="81"/>
      <c r="H626" s="81"/>
    </row>
    <row r="627" spans="4:8">
      <c r="D627" s="81"/>
      <c r="E627" s="81"/>
      <c r="F627" s="81"/>
      <c r="G627" s="81"/>
      <c r="H627" s="81"/>
    </row>
    <row r="628" spans="4:8">
      <c r="D628" s="81"/>
      <c r="E628" s="81"/>
      <c r="F628" s="81"/>
      <c r="G628" s="81"/>
      <c r="H628" s="81"/>
    </row>
    <row r="629" spans="4:8">
      <c r="D629" s="81"/>
      <c r="E629" s="81"/>
      <c r="F629" s="81"/>
      <c r="G629" s="81"/>
      <c r="H629" s="81"/>
    </row>
    <row r="630" spans="4:8">
      <c r="D630" s="81"/>
      <c r="E630" s="81"/>
      <c r="F630" s="81"/>
      <c r="G630" s="81"/>
      <c r="H630" s="81"/>
    </row>
    <row r="631" spans="4:8">
      <c r="D631" s="81"/>
      <c r="E631" s="81"/>
      <c r="F631" s="81"/>
      <c r="G631" s="81"/>
      <c r="H631" s="81"/>
    </row>
    <row r="632" spans="4:8">
      <c r="D632" s="81"/>
      <c r="E632" s="81"/>
      <c r="F632" s="81"/>
      <c r="G632" s="81"/>
      <c r="H632" s="81"/>
    </row>
    <row r="633" spans="4:8">
      <c r="D633" s="81"/>
      <c r="E633" s="81"/>
      <c r="F633" s="81"/>
      <c r="G633" s="81"/>
      <c r="H633" s="81"/>
    </row>
    <row r="634" spans="4:8">
      <c r="D634" s="81"/>
      <c r="E634" s="81"/>
      <c r="F634" s="81"/>
      <c r="G634" s="81"/>
      <c r="H634" s="81"/>
    </row>
    <row r="635" spans="4:8">
      <c r="D635" s="81"/>
      <c r="E635" s="81"/>
      <c r="F635" s="81"/>
      <c r="G635" s="81"/>
      <c r="H635" s="81"/>
    </row>
    <row r="636" spans="4:8">
      <c r="D636" s="81"/>
      <c r="E636" s="81"/>
      <c r="F636" s="81"/>
      <c r="G636" s="81"/>
      <c r="H636" s="81"/>
    </row>
    <row r="637" spans="4:8">
      <c r="D637" s="81"/>
      <c r="E637" s="81"/>
      <c r="F637" s="81"/>
      <c r="G637" s="81"/>
      <c r="H637" s="81"/>
    </row>
    <row r="638" spans="4:8">
      <c r="D638" s="81"/>
      <c r="E638" s="81"/>
      <c r="F638" s="81"/>
      <c r="G638" s="81"/>
      <c r="H638" s="81"/>
    </row>
    <row r="639" spans="4:8">
      <c r="D639" s="81"/>
      <c r="E639" s="81"/>
      <c r="F639" s="81"/>
      <c r="G639" s="81"/>
      <c r="H639" s="81"/>
    </row>
    <row r="640" spans="4:8">
      <c r="D640" s="81"/>
      <c r="E640" s="81"/>
      <c r="F640" s="81"/>
      <c r="G640" s="81"/>
      <c r="H640" s="81"/>
    </row>
    <row r="641" spans="4:8">
      <c r="D641" s="81"/>
      <c r="E641" s="81"/>
      <c r="F641" s="81"/>
      <c r="G641" s="81"/>
      <c r="H641" s="81"/>
    </row>
    <row r="642" spans="4:8">
      <c r="D642" s="81"/>
      <c r="E642" s="81"/>
      <c r="F642" s="81"/>
      <c r="G642" s="81"/>
      <c r="H642" s="81"/>
    </row>
    <row r="643" spans="4:8">
      <c r="D643" s="81"/>
      <c r="E643" s="81"/>
      <c r="F643" s="81"/>
      <c r="G643" s="81"/>
      <c r="H643" s="81"/>
    </row>
    <row r="644" spans="4:8">
      <c r="D644" s="81"/>
      <c r="E644" s="81"/>
      <c r="F644" s="81"/>
      <c r="G644" s="81"/>
      <c r="H644" s="81"/>
    </row>
    <row r="645" spans="4:8">
      <c r="D645" s="81"/>
      <c r="E645" s="81"/>
      <c r="F645" s="81"/>
      <c r="G645" s="81"/>
      <c r="H645" s="81"/>
    </row>
    <row r="646" spans="4:8">
      <c r="D646" s="81"/>
      <c r="E646" s="81"/>
      <c r="F646" s="81"/>
      <c r="G646" s="81"/>
      <c r="H646" s="81"/>
    </row>
    <row r="647" spans="4:8">
      <c r="D647" s="81"/>
      <c r="E647" s="81"/>
      <c r="F647" s="81"/>
      <c r="G647" s="81"/>
      <c r="H647" s="81"/>
    </row>
    <row r="648" spans="4:8">
      <c r="D648" s="81"/>
      <c r="E648" s="81"/>
      <c r="F648" s="81"/>
      <c r="G648" s="81"/>
      <c r="H648" s="81"/>
    </row>
    <row r="649" spans="4:8">
      <c r="D649" s="81"/>
      <c r="E649" s="81"/>
      <c r="F649" s="81"/>
      <c r="G649" s="81"/>
      <c r="H649" s="81"/>
    </row>
    <row r="650" spans="4:8">
      <c r="D650" s="81"/>
      <c r="E650" s="81"/>
      <c r="F650" s="81"/>
      <c r="G650" s="81"/>
      <c r="H650" s="81"/>
    </row>
    <row r="651" spans="4:8">
      <c r="D651" s="81"/>
      <c r="E651" s="81"/>
      <c r="F651" s="81"/>
      <c r="G651" s="81"/>
      <c r="H651" s="81"/>
    </row>
    <row r="652" spans="4:8">
      <c r="D652" s="81"/>
      <c r="E652" s="81"/>
      <c r="F652" s="81"/>
      <c r="G652" s="81"/>
      <c r="H652" s="81"/>
    </row>
    <row r="653" spans="4:8">
      <c r="D653" s="81"/>
      <c r="E653" s="81"/>
      <c r="F653" s="81"/>
      <c r="G653" s="81"/>
      <c r="H653" s="81"/>
    </row>
    <row r="654" spans="4:8">
      <c r="D654" s="81"/>
      <c r="E654" s="81"/>
      <c r="F654" s="81"/>
      <c r="G654" s="81"/>
      <c r="H654" s="81"/>
    </row>
    <row r="655" spans="4:8">
      <c r="D655" s="81"/>
      <c r="E655" s="81"/>
      <c r="F655" s="81"/>
      <c r="G655" s="81"/>
      <c r="H655" s="81"/>
    </row>
    <row r="656" spans="4:8">
      <c r="D656" s="81"/>
      <c r="E656" s="81"/>
      <c r="F656" s="81"/>
      <c r="G656" s="81"/>
      <c r="H656" s="81"/>
    </row>
    <row r="657" spans="4:8">
      <c r="D657" s="81"/>
      <c r="E657" s="81"/>
      <c r="F657" s="81"/>
      <c r="G657" s="81"/>
      <c r="H657" s="81"/>
    </row>
    <row r="658" spans="4:8">
      <c r="D658" s="81"/>
      <c r="E658" s="81"/>
      <c r="F658" s="81"/>
      <c r="G658" s="81"/>
      <c r="H658" s="81"/>
    </row>
    <row r="659" spans="4:8">
      <c r="D659" s="81"/>
      <c r="E659" s="81"/>
      <c r="F659" s="81"/>
      <c r="G659" s="81"/>
      <c r="H659" s="81"/>
    </row>
    <row r="660" spans="4:8">
      <c r="D660" s="81"/>
      <c r="E660" s="81"/>
      <c r="F660" s="81"/>
      <c r="G660" s="81"/>
      <c r="H660" s="81"/>
    </row>
    <row r="661" spans="4:8">
      <c r="D661" s="81"/>
      <c r="E661" s="81"/>
      <c r="F661" s="81"/>
      <c r="G661" s="81"/>
      <c r="H661" s="81"/>
    </row>
    <row r="662" spans="4:8">
      <c r="D662" s="81"/>
      <c r="E662" s="81"/>
      <c r="F662" s="81"/>
      <c r="G662" s="81"/>
      <c r="H662" s="81"/>
    </row>
    <row r="663" spans="4:8">
      <c r="D663" s="81"/>
      <c r="E663" s="81"/>
      <c r="F663" s="81"/>
      <c r="G663" s="81"/>
      <c r="H663" s="81"/>
    </row>
    <row r="664" spans="4:8">
      <c r="D664" s="81"/>
      <c r="E664" s="81"/>
      <c r="F664" s="81"/>
      <c r="G664" s="81"/>
      <c r="H664" s="81"/>
    </row>
    <row r="665" spans="4:8">
      <c r="D665" s="81"/>
      <c r="E665" s="81"/>
      <c r="F665" s="81"/>
      <c r="G665" s="81"/>
      <c r="H665" s="81"/>
    </row>
    <row r="666" spans="4:8">
      <c r="D666" s="81"/>
      <c r="E666" s="81"/>
      <c r="F666" s="81"/>
      <c r="G666" s="81"/>
      <c r="H666" s="81"/>
    </row>
    <row r="667" spans="4:8">
      <c r="D667" s="81"/>
      <c r="E667" s="81"/>
      <c r="F667" s="81"/>
      <c r="G667" s="81"/>
      <c r="H667" s="81"/>
    </row>
    <row r="668" spans="4:8">
      <c r="D668" s="81"/>
      <c r="E668" s="81"/>
      <c r="F668" s="81"/>
      <c r="G668" s="81"/>
      <c r="H668" s="81"/>
    </row>
    <row r="669" spans="4:8">
      <c r="D669" s="81"/>
      <c r="E669" s="81"/>
      <c r="F669" s="81"/>
      <c r="G669" s="81"/>
      <c r="H669" s="81"/>
    </row>
    <row r="670" spans="4:8">
      <c r="D670" s="81"/>
      <c r="E670" s="81"/>
      <c r="F670" s="81"/>
      <c r="G670" s="81"/>
      <c r="H670" s="81"/>
    </row>
    <row r="671" spans="4:8">
      <c r="D671" s="81"/>
      <c r="E671" s="81"/>
      <c r="F671" s="81"/>
      <c r="G671" s="81"/>
      <c r="H671" s="81"/>
    </row>
    <row r="672" spans="4:8">
      <c r="D672" s="81"/>
      <c r="E672" s="81"/>
      <c r="F672" s="81"/>
      <c r="G672" s="81"/>
      <c r="H672" s="81"/>
    </row>
    <row r="673" spans="4:8">
      <c r="D673" s="81"/>
      <c r="E673" s="81"/>
      <c r="F673" s="81"/>
      <c r="G673" s="81"/>
      <c r="H673" s="81"/>
    </row>
    <row r="674" spans="4:8">
      <c r="D674" s="81"/>
      <c r="E674" s="81"/>
      <c r="F674" s="81"/>
      <c r="G674" s="81"/>
      <c r="H674" s="81"/>
    </row>
    <row r="675" spans="4:8">
      <c r="D675" s="81"/>
      <c r="E675" s="81"/>
      <c r="F675" s="81"/>
      <c r="G675" s="81"/>
      <c r="H675" s="81"/>
    </row>
    <row r="676" spans="4:8">
      <c r="D676" s="81"/>
      <c r="E676" s="81"/>
      <c r="F676" s="81"/>
      <c r="G676" s="81"/>
      <c r="H676" s="81"/>
    </row>
    <row r="677" spans="4:8">
      <c r="D677" s="81"/>
      <c r="E677" s="81"/>
      <c r="F677" s="81"/>
      <c r="G677" s="81"/>
      <c r="H677" s="81"/>
    </row>
    <row r="678" spans="4:8">
      <c r="D678" s="81"/>
      <c r="E678" s="81"/>
      <c r="F678" s="81"/>
      <c r="G678" s="81"/>
      <c r="H678" s="81"/>
    </row>
    <row r="679" spans="4:8">
      <c r="D679" s="81"/>
      <c r="E679" s="81"/>
      <c r="F679" s="81"/>
      <c r="G679" s="81"/>
      <c r="H679" s="81"/>
    </row>
    <row r="680" spans="4:8">
      <c r="D680" s="81"/>
      <c r="E680" s="81"/>
      <c r="F680" s="81"/>
      <c r="G680" s="81"/>
      <c r="H680" s="81"/>
    </row>
    <row r="681" spans="4:8">
      <c r="D681" s="81"/>
      <c r="E681" s="81"/>
      <c r="F681" s="81"/>
      <c r="G681" s="81"/>
      <c r="H681" s="81"/>
    </row>
    <row r="682" spans="4:8">
      <c r="D682" s="81"/>
      <c r="E682" s="81"/>
      <c r="F682" s="81"/>
      <c r="G682" s="81"/>
      <c r="H682" s="81"/>
    </row>
    <row r="683" spans="4:8">
      <c r="D683" s="81"/>
      <c r="E683" s="81"/>
      <c r="F683" s="81"/>
      <c r="G683" s="81"/>
      <c r="H683" s="81"/>
    </row>
    <row r="684" spans="4:8">
      <c r="D684" s="81"/>
      <c r="E684" s="81"/>
      <c r="F684" s="81"/>
      <c r="G684" s="81"/>
      <c r="H684" s="81"/>
    </row>
    <row r="685" spans="4:8">
      <c r="D685" s="81"/>
      <c r="E685" s="81"/>
      <c r="F685" s="81"/>
      <c r="G685" s="81"/>
      <c r="H685" s="81"/>
    </row>
    <row r="686" spans="4:8">
      <c r="D686" s="81"/>
      <c r="E686" s="81"/>
      <c r="F686" s="81"/>
      <c r="G686" s="81"/>
      <c r="H686" s="81"/>
    </row>
    <row r="687" spans="4:8">
      <c r="D687" s="81"/>
      <c r="E687" s="81"/>
      <c r="F687" s="81"/>
      <c r="G687" s="81"/>
      <c r="H687" s="81"/>
    </row>
    <row r="688" spans="4:8">
      <c r="D688" s="81"/>
      <c r="E688" s="81"/>
      <c r="F688" s="81"/>
      <c r="G688" s="81"/>
      <c r="H688" s="81"/>
    </row>
    <row r="689" spans="4:8">
      <c r="D689" s="81"/>
      <c r="E689" s="81"/>
      <c r="F689" s="81"/>
      <c r="G689" s="81"/>
      <c r="H689" s="81"/>
    </row>
    <row r="690" spans="4:8">
      <c r="D690" s="81"/>
      <c r="E690" s="81"/>
      <c r="F690" s="81"/>
      <c r="G690" s="81"/>
      <c r="H690" s="81"/>
    </row>
    <row r="691" spans="4:8">
      <c r="D691" s="81"/>
      <c r="E691" s="81"/>
      <c r="F691" s="81"/>
      <c r="G691" s="81"/>
      <c r="H691" s="81"/>
    </row>
    <row r="692" spans="4:8">
      <c r="D692" s="81"/>
      <c r="E692" s="81"/>
      <c r="F692" s="81"/>
      <c r="G692" s="81"/>
      <c r="H692" s="81"/>
    </row>
    <row r="693" spans="4:8">
      <c r="D693" s="81"/>
      <c r="E693" s="81"/>
      <c r="F693" s="81"/>
      <c r="G693" s="81"/>
      <c r="H693" s="81"/>
    </row>
    <row r="694" spans="4:8">
      <c r="D694" s="81"/>
      <c r="E694" s="81"/>
      <c r="F694" s="81"/>
      <c r="G694" s="81"/>
      <c r="H694" s="81"/>
    </row>
    <row r="695" spans="4:8">
      <c r="D695" s="81"/>
      <c r="E695" s="81"/>
      <c r="F695" s="81"/>
      <c r="G695" s="81"/>
      <c r="H695" s="81"/>
    </row>
    <row r="696" spans="4:8">
      <c r="D696" s="81"/>
      <c r="E696" s="81"/>
      <c r="F696" s="81"/>
      <c r="G696" s="81"/>
      <c r="H696" s="81"/>
    </row>
    <row r="697" spans="4:8">
      <c r="D697" s="81"/>
      <c r="E697" s="81"/>
      <c r="F697" s="81"/>
      <c r="G697" s="81"/>
      <c r="H697" s="81"/>
    </row>
    <row r="698" spans="4:8">
      <c r="D698" s="81"/>
      <c r="E698" s="81"/>
      <c r="F698" s="81"/>
      <c r="G698" s="81"/>
      <c r="H698" s="81"/>
    </row>
    <row r="699" spans="4:8">
      <c r="D699" s="81"/>
      <c r="E699" s="81"/>
      <c r="F699" s="81"/>
      <c r="G699" s="81"/>
      <c r="H699" s="81"/>
    </row>
    <row r="700" spans="4:8">
      <c r="D700" s="81"/>
      <c r="E700" s="81"/>
      <c r="F700" s="81"/>
      <c r="G700" s="81"/>
      <c r="H700" s="81"/>
    </row>
    <row r="701" spans="4:8">
      <c r="D701" s="81"/>
      <c r="E701" s="81"/>
      <c r="F701" s="81"/>
      <c r="G701" s="81"/>
      <c r="H701" s="81"/>
    </row>
    <row r="702" spans="4:8">
      <c r="D702" s="81"/>
      <c r="E702" s="81"/>
      <c r="F702" s="81"/>
      <c r="G702" s="81"/>
      <c r="H702" s="81"/>
    </row>
    <row r="703" spans="4:8">
      <c r="D703" s="81"/>
      <c r="E703" s="81"/>
      <c r="F703" s="81"/>
      <c r="G703" s="81"/>
      <c r="H703" s="81"/>
    </row>
    <row r="704" spans="4:8">
      <c r="D704" s="81"/>
      <c r="E704" s="81"/>
      <c r="F704" s="81"/>
      <c r="G704" s="81"/>
      <c r="H704" s="81"/>
    </row>
    <row r="705" spans="4:8">
      <c r="D705" s="81"/>
      <c r="E705" s="81"/>
      <c r="F705" s="81"/>
      <c r="G705" s="81"/>
      <c r="H705" s="81"/>
    </row>
    <row r="706" spans="4:8">
      <c r="D706" s="81"/>
      <c r="E706" s="81"/>
      <c r="F706" s="81"/>
      <c r="G706" s="81"/>
      <c r="H706" s="81"/>
    </row>
    <row r="707" spans="4:8">
      <c r="D707" s="81"/>
      <c r="E707" s="81"/>
      <c r="F707" s="81"/>
      <c r="G707" s="81"/>
      <c r="H707" s="81"/>
    </row>
    <row r="708" spans="4:8">
      <c r="D708" s="81"/>
      <c r="E708" s="81"/>
      <c r="F708" s="81"/>
      <c r="G708" s="81"/>
      <c r="H708" s="81"/>
    </row>
    <row r="709" spans="4:8">
      <c r="D709" s="81"/>
      <c r="E709" s="81"/>
      <c r="F709" s="81"/>
      <c r="G709" s="81"/>
      <c r="H709" s="81"/>
    </row>
    <row r="710" spans="4:8">
      <c r="D710" s="81"/>
      <c r="E710" s="81"/>
      <c r="F710" s="81"/>
      <c r="G710" s="81"/>
      <c r="H710" s="81"/>
    </row>
    <row r="711" spans="4:8">
      <c r="D711" s="81"/>
      <c r="E711" s="81"/>
      <c r="F711" s="81"/>
      <c r="G711" s="81"/>
      <c r="H711" s="81"/>
    </row>
    <row r="712" spans="4:8">
      <c r="D712" s="81"/>
      <c r="E712" s="81"/>
      <c r="F712" s="81"/>
      <c r="G712" s="81"/>
      <c r="H712" s="81"/>
    </row>
    <row r="713" spans="4:8">
      <c r="D713" s="81"/>
      <c r="E713" s="81"/>
      <c r="F713" s="81"/>
      <c r="G713" s="81"/>
      <c r="H713" s="81"/>
    </row>
    <row r="714" spans="4:8">
      <c r="D714" s="81"/>
      <c r="E714" s="81"/>
      <c r="F714" s="81"/>
      <c r="G714" s="81"/>
      <c r="H714" s="81"/>
    </row>
    <row r="715" spans="4:8">
      <c r="D715" s="81"/>
      <c r="E715" s="81"/>
      <c r="F715" s="81"/>
      <c r="G715" s="81"/>
      <c r="H715" s="81"/>
    </row>
    <row r="716" spans="4:8">
      <c r="D716" s="81"/>
      <c r="E716" s="81"/>
      <c r="F716" s="81"/>
      <c r="G716" s="81"/>
      <c r="H716" s="81"/>
    </row>
    <row r="717" spans="4:8">
      <c r="D717" s="81"/>
      <c r="E717" s="81"/>
      <c r="F717" s="81"/>
      <c r="G717" s="81"/>
      <c r="H717" s="81"/>
    </row>
    <row r="718" spans="4:8">
      <c r="D718" s="81"/>
      <c r="E718" s="81"/>
      <c r="F718" s="81"/>
      <c r="G718" s="81"/>
      <c r="H718" s="81"/>
    </row>
    <row r="719" spans="4:8">
      <c r="D719" s="81"/>
      <c r="E719" s="81"/>
      <c r="F719" s="81"/>
      <c r="G719" s="81"/>
      <c r="H719" s="81"/>
    </row>
    <row r="720" spans="4:8">
      <c r="D720" s="81"/>
      <c r="E720" s="81"/>
      <c r="F720" s="81"/>
      <c r="G720" s="81"/>
      <c r="H720" s="81"/>
    </row>
    <row r="721" spans="4:8">
      <c r="D721" s="81"/>
      <c r="E721" s="81"/>
      <c r="F721" s="81"/>
      <c r="G721" s="81"/>
      <c r="H721" s="81"/>
    </row>
    <row r="722" spans="4:8">
      <c r="D722" s="81"/>
      <c r="E722" s="81"/>
      <c r="F722" s="81"/>
      <c r="G722" s="81"/>
      <c r="H722" s="81"/>
    </row>
    <row r="723" spans="4:8">
      <c r="D723" s="81"/>
      <c r="E723" s="81"/>
      <c r="F723" s="81"/>
      <c r="G723" s="81"/>
      <c r="H723" s="81"/>
    </row>
    <row r="724" spans="4:8">
      <c r="D724" s="81"/>
      <c r="E724" s="81"/>
      <c r="F724" s="81"/>
      <c r="G724" s="81"/>
      <c r="H724" s="81"/>
    </row>
    <row r="725" spans="4:8">
      <c r="D725" s="81"/>
      <c r="E725" s="81"/>
      <c r="F725" s="81"/>
      <c r="G725" s="81"/>
      <c r="H725" s="81"/>
    </row>
    <row r="726" spans="4:8">
      <c r="D726" s="81"/>
      <c r="E726" s="81"/>
      <c r="F726" s="81"/>
      <c r="G726" s="81"/>
      <c r="H726" s="81"/>
    </row>
    <row r="727" spans="4:8">
      <c r="D727" s="81"/>
      <c r="E727" s="81"/>
      <c r="F727" s="81"/>
      <c r="G727" s="81"/>
      <c r="H727" s="81"/>
    </row>
    <row r="728" spans="4:8">
      <c r="D728" s="81"/>
      <c r="E728" s="81"/>
      <c r="F728" s="81"/>
      <c r="G728" s="81"/>
      <c r="H728" s="81"/>
    </row>
    <row r="729" spans="4:8">
      <c r="D729" s="81"/>
      <c r="E729" s="81"/>
      <c r="F729" s="81"/>
      <c r="G729" s="81"/>
      <c r="H729" s="81"/>
    </row>
    <row r="730" spans="4:8">
      <c r="D730" s="81"/>
      <c r="E730" s="81"/>
      <c r="F730" s="81"/>
      <c r="G730" s="81"/>
      <c r="H730" s="81"/>
    </row>
    <row r="731" spans="4:8">
      <c r="D731" s="81"/>
      <c r="E731" s="81"/>
      <c r="F731" s="81"/>
      <c r="G731" s="81"/>
      <c r="H731" s="81"/>
    </row>
    <row r="732" spans="4:8">
      <c r="D732" s="81"/>
      <c r="E732" s="81"/>
      <c r="F732" s="81"/>
      <c r="G732" s="81"/>
      <c r="H732" s="81"/>
    </row>
    <row r="733" spans="4:8">
      <c r="D733" s="81"/>
      <c r="E733" s="81"/>
      <c r="F733" s="81"/>
      <c r="G733" s="81"/>
      <c r="H733" s="81"/>
    </row>
    <row r="734" spans="4:8">
      <c r="D734" s="81"/>
      <c r="E734" s="81"/>
      <c r="F734" s="81"/>
      <c r="G734" s="81"/>
      <c r="H734" s="81"/>
    </row>
    <row r="735" spans="4:8">
      <c r="D735" s="81"/>
      <c r="E735" s="81"/>
      <c r="F735" s="81"/>
      <c r="G735" s="81"/>
      <c r="H735" s="81"/>
    </row>
    <row r="736" spans="4:8">
      <c r="D736" s="81"/>
      <c r="E736" s="81"/>
      <c r="F736" s="81"/>
      <c r="G736" s="81"/>
      <c r="H736" s="81"/>
    </row>
    <row r="737" spans="4:8">
      <c r="D737" s="81"/>
      <c r="E737" s="81"/>
      <c r="F737" s="81"/>
      <c r="G737" s="81"/>
      <c r="H737" s="81"/>
    </row>
    <row r="738" spans="4:8">
      <c r="D738" s="81"/>
      <c r="E738" s="81"/>
      <c r="F738" s="81"/>
      <c r="G738" s="81"/>
      <c r="H738" s="81"/>
    </row>
    <row r="739" spans="4:8">
      <c r="D739" s="81"/>
      <c r="E739" s="81"/>
      <c r="F739" s="81"/>
      <c r="G739" s="81"/>
      <c r="H739" s="81"/>
    </row>
    <row r="740" spans="4:8">
      <c r="D740" s="81"/>
      <c r="E740" s="81"/>
      <c r="F740" s="81"/>
      <c r="G740" s="81"/>
      <c r="H740" s="81"/>
    </row>
    <row r="741" spans="4:8">
      <c r="D741" s="81"/>
      <c r="E741" s="81"/>
      <c r="F741" s="81"/>
      <c r="G741" s="81"/>
      <c r="H741" s="81"/>
    </row>
    <row r="742" spans="4:8">
      <c r="D742" s="81"/>
      <c r="E742" s="81"/>
      <c r="F742" s="81"/>
      <c r="G742" s="81"/>
      <c r="H742" s="81"/>
    </row>
    <row r="743" spans="4:8">
      <c r="D743" s="81"/>
      <c r="E743" s="81"/>
      <c r="F743" s="81"/>
      <c r="G743" s="81"/>
      <c r="H743" s="81"/>
    </row>
    <row r="744" spans="4:8">
      <c r="D744" s="81"/>
      <c r="E744" s="81"/>
      <c r="F744" s="81"/>
      <c r="G744" s="81"/>
      <c r="H744" s="81"/>
    </row>
    <row r="745" spans="4:8">
      <c r="D745" s="81"/>
      <c r="E745" s="81"/>
      <c r="F745" s="81"/>
      <c r="G745" s="81"/>
      <c r="H745" s="81"/>
    </row>
    <row r="746" spans="4:8">
      <c r="D746" s="81"/>
      <c r="E746" s="81"/>
      <c r="F746" s="81"/>
      <c r="G746" s="81"/>
      <c r="H746" s="81"/>
    </row>
    <row r="747" spans="4:8">
      <c r="D747" s="81"/>
      <c r="E747" s="81"/>
      <c r="F747" s="81"/>
      <c r="G747" s="81"/>
      <c r="H747" s="81"/>
    </row>
    <row r="748" spans="4:8">
      <c r="D748" s="81"/>
      <c r="E748" s="81"/>
      <c r="F748" s="81"/>
      <c r="G748" s="81"/>
      <c r="H748" s="81"/>
    </row>
    <row r="749" spans="4:8">
      <c r="D749" s="81"/>
      <c r="E749" s="81"/>
      <c r="F749" s="81"/>
      <c r="G749" s="81"/>
      <c r="H749" s="81"/>
    </row>
    <row r="750" spans="4:8">
      <c r="D750" s="81"/>
      <c r="E750" s="81"/>
      <c r="F750" s="81"/>
      <c r="G750" s="81"/>
      <c r="H750" s="81"/>
    </row>
    <row r="751" spans="4:8">
      <c r="D751" s="81"/>
      <c r="E751" s="81"/>
      <c r="F751" s="81"/>
      <c r="G751" s="81"/>
      <c r="H751" s="81"/>
    </row>
    <row r="752" spans="4:8">
      <c r="D752" s="81"/>
      <c r="E752" s="81"/>
      <c r="F752" s="81"/>
      <c r="G752" s="81"/>
      <c r="H752" s="81"/>
    </row>
    <row r="753" spans="4:8">
      <c r="D753" s="81"/>
      <c r="E753" s="81"/>
      <c r="F753" s="81"/>
      <c r="G753" s="81"/>
      <c r="H753" s="81"/>
    </row>
    <row r="754" spans="4:8">
      <c r="D754" s="81"/>
      <c r="E754" s="81"/>
      <c r="F754" s="81"/>
      <c r="G754" s="81"/>
      <c r="H754" s="81"/>
    </row>
    <row r="755" spans="4:8">
      <c r="D755" s="81"/>
      <c r="E755" s="81"/>
      <c r="F755" s="81"/>
      <c r="G755" s="81"/>
      <c r="H755" s="81"/>
    </row>
    <row r="756" spans="4:8">
      <c r="D756" s="81"/>
      <c r="E756" s="81"/>
      <c r="F756" s="81"/>
      <c r="G756" s="81"/>
      <c r="H756" s="81"/>
    </row>
    <row r="757" spans="4:8">
      <c r="D757" s="81"/>
      <c r="E757" s="81"/>
      <c r="F757" s="81"/>
      <c r="G757" s="81"/>
      <c r="H757" s="81"/>
    </row>
    <row r="758" spans="4:8">
      <c r="D758" s="81"/>
      <c r="E758" s="81"/>
      <c r="F758" s="81"/>
      <c r="G758" s="81"/>
      <c r="H758" s="81"/>
    </row>
    <row r="759" spans="4:8">
      <c r="D759" s="81"/>
      <c r="E759" s="81"/>
      <c r="F759" s="81"/>
      <c r="G759" s="81"/>
      <c r="H759" s="81"/>
    </row>
    <row r="760" spans="4:8">
      <c r="D760" s="81"/>
      <c r="E760" s="81"/>
      <c r="F760" s="81"/>
      <c r="G760" s="81"/>
      <c r="H760" s="81"/>
    </row>
    <row r="761" spans="4:8">
      <c r="D761" s="81"/>
      <c r="E761" s="81"/>
      <c r="F761" s="81"/>
      <c r="G761" s="81"/>
      <c r="H761" s="81"/>
    </row>
    <row r="762" spans="4:8">
      <c r="D762" s="81"/>
      <c r="E762" s="81"/>
      <c r="F762" s="81"/>
      <c r="G762" s="81"/>
      <c r="H762" s="81"/>
    </row>
    <row r="763" spans="4:8">
      <c r="D763" s="81"/>
      <c r="E763" s="81"/>
      <c r="F763" s="81"/>
      <c r="G763" s="81"/>
      <c r="H763" s="81"/>
    </row>
    <row r="764" spans="4:8">
      <c r="D764" s="81"/>
      <c r="E764" s="81"/>
      <c r="F764" s="81"/>
      <c r="G764" s="81"/>
      <c r="H764" s="81"/>
    </row>
    <row r="765" spans="4:8">
      <c r="D765" s="81"/>
      <c r="E765" s="81"/>
      <c r="F765" s="81"/>
      <c r="G765" s="81"/>
      <c r="H765" s="81"/>
    </row>
    <row r="766" spans="4:8">
      <c r="D766" s="81"/>
      <c r="E766" s="81"/>
      <c r="F766" s="81"/>
      <c r="G766" s="81"/>
      <c r="H766" s="81"/>
    </row>
    <row r="767" spans="4:8">
      <c r="D767" s="81"/>
      <c r="E767" s="81"/>
      <c r="F767" s="81"/>
      <c r="G767" s="81"/>
      <c r="H767" s="81"/>
    </row>
    <row r="768" spans="4:8">
      <c r="D768" s="81"/>
      <c r="E768" s="81"/>
      <c r="F768" s="81"/>
      <c r="G768" s="81"/>
      <c r="H768" s="81"/>
    </row>
    <row r="769" spans="4:8">
      <c r="D769" s="81"/>
      <c r="E769" s="81"/>
      <c r="F769" s="81"/>
      <c r="G769" s="81"/>
      <c r="H769" s="81"/>
    </row>
    <row r="770" spans="4:8">
      <c r="D770" s="81"/>
      <c r="E770" s="81"/>
      <c r="F770" s="81"/>
      <c r="G770" s="81"/>
      <c r="H770" s="81"/>
    </row>
    <row r="771" spans="4:8">
      <c r="D771" s="81"/>
      <c r="E771" s="81"/>
      <c r="F771" s="81"/>
      <c r="G771" s="81"/>
      <c r="H771" s="81"/>
    </row>
    <row r="772" spans="4:8">
      <c r="D772" s="81"/>
      <c r="E772" s="81"/>
      <c r="F772" s="81"/>
      <c r="G772" s="81"/>
      <c r="H772" s="81"/>
    </row>
    <row r="773" spans="4:8">
      <c r="D773" s="81"/>
      <c r="E773" s="81"/>
      <c r="F773" s="81"/>
      <c r="G773" s="81"/>
      <c r="H773" s="81"/>
    </row>
    <row r="774" spans="4:8">
      <c r="D774" s="81"/>
      <c r="E774" s="81"/>
      <c r="F774" s="81"/>
      <c r="G774" s="81"/>
      <c r="H774" s="81"/>
    </row>
    <row r="775" spans="4:8">
      <c r="D775" s="81"/>
      <c r="E775" s="81"/>
      <c r="F775" s="81"/>
      <c r="G775" s="81"/>
      <c r="H775" s="81"/>
    </row>
    <row r="776" spans="4:8">
      <c r="D776" s="81"/>
      <c r="E776" s="81"/>
      <c r="F776" s="81"/>
      <c r="G776" s="81"/>
      <c r="H776" s="81"/>
    </row>
    <row r="777" spans="4:8">
      <c r="D777" s="81"/>
      <c r="E777" s="81"/>
      <c r="F777" s="81"/>
      <c r="G777" s="81"/>
      <c r="H777" s="81"/>
    </row>
    <row r="778" spans="4:8">
      <c r="D778" s="81"/>
      <c r="E778" s="81"/>
      <c r="F778" s="81"/>
      <c r="G778" s="81"/>
      <c r="H778" s="81"/>
    </row>
    <row r="779" spans="4:8">
      <c r="D779" s="81"/>
      <c r="E779" s="81"/>
      <c r="F779" s="81"/>
      <c r="G779" s="81"/>
      <c r="H779" s="81"/>
    </row>
    <row r="780" spans="4:8">
      <c r="D780" s="81"/>
      <c r="E780" s="81"/>
      <c r="F780" s="81"/>
      <c r="G780" s="81"/>
      <c r="H780" s="81"/>
    </row>
    <row r="781" spans="4:8">
      <c r="D781" s="81"/>
      <c r="E781" s="81"/>
      <c r="F781" s="81"/>
      <c r="G781" s="81"/>
      <c r="H781" s="81"/>
    </row>
    <row r="782" spans="4:8">
      <c r="D782" s="81"/>
      <c r="E782" s="81"/>
      <c r="F782" s="81"/>
      <c r="G782" s="81"/>
      <c r="H782" s="81"/>
    </row>
    <row r="783" spans="4:8">
      <c r="D783" s="81"/>
      <c r="E783" s="81"/>
      <c r="F783" s="81"/>
      <c r="G783" s="81"/>
      <c r="H783" s="81"/>
    </row>
    <row r="784" spans="4:8">
      <c r="D784" s="81"/>
      <c r="E784" s="81"/>
      <c r="F784" s="81"/>
      <c r="G784" s="81"/>
      <c r="H784" s="81"/>
    </row>
    <row r="785" spans="4:8">
      <c r="D785" s="81"/>
      <c r="E785" s="81"/>
      <c r="F785" s="81"/>
      <c r="G785" s="81"/>
      <c r="H785" s="81"/>
    </row>
    <row r="786" spans="4:8">
      <c r="D786" s="81"/>
      <c r="E786" s="81"/>
      <c r="F786" s="81"/>
      <c r="G786" s="81"/>
      <c r="H786" s="81"/>
    </row>
    <row r="787" spans="4:8">
      <c r="D787" s="81"/>
      <c r="E787" s="81"/>
      <c r="F787" s="81"/>
      <c r="G787" s="81"/>
      <c r="H787" s="81"/>
    </row>
    <row r="788" spans="4:8">
      <c r="D788" s="81"/>
      <c r="E788" s="81"/>
      <c r="F788" s="81"/>
      <c r="G788" s="81"/>
      <c r="H788" s="81"/>
    </row>
    <row r="789" spans="4:8">
      <c r="D789" s="81"/>
      <c r="E789" s="81"/>
      <c r="F789" s="81"/>
      <c r="G789" s="81"/>
      <c r="H789" s="81"/>
    </row>
    <row r="790" spans="4:8">
      <c r="D790" s="81"/>
      <c r="E790" s="81"/>
      <c r="F790" s="81"/>
      <c r="G790" s="81"/>
      <c r="H790" s="81"/>
    </row>
    <row r="791" spans="4:8">
      <c r="D791" s="81"/>
      <c r="E791" s="81"/>
      <c r="F791" s="81"/>
      <c r="G791" s="81"/>
      <c r="H791" s="81"/>
    </row>
    <row r="792" spans="4:8">
      <c r="D792" s="81"/>
      <c r="E792" s="81"/>
      <c r="F792" s="81"/>
      <c r="G792" s="81"/>
      <c r="H792" s="81"/>
    </row>
    <row r="793" spans="4:8">
      <c r="D793" s="81"/>
      <c r="E793" s="81"/>
      <c r="F793" s="81"/>
      <c r="G793" s="81"/>
      <c r="H793" s="81"/>
    </row>
    <row r="794" spans="4:8">
      <c r="D794" s="81"/>
      <c r="E794" s="81"/>
      <c r="F794" s="81"/>
      <c r="G794" s="81"/>
      <c r="H794" s="81"/>
    </row>
    <row r="795" spans="4:8">
      <c r="D795" s="81"/>
      <c r="E795" s="81"/>
      <c r="F795" s="81"/>
      <c r="G795" s="81"/>
      <c r="H795" s="81"/>
    </row>
    <row r="796" spans="4:8">
      <c r="D796" s="81"/>
      <c r="E796" s="81"/>
      <c r="F796" s="81"/>
      <c r="G796" s="81"/>
      <c r="H796" s="81"/>
    </row>
    <row r="797" spans="4:8">
      <c r="D797" s="81"/>
      <c r="E797" s="81"/>
      <c r="F797" s="81"/>
      <c r="G797" s="81"/>
      <c r="H797" s="81"/>
    </row>
    <row r="798" spans="4:8">
      <c r="D798" s="81"/>
      <c r="E798" s="81"/>
      <c r="F798" s="81"/>
      <c r="G798" s="81"/>
      <c r="H798" s="81"/>
    </row>
    <row r="799" spans="4:8">
      <c r="D799" s="81"/>
      <c r="E799" s="81"/>
      <c r="F799" s="81"/>
      <c r="G799" s="81"/>
      <c r="H799" s="81"/>
    </row>
    <row r="800" spans="4:8">
      <c r="D800" s="81"/>
      <c r="E800" s="81"/>
      <c r="F800" s="81"/>
      <c r="G800" s="81"/>
      <c r="H800" s="81"/>
    </row>
    <row r="801" spans="4:8">
      <c r="D801" s="81"/>
      <c r="E801" s="81"/>
      <c r="F801" s="81"/>
      <c r="G801" s="81"/>
      <c r="H801" s="81"/>
    </row>
    <row r="802" spans="4:8">
      <c r="D802" s="81"/>
      <c r="E802" s="81"/>
      <c r="F802" s="81"/>
      <c r="G802" s="81"/>
      <c r="H802" s="81"/>
    </row>
    <row r="803" spans="4:8">
      <c r="D803" s="81"/>
      <c r="E803" s="81"/>
      <c r="F803" s="81"/>
      <c r="G803" s="81"/>
      <c r="H803" s="81"/>
    </row>
    <row r="804" spans="4:8">
      <c r="D804" s="81"/>
      <c r="E804" s="81"/>
      <c r="F804" s="81"/>
      <c r="G804" s="81"/>
      <c r="H804" s="81"/>
    </row>
    <row r="805" spans="4:8">
      <c r="D805" s="81"/>
      <c r="E805" s="81"/>
      <c r="F805" s="81"/>
      <c r="G805" s="81"/>
      <c r="H805" s="81"/>
    </row>
    <row r="806" spans="4:8">
      <c r="D806" s="81"/>
      <c r="E806" s="81"/>
      <c r="F806" s="81"/>
      <c r="G806" s="81"/>
      <c r="H806" s="81"/>
    </row>
    <row r="807" spans="4:8">
      <c r="D807" s="81"/>
      <c r="E807" s="81"/>
      <c r="F807" s="81"/>
      <c r="G807" s="81"/>
      <c r="H807" s="81"/>
    </row>
    <row r="808" spans="4:8">
      <c r="D808" s="81"/>
      <c r="E808" s="81"/>
      <c r="F808" s="81"/>
      <c r="G808" s="81"/>
      <c r="H808" s="81"/>
    </row>
    <row r="809" spans="4:8">
      <c r="D809" s="81"/>
      <c r="E809" s="81"/>
      <c r="F809" s="81"/>
      <c r="G809" s="81"/>
      <c r="H809" s="81"/>
    </row>
    <row r="810" spans="4:8">
      <c r="D810" s="81"/>
      <c r="E810" s="81"/>
      <c r="F810" s="81"/>
      <c r="G810" s="81"/>
      <c r="H810" s="81"/>
    </row>
    <row r="811" spans="4:8">
      <c r="D811" s="81"/>
      <c r="E811" s="81"/>
      <c r="F811" s="81"/>
      <c r="G811" s="81"/>
      <c r="H811" s="81"/>
    </row>
    <row r="812" spans="4:8">
      <c r="D812" s="81"/>
      <c r="E812" s="81"/>
      <c r="F812" s="81"/>
      <c r="G812" s="81"/>
      <c r="H812" s="81"/>
    </row>
    <row r="813" spans="4:8">
      <c r="D813" s="81"/>
      <c r="E813" s="81"/>
      <c r="F813" s="81"/>
      <c r="G813" s="81"/>
      <c r="H813" s="81"/>
    </row>
    <row r="814" spans="4:8">
      <c r="D814" s="81"/>
      <c r="E814" s="81"/>
      <c r="F814" s="81"/>
      <c r="G814" s="81"/>
      <c r="H814" s="81"/>
    </row>
    <row r="815" spans="4:8">
      <c r="D815" s="81"/>
      <c r="E815" s="81"/>
      <c r="F815" s="81"/>
      <c r="G815" s="81"/>
      <c r="H815" s="81"/>
    </row>
    <row r="816" spans="4:8">
      <c r="D816" s="81"/>
      <c r="E816" s="81"/>
      <c r="F816" s="81"/>
      <c r="G816" s="81"/>
      <c r="H816" s="81"/>
    </row>
    <row r="817" spans="4:8">
      <c r="D817" s="81"/>
      <c r="E817" s="81"/>
      <c r="F817" s="81"/>
      <c r="G817" s="81"/>
      <c r="H817" s="81"/>
    </row>
    <row r="818" spans="4:8">
      <c r="D818" s="81"/>
      <c r="E818" s="81"/>
      <c r="F818" s="81"/>
      <c r="G818" s="81"/>
      <c r="H818" s="81"/>
    </row>
    <row r="819" spans="4:8">
      <c r="D819" s="81"/>
      <c r="E819" s="81"/>
      <c r="F819" s="81"/>
      <c r="G819" s="81"/>
      <c r="H819" s="81"/>
    </row>
    <row r="820" spans="4:8">
      <c r="D820" s="81"/>
      <c r="E820" s="81"/>
      <c r="F820" s="81"/>
      <c r="G820" s="81"/>
      <c r="H820" s="81"/>
    </row>
    <row r="821" spans="4:8">
      <c r="D821" s="81"/>
      <c r="E821" s="81"/>
      <c r="F821" s="81"/>
      <c r="G821" s="81"/>
      <c r="H821" s="81"/>
    </row>
    <row r="822" spans="4:8">
      <c r="D822" s="81"/>
      <c r="E822" s="81"/>
      <c r="F822" s="81"/>
      <c r="G822" s="81"/>
      <c r="H822" s="81"/>
    </row>
    <row r="823" spans="4:8">
      <c r="D823" s="81"/>
      <c r="E823" s="81"/>
      <c r="F823" s="81"/>
      <c r="G823" s="81"/>
      <c r="H823" s="81"/>
    </row>
    <row r="824" spans="4:8">
      <c r="D824" s="81"/>
      <c r="E824" s="81"/>
      <c r="F824" s="81"/>
      <c r="G824" s="81"/>
      <c r="H824" s="81"/>
    </row>
    <row r="825" spans="4:8">
      <c r="D825" s="81"/>
      <c r="E825" s="81"/>
      <c r="F825" s="81"/>
      <c r="G825" s="81"/>
      <c r="H825" s="81"/>
    </row>
    <row r="826" spans="4:8">
      <c r="D826" s="81"/>
      <c r="E826" s="81"/>
      <c r="F826" s="81"/>
      <c r="G826" s="81"/>
      <c r="H826" s="81"/>
    </row>
    <row r="827" spans="4:8">
      <c r="D827" s="81"/>
      <c r="E827" s="81"/>
      <c r="F827" s="81"/>
      <c r="G827" s="81"/>
      <c r="H827" s="81"/>
    </row>
    <row r="828" spans="4:8">
      <c r="D828" s="81"/>
      <c r="E828" s="81"/>
      <c r="F828" s="81"/>
      <c r="G828" s="81"/>
      <c r="H828" s="81"/>
    </row>
    <row r="829" spans="4:8">
      <c r="D829" s="81"/>
      <c r="E829" s="81"/>
      <c r="F829" s="81"/>
      <c r="G829" s="81"/>
      <c r="H829" s="81"/>
    </row>
    <row r="830" spans="4:8">
      <c r="D830" s="81"/>
      <c r="E830" s="81"/>
      <c r="F830" s="81"/>
      <c r="G830" s="81"/>
      <c r="H830" s="81"/>
    </row>
    <row r="831" spans="4:8">
      <c r="D831" s="81"/>
      <c r="E831" s="81"/>
      <c r="F831" s="81"/>
      <c r="G831" s="81"/>
      <c r="H831" s="81"/>
    </row>
    <row r="832" spans="4:8">
      <c r="D832" s="81"/>
      <c r="E832" s="81"/>
      <c r="F832" s="81"/>
      <c r="G832" s="81"/>
      <c r="H832" s="81"/>
    </row>
    <row r="833" spans="4:8">
      <c r="D833" s="81"/>
      <c r="E833" s="81"/>
      <c r="F833" s="81"/>
      <c r="G833" s="81"/>
      <c r="H833" s="81"/>
    </row>
    <row r="834" spans="4:8">
      <c r="D834" s="81"/>
      <c r="E834" s="81"/>
      <c r="F834" s="81"/>
      <c r="G834" s="81"/>
      <c r="H834" s="81"/>
    </row>
    <row r="835" spans="4:8">
      <c r="D835" s="81"/>
      <c r="E835" s="81"/>
      <c r="F835" s="81"/>
      <c r="G835" s="81"/>
      <c r="H835" s="81"/>
    </row>
    <row r="836" spans="4:8">
      <c r="D836" s="81"/>
      <c r="E836" s="81"/>
      <c r="F836" s="81"/>
      <c r="G836" s="81"/>
      <c r="H836" s="81"/>
    </row>
    <row r="837" spans="4:8">
      <c r="D837" s="81"/>
      <c r="E837" s="81"/>
      <c r="F837" s="81"/>
      <c r="G837" s="81"/>
      <c r="H837" s="81"/>
    </row>
    <row r="838" spans="4:8">
      <c r="D838" s="81"/>
      <c r="E838" s="81"/>
      <c r="F838" s="81"/>
      <c r="G838" s="81"/>
      <c r="H838" s="81"/>
    </row>
    <row r="839" spans="4:8">
      <c r="D839" s="81"/>
      <c r="E839" s="81"/>
      <c r="F839" s="81"/>
      <c r="G839" s="81"/>
      <c r="H839" s="81"/>
    </row>
    <row r="840" spans="4:8">
      <c r="D840" s="81"/>
      <c r="E840" s="81"/>
      <c r="F840" s="81"/>
      <c r="G840" s="81"/>
      <c r="H840" s="81"/>
    </row>
    <row r="841" spans="4:8">
      <c r="D841" s="81"/>
      <c r="E841" s="81"/>
      <c r="F841" s="81"/>
      <c r="G841" s="81"/>
      <c r="H841" s="81"/>
    </row>
    <row r="842" spans="4:8">
      <c r="D842" s="81"/>
      <c r="E842" s="81"/>
      <c r="F842" s="81"/>
      <c r="G842" s="81"/>
      <c r="H842" s="81"/>
    </row>
    <row r="843" spans="4:8">
      <c r="D843" s="81"/>
      <c r="E843" s="81"/>
      <c r="F843" s="81"/>
      <c r="G843" s="81"/>
      <c r="H843" s="81"/>
    </row>
    <row r="844" spans="4:8">
      <c r="D844" s="81"/>
      <c r="E844" s="81"/>
      <c r="F844" s="81"/>
      <c r="G844" s="81"/>
      <c r="H844" s="81"/>
    </row>
    <row r="845" spans="4:8">
      <c r="D845" s="81"/>
      <c r="E845" s="81"/>
      <c r="F845" s="81"/>
      <c r="G845" s="81"/>
      <c r="H845" s="81"/>
    </row>
    <row r="846" spans="4:8">
      <c r="D846" s="81"/>
      <c r="E846" s="81"/>
      <c r="F846" s="81"/>
      <c r="G846" s="81"/>
      <c r="H846" s="81"/>
    </row>
    <row r="847" spans="4:8">
      <c r="D847" s="81"/>
      <c r="E847" s="81"/>
      <c r="F847" s="81"/>
      <c r="G847" s="81"/>
      <c r="H847" s="81"/>
    </row>
    <row r="848" spans="4:8">
      <c r="D848" s="81"/>
      <c r="E848" s="81"/>
      <c r="F848" s="81"/>
      <c r="G848" s="81"/>
      <c r="H848" s="81"/>
    </row>
    <row r="849" spans="4:8">
      <c r="D849" s="81"/>
      <c r="E849" s="81"/>
      <c r="F849" s="81"/>
      <c r="G849" s="81"/>
      <c r="H849" s="81"/>
    </row>
    <row r="850" spans="4:8">
      <c r="D850" s="81"/>
      <c r="E850" s="81"/>
      <c r="F850" s="81"/>
      <c r="G850" s="81"/>
      <c r="H850" s="81"/>
    </row>
    <row r="851" spans="4:8">
      <c r="D851" s="81"/>
      <c r="E851" s="81"/>
      <c r="F851" s="81"/>
      <c r="G851" s="81"/>
      <c r="H851" s="81"/>
    </row>
    <row r="852" spans="4:8">
      <c r="D852" s="81"/>
      <c r="E852" s="81"/>
      <c r="F852" s="81"/>
      <c r="G852" s="81"/>
      <c r="H852" s="81"/>
    </row>
    <row r="853" spans="4:8">
      <c r="D853" s="81"/>
      <c r="E853" s="81"/>
      <c r="F853" s="81"/>
      <c r="G853" s="81"/>
      <c r="H853" s="81"/>
    </row>
    <row r="854" spans="4:8">
      <c r="D854" s="81"/>
      <c r="E854" s="81"/>
      <c r="F854" s="81"/>
      <c r="G854" s="81"/>
      <c r="H854" s="81"/>
    </row>
    <row r="855" spans="4:8">
      <c r="D855" s="81"/>
      <c r="E855" s="81"/>
      <c r="F855" s="81"/>
      <c r="G855" s="81"/>
      <c r="H855" s="81"/>
    </row>
    <row r="856" spans="4:8">
      <c r="D856" s="81"/>
      <c r="E856" s="81"/>
      <c r="F856" s="81"/>
      <c r="G856" s="81"/>
      <c r="H856" s="81"/>
    </row>
    <row r="857" spans="4:8">
      <c r="D857" s="81"/>
      <c r="E857" s="81"/>
      <c r="F857" s="81"/>
      <c r="G857" s="81"/>
      <c r="H857" s="81"/>
    </row>
    <row r="858" spans="4:8">
      <c r="D858" s="81"/>
      <c r="E858" s="81"/>
      <c r="F858" s="81"/>
      <c r="G858" s="81"/>
      <c r="H858" s="81"/>
    </row>
    <row r="859" spans="4:8">
      <c r="D859" s="81"/>
      <c r="E859" s="81"/>
      <c r="F859" s="81"/>
      <c r="G859" s="81"/>
      <c r="H859" s="81"/>
    </row>
    <row r="860" spans="4:8">
      <c r="D860" s="81"/>
      <c r="E860" s="81"/>
      <c r="F860" s="81"/>
      <c r="G860" s="81"/>
      <c r="H860" s="81"/>
    </row>
    <row r="861" spans="4:8">
      <c r="D861" s="81"/>
      <c r="E861" s="81"/>
      <c r="F861" s="81"/>
      <c r="G861" s="81"/>
      <c r="H861" s="81"/>
    </row>
    <row r="862" spans="4:8">
      <c r="D862" s="81"/>
      <c r="E862" s="81"/>
      <c r="F862" s="81"/>
      <c r="G862" s="81"/>
      <c r="H862" s="81"/>
    </row>
    <row r="863" spans="4:8">
      <c r="D863" s="81"/>
      <c r="E863" s="81"/>
      <c r="F863" s="81"/>
      <c r="G863" s="81"/>
      <c r="H863" s="81"/>
    </row>
    <row r="864" spans="4:8">
      <c r="D864" s="81"/>
      <c r="E864" s="81"/>
      <c r="F864" s="81"/>
      <c r="G864" s="81"/>
      <c r="H864" s="81"/>
    </row>
    <row r="865" spans="4:8">
      <c r="D865" s="81"/>
      <c r="E865" s="81"/>
      <c r="F865" s="81"/>
      <c r="G865" s="81"/>
      <c r="H865" s="81"/>
    </row>
    <row r="866" spans="4:8">
      <c r="D866" s="81"/>
      <c r="E866" s="81"/>
      <c r="F866" s="81"/>
      <c r="G866" s="81"/>
      <c r="H866" s="81"/>
    </row>
    <row r="867" spans="4:8">
      <c r="D867" s="81"/>
      <c r="E867" s="81"/>
      <c r="F867" s="81"/>
      <c r="G867" s="81"/>
      <c r="H867" s="81"/>
    </row>
    <row r="868" spans="4:8">
      <c r="D868" s="81"/>
      <c r="E868" s="81"/>
      <c r="F868" s="81"/>
      <c r="G868" s="81"/>
      <c r="H868" s="81"/>
    </row>
    <row r="869" spans="4:8">
      <c r="D869" s="81"/>
      <c r="E869" s="81"/>
      <c r="F869" s="81"/>
      <c r="G869" s="81"/>
      <c r="H869" s="81"/>
    </row>
    <row r="870" spans="4:8">
      <c r="D870" s="81"/>
      <c r="E870" s="81"/>
      <c r="F870" s="81"/>
      <c r="G870" s="81"/>
      <c r="H870" s="81"/>
    </row>
    <row r="871" spans="4:8">
      <c r="D871" s="81"/>
      <c r="E871" s="81"/>
      <c r="F871" s="81"/>
      <c r="G871" s="81"/>
      <c r="H871" s="81"/>
    </row>
    <row r="872" spans="4:8">
      <c r="D872" s="81"/>
      <c r="E872" s="81"/>
      <c r="F872" s="81"/>
      <c r="G872" s="81"/>
      <c r="H872" s="81"/>
    </row>
    <row r="873" spans="4:8">
      <c r="D873" s="81"/>
      <c r="E873" s="81"/>
      <c r="F873" s="81"/>
      <c r="G873" s="81"/>
      <c r="H873" s="81"/>
    </row>
    <row r="874" spans="4:8">
      <c r="D874" s="81"/>
      <c r="E874" s="81"/>
      <c r="F874" s="81"/>
      <c r="G874" s="81"/>
      <c r="H874" s="81"/>
    </row>
    <row r="875" spans="4:8">
      <c r="D875" s="81"/>
      <c r="E875" s="81"/>
      <c r="F875" s="81"/>
      <c r="G875" s="81"/>
      <c r="H875" s="81"/>
    </row>
    <row r="876" spans="4:8">
      <c r="D876" s="81"/>
      <c r="E876" s="81"/>
      <c r="F876" s="81"/>
      <c r="G876" s="81"/>
      <c r="H876" s="81"/>
    </row>
    <row r="877" spans="4:8">
      <c r="D877" s="81"/>
      <c r="E877" s="81"/>
      <c r="F877" s="81"/>
      <c r="G877" s="81"/>
      <c r="H877" s="81"/>
    </row>
    <row r="878" spans="4:8">
      <c r="D878" s="81"/>
      <c r="E878" s="81"/>
      <c r="F878" s="81"/>
      <c r="G878" s="81"/>
      <c r="H878" s="81"/>
    </row>
    <row r="879" spans="4:8">
      <c r="D879" s="81"/>
      <c r="E879" s="81"/>
      <c r="F879" s="81"/>
      <c r="G879" s="81"/>
      <c r="H879" s="81"/>
    </row>
    <row r="880" spans="4:8">
      <c r="D880" s="81"/>
      <c r="E880" s="81"/>
      <c r="F880" s="81"/>
      <c r="G880" s="81"/>
      <c r="H880" s="81"/>
    </row>
    <row r="881" spans="4:8">
      <c r="D881" s="81"/>
      <c r="E881" s="81"/>
      <c r="F881" s="81"/>
      <c r="G881" s="81"/>
      <c r="H881" s="81"/>
    </row>
    <row r="882" spans="4:8">
      <c r="D882" s="81"/>
      <c r="E882" s="81"/>
      <c r="F882" s="81"/>
      <c r="G882" s="81"/>
      <c r="H882" s="81"/>
    </row>
    <row r="883" spans="4:8">
      <c r="D883" s="81"/>
      <c r="E883" s="81"/>
      <c r="F883" s="81"/>
      <c r="G883" s="81"/>
      <c r="H883" s="81"/>
    </row>
    <row r="884" spans="4:8">
      <c r="D884" s="81"/>
      <c r="E884" s="81"/>
      <c r="F884" s="81"/>
      <c r="G884" s="81"/>
      <c r="H884" s="81"/>
    </row>
    <row r="885" spans="4:8">
      <c r="D885" s="81"/>
      <c r="E885" s="81"/>
      <c r="F885" s="81"/>
      <c r="G885" s="81"/>
      <c r="H885" s="81"/>
    </row>
    <row r="886" spans="4:8">
      <c r="D886" s="81"/>
      <c r="E886" s="81"/>
      <c r="F886" s="81"/>
      <c r="G886" s="81"/>
      <c r="H886" s="81"/>
    </row>
    <row r="887" spans="4:8">
      <c r="D887" s="81"/>
      <c r="E887" s="81"/>
      <c r="F887" s="81"/>
      <c r="G887" s="81"/>
      <c r="H887" s="81"/>
    </row>
    <row r="888" spans="4:8">
      <c r="D888" s="81"/>
      <c r="E888" s="81"/>
      <c r="F888" s="81"/>
      <c r="G888" s="81"/>
      <c r="H888" s="81"/>
    </row>
    <row r="889" spans="4:8">
      <c r="D889" s="81"/>
      <c r="E889" s="81"/>
      <c r="F889" s="81"/>
      <c r="G889" s="81"/>
      <c r="H889" s="81"/>
    </row>
    <row r="890" spans="4:8">
      <c r="D890" s="81"/>
      <c r="E890" s="81"/>
      <c r="F890" s="81"/>
      <c r="G890" s="81"/>
      <c r="H890" s="81"/>
    </row>
    <row r="891" spans="4:8">
      <c r="D891" s="81"/>
      <c r="E891" s="81"/>
      <c r="F891" s="81"/>
      <c r="G891" s="81"/>
      <c r="H891" s="81"/>
    </row>
    <row r="892" spans="4:8">
      <c r="D892" s="81"/>
      <c r="E892" s="81"/>
      <c r="F892" s="81"/>
      <c r="G892" s="81"/>
      <c r="H892" s="81"/>
    </row>
    <row r="893" spans="4:8">
      <c r="D893" s="81"/>
      <c r="E893" s="81"/>
      <c r="F893" s="81"/>
      <c r="G893" s="81"/>
      <c r="H893" s="81"/>
    </row>
    <row r="894" spans="4:8">
      <c r="D894" s="81"/>
      <c r="E894" s="81"/>
      <c r="F894" s="81"/>
      <c r="G894" s="81"/>
      <c r="H894" s="81"/>
    </row>
    <row r="895" spans="4:8">
      <c r="D895" s="81"/>
      <c r="E895" s="81"/>
      <c r="F895" s="81"/>
      <c r="G895" s="81"/>
      <c r="H895" s="81"/>
    </row>
    <row r="896" spans="4:8">
      <c r="D896" s="81"/>
      <c r="E896" s="81"/>
      <c r="F896" s="81"/>
      <c r="G896" s="81"/>
      <c r="H896" s="81"/>
    </row>
    <row r="897" spans="4:8">
      <c r="D897" s="81"/>
      <c r="E897" s="81"/>
      <c r="F897" s="81"/>
      <c r="G897" s="81"/>
      <c r="H897" s="81"/>
    </row>
    <row r="898" spans="4:8">
      <c r="D898" s="81"/>
      <c r="E898" s="81"/>
      <c r="F898" s="81"/>
      <c r="G898" s="81"/>
      <c r="H898" s="81"/>
    </row>
    <row r="899" spans="4:8">
      <c r="D899" s="81"/>
      <c r="E899" s="81"/>
      <c r="F899" s="81"/>
      <c r="G899" s="81"/>
      <c r="H899" s="81"/>
    </row>
    <row r="900" spans="4:8">
      <c r="D900" s="81"/>
      <c r="E900" s="81"/>
      <c r="F900" s="81"/>
      <c r="G900" s="81"/>
      <c r="H900" s="81"/>
    </row>
    <row r="901" spans="4:8">
      <c r="D901" s="81"/>
      <c r="E901" s="81"/>
      <c r="F901" s="81"/>
      <c r="G901" s="81"/>
      <c r="H901" s="81"/>
    </row>
    <row r="902" spans="4:8">
      <c r="D902" s="81"/>
      <c r="E902" s="81"/>
      <c r="F902" s="81"/>
      <c r="G902" s="81"/>
      <c r="H902" s="81"/>
    </row>
    <row r="903" spans="4:8">
      <c r="D903" s="81"/>
      <c r="E903" s="81"/>
      <c r="F903" s="81"/>
      <c r="G903" s="81"/>
      <c r="H903" s="81"/>
    </row>
    <row r="904" spans="4:8">
      <c r="D904" s="81"/>
      <c r="E904" s="81"/>
      <c r="F904" s="81"/>
      <c r="G904" s="81"/>
      <c r="H904" s="81"/>
    </row>
    <row r="905" spans="4:8">
      <c r="D905" s="81"/>
      <c r="E905" s="81"/>
      <c r="F905" s="81"/>
      <c r="G905" s="81"/>
      <c r="H905" s="81"/>
    </row>
    <row r="906" spans="4:8">
      <c r="D906" s="81"/>
      <c r="E906" s="81"/>
      <c r="F906" s="81"/>
      <c r="G906" s="81"/>
      <c r="H906" s="81"/>
    </row>
    <row r="907" spans="4:8">
      <c r="D907" s="81"/>
      <c r="E907" s="81"/>
      <c r="F907" s="81"/>
      <c r="G907" s="81"/>
      <c r="H907" s="81"/>
    </row>
    <row r="908" spans="4:8">
      <c r="D908" s="81"/>
      <c r="E908" s="81"/>
      <c r="F908" s="81"/>
      <c r="G908" s="81"/>
      <c r="H908" s="81"/>
    </row>
    <row r="909" spans="4:8">
      <c r="D909" s="81"/>
      <c r="E909" s="81"/>
      <c r="F909" s="81"/>
      <c r="G909" s="81"/>
      <c r="H909" s="81"/>
    </row>
    <row r="910" spans="4:8">
      <c r="D910" s="81"/>
      <c r="E910" s="81"/>
      <c r="F910" s="81"/>
      <c r="G910" s="81"/>
      <c r="H910" s="81"/>
    </row>
    <row r="911" spans="4:8">
      <c r="D911" s="81"/>
      <c r="E911" s="81"/>
      <c r="F911" s="81"/>
      <c r="G911" s="81"/>
      <c r="H911" s="81"/>
    </row>
    <row r="912" spans="4:8">
      <c r="D912" s="81"/>
      <c r="E912" s="81"/>
      <c r="F912" s="81"/>
      <c r="G912" s="81"/>
      <c r="H912" s="81"/>
    </row>
    <row r="913" spans="4:8">
      <c r="D913" s="81"/>
      <c r="E913" s="81"/>
      <c r="F913" s="81"/>
      <c r="G913" s="81"/>
      <c r="H913" s="81"/>
    </row>
    <row r="914" spans="4:8">
      <c r="D914" s="81"/>
      <c r="E914" s="81"/>
      <c r="F914" s="81"/>
      <c r="G914" s="81"/>
      <c r="H914" s="81"/>
    </row>
    <row r="915" spans="4:8">
      <c r="D915" s="81"/>
      <c r="E915" s="81"/>
      <c r="F915" s="81"/>
      <c r="G915" s="81"/>
      <c r="H915" s="81"/>
    </row>
    <row r="916" spans="4:8">
      <c r="D916" s="81"/>
      <c r="E916" s="81"/>
      <c r="F916" s="81"/>
      <c r="G916" s="81"/>
      <c r="H916" s="81"/>
    </row>
    <row r="917" spans="4:8">
      <c r="D917" s="81"/>
      <c r="E917" s="81"/>
      <c r="F917" s="81"/>
      <c r="G917" s="81"/>
      <c r="H917" s="81"/>
    </row>
    <row r="918" spans="4:8">
      <c r="D918" s="81"/>
      <c r="E918" s="81"/>
      <c r="F918" s="81"/>
      <c r="G918" s="81"/>
      <c r="H918" s="81"/>
    </row>
    <row r="919" spans="4:8">
      <c r="D919" s="81"/>
      <c r="E919" s="81"/>
      <c r="F919" s="81"/>
      <c r="G919" s="81"/>
      <c r="H919" s="81"/>
    </row>
    <row r="920" spans="4:8">
      <c r="D920" s="81"/>
      <c r="E920" s="81"/>
      <c r="F920" s="81"/>
      <c r="G920" s="81"/>
      <c r="H920" s="81"/>
    </row>
    <row r="921" spans="4:8">
      <c r="D921" s="81"/>
      <c r="E921" s="81"/>
      <c r="F921" s="81"/>
      <c r="G921" s="81"/>
      <c r="H921" s="81"/>
    </row>
    <row r="922" spans="4:8">
      <c r="D922" s="81"/>
      <c r="E922" s="81"/>
      <c r="F922" s="81"/>
      <c r="G922" s="81"/>
      <c r="H922" s="81"/>
    </row>
    <row r="923" spans="4:8">
      <c r="D923" s="81"/>
      <c r="E923" s="81"/>
      <c r="F923" s="81"/>
      <c r="G923" s="81"/>
      <c r="H923" s="81"/>
    </row>
    <row r="924" spans="4:8">
      <c r="D924" s="81"/>
      <c r="E924" s="81"/>
      <c r="F924" s="81"/>
      <c r="G924" s="81"/>
      <c r="H924" s="81"/>
    </row>
    <row r="925" spans="4:8">
      <c r="D925" s="81"/>
      <c r="E925" s="81"/>
      <c r="F925" s="81"/>
      <c r="G925" s="81"/>
      <c r="H925" s="81"/>
    </row>
    <row r="926" spans="4:8">
      <c r="D926" s="81"/>
      <c r="E926" s="81"/>
      <c r="F926" s="81"/>
      <c r="G926" s="81"/>
      <c r="H926" s="81"/>
    </row>
    <row r="927" spans="4:8">
      <c r="D927" s="81"/>
      <c r="E927" s="81"/>
      <c r="F927" s="81"/>
      <c r="G927" s="81"/>
      <c r="H927" s="81"/>
    </row>
    <row r="928" spans="4:8">
      <c r="D928" s="81"/>
      <c r="E928" s="81"/>
      <c r="F928" s="81"/>
      <c r="G928" s="81"/>
      <c r="H928" s="81"/>
    </row>
    <row r="929" spans="4:8">
      <c r="D929" s="81"/>
      <c r="E929" s="81"/>
      <c r="F929" s="81"/>
      <c r="G929" s="81"/>
      <c r="H929" s="81"/>
    </row>
    <row r="930" spans="4:8">
      <c r="D930" s="81"/>
      <c r="E930" s="81"/>
      <c r="F930" s="81"/>
      <c r="G930" s="81"/>
      <c r="H930" s="81"/>
    </row>
    <row r="931" spans="4:8">
      <c r="D931" s="81"/>
      <c r="E931" s="81"/>
      <c r="F931" s="81"/>
      <c r="G931" s="81"/>
      <c r="H931" s="81"/>
    </row>
    <row r="932" spans="4:8">
      <c r="D932" s="81"/>
      <c r="E932" s="81"/>
      <c r="F932" s="81"/>
      <c r="G932" s="81"/>
      <c r="H932" s="81"/>
    </row>
    <row r="933" spans="4:8">
      <c r="D933" s="81"/>
      <c r="E933" s="81"/>
      <c r="F933" s="81"/>
      <c r="G933" s="81"/>
      <c r="H933" s="81"/>
    </row>
    <row r="934" spans="4:8">
      <c r="D934" s="81"/>
      <c r="E934" s="81"/>
      <c r="F934" s="81"/>
      <c r="G934" s="81"/>
      <c r="H934" s="81"/>
    </row>
    <row r="935" spans="4:8">
      <c r="D935" s="81"/>
      <c r="E935" s="81"/>
      <c r="F935" s="81"/>
      <c r="G935" s="81"/>
      <c r="H935" s="81"/>
    </row>
    <row r="936" spans="4:8">
      <c r="D936" s="81"/>
      <c r="E936" s="81"/>
      <c r="F936" s="81"/>
      <c r="G936" s="81"/>
      <c r="H936" s="81"/>
    </row>
    <row r="937" spans="4:8">
      <c r="D937" s="81"/>
      <c r="E937" s="81"/>
      <c r="F937" s="81"/>
      <c r="G937" s="81"/>
      <c r="H937" s="81"/>
    </row>
    <row r="938" spans="4:8">
      <c r="D938" s="81"/>
      <c r="E938" s="81"/>
      <c r="F938" s="81"/>
      <c r="G938" s="81"/>
      <c r="H938" s="81"/>
    </row>
    <row r="939" spans="4:8">
      <c r="D939" s="81"/>
      <c r="E939" s="81"/>
      <c r="F939" s="81"/>
      <c r="G939" s="81"/>
      <c r="H939" s="81"/>
    </row>
    <row r="940" spans="4:8">
      <c r="D940" s="81"/>
      <c r="E940" s="81"/>
      <c r="F940" s="81"/>
      <c r="G940" s="81"/>
      <c r="H940" s="81"/>
    </row>
    <row r="941" spans="4:8">
      <c r="D941" s="81"/>
      <c r="E941" s="81"/>
      <c r="F941" s="81"/>
      <c r="G941" s="81"/>
      <c r="H941" s="81"/>
    </row>
    <row r="942" spans="4:8">
      <c r="D942" s="81"/>
      <c r="E942" s="81"/>
      <c r="F942" s="81"/>
      <c r="G942" s="81"/>
      <c r="H942" s="81"/>
    </row>
    <row r="943" spans="4:8">
      <c r="D943" s="81"/>
      <c r="E943" s="81"/>
      <c r="F943" s="81"/>
      <c r="G943" s="81"/>
      <c r="H943" s="81"/>
    </row>
    <row r="944" spans="4:8">
      <c r="D944" s="81"/>
      <c r="E944" s="81"/>
      <c r="F944" s="81"/>
      <c r="G944" s="81"/>
      <c r="H944" s="81"/>
    </row>
    <row r="945" spans="4:8">
      <c r="D945" s="81"/>
      <c r="E945" s="81"/>
      <c r="F945" s="81"/>
      <c r="G945" s="81"/>
      <c r="H945" s="81"/>
    </row>
    <row r="946" spans="4:8">
      <c r="D946" s="81"/>
      <c r="E946" s="81"/>
      <c r="F946" s="81"/>
      <c r="G946" s="81"/>
      <c r="H946" s="81"/>
    </row>
    <row r="947" spans="4:8">
      <c r="D947" s="81"/>
      <c r="E947" s="81"/>
      <c r="F947" s="81"/>
      <c r="G947" s="81"/>
      <c r="H947" s="81"/>
    </row>
    <row r="948" spans="4:8">
      <c r="D948" s="81"/>
      <c r="E948" s="81"/>
      <c r="F948" s="81"/>
      <c r="G948" s="81"/>
      <c r="H948" s="81"/>
    </row>
    <row r="949" spans="4:8">
      <c r="D949" s="81"/>
      <c r="E949" s="81"/>
      <c r="F949" s="81"/>
      <c r="G949" s="81"/>
      <c r="H949" s="81"/>
    </row>
    <row r="950" spans="4:8">
      <c r="D950" s="81"/>
      <c r="E950" s="81"/>
      <c r="F950" s="81"/>
      <c r="G950" s="81"/>
      <c r="H950" s="81"/>
    </row>
    <row r="951" spans="4:8">
      <c r="D951" s="81"/>
      <c r="E951" s="81"/>
      <c r="F951" s="81"/>
      <c r="G951" s="81"/>
      <c r="H951" s="81"/>
    </row>
    <row r="952" spans="4:8">
      <c r="D952" s="81"/>
      <c r="E952" s="81"/>
      <c r="F952" s="81"/>
      <c r="G952" s="81"/>
      <c r="H952" s="81"/>
    </row>
    <row r="953" spans="4:8">
      <c r="D953" s="81"/>
      <c r="E953" s="81"/>
      <c r="F953" s="81"/>
      <c r="G953" s="81"/>
      <c r="H953" s="81"/>
    </row>
    <row r="954" spans="4:8">
      <c r="D954" s="81"/>
      <c r="E954" s="81"/>
      <c r="F954" s="81"/>
      <c r="G954" s="81"/>
      <c r="H954" s="81"/>
    </row>
    <row r="955" spans="4:8">
      <c r="D955" s="81"/>
      <c r="E955" s="81"/>
      <c r="F955" s="81"/>
      <c r="G955" s="81"/>
      <c r="H955" s="81"/>
    </row>
    <row r="956" spans="4:8">
      <c r="D956" s="81"/>
      <c r="E956" s="81"/>
      <c r="F956" s="81"/>
      <c r="G956" s="81"/>
      <c r="H956" s="81"/>
    </row>
    <row r="957" spans="4:8">
      <c r="D957" s="81"/>
      <c r="E957" s="81"/>
      <c r="F957" s="81"/>
      <c r="G957" s="81"/>
      <c r="H957" s="81"/>
    </row>
    <row r="958" spans="4:8">
      <c r="D958" s="81"/>
      <c r="E958" s="81"/>
      <c r="F958" s="81"/>
      <c r="G958" s="81"/>
      <c r="H958" s="81"/>
    </row>
    <row r="959" spans="4:8">
      <c r="D959" s="81"/>
      <c r="E959" s="81"/>
      <c r="F959" s="81"/>
      <c r="G959" s="81"/>
      <c r="H959" s="81"/>
    </row>
    <row r="960" spans="4:8">
      <c r="D960" s="81"/>
      <c r="E960" s="81"/>
      <c r="F960" s="81"/>
      <c r="G960" s="81"/>
      <c r="H960" s="81"/>
    </row>
    <row r="961" spans="4:8">
      <c r="D961" s="81"/>
      <c r="E961" s="81"/>
      <c r="F961" s="81"/>
      <c r="G961" s="81"/>
      <c r="H961" s="81"/>
    </row>
    <row r="962" spans="4:8">
      <c r="D962" s="81"/>
      <c r="E962" s="81"/>
      <c r="F962" s="81"/>
      <c r="G962" s="81"/>
      <c r="H962" s="81"/>
    </row>
    <row r="963" spans="4:8">
      <c r="D963" s="81"/>
      <c r="E963" s="81"/>
      <c r="F963" s="81"/>
      <c r="G963" s="81"/>
      <c r="H963" s="81"/>
    </row>
    <row r="964" spans="4:8">
      <c r="D964" s="81"/>
      <c r="E964" s="81"/>
      <c r="F964" s="81"/>
      <c r="G964" s="81"/>
      <c r="H964" s="81"/>
    </row>
    <row r="965" spans="4:8">
      <c r="D965" s="81"/>
      <c r="E965" s="81"/>
      <c r="F965" s="81"/>
      <c r="G965" s="81"/>
      <c r="H965" s="81"/>
    </row>
    <row r="966" spans="4:8">
      <c r="D966" s="81"/>
      <c r="E966" s="81"/>
      <c r="F966" s="81"/>
      <c r="G966" s="81"/>
      <c r="H966" s="81"/>
    </row>
    <row r="967" spans="4:8">
      <c r="D967" s="81"/>
      <c r="E967" s="81"/>
      <c r="F967" s="81"/>
      <c r="G967" s="81"/>
      <c r="H967" s="81"/>
    </row>
    <row r="968" spans="4:8">
      <c r="D968" s="81"/>
      <c r="E968" s="81"/>
      <c r="F968" s="81"/>
      <c r="G968" s="81"/>
      <c r="H968" s="81"/>
    </row>
    <row r="969" spans="4:8">
      <c r="D969" s="81"/>
      <c r="E969" s="81"/>
      <c r="F969" s="81"/>
      <c r="G969" s="81"/>
      <c r="H969" s="81"/>
    </row>
    <row r="970" spans="4:8">
      <c r="D970" s="81"/>
      <c r="E970" s="81"/>
      <c r="F970" s="81"/>
      <c r="G970" s="81"/>
      <c r="H970" s="81"/>
    </row>
    <row r="971" spans="4:8">
      <c r="D971" s="81"/>
      <c r="E971" s="81"/>
      <c r="F971" s="81"/>
      <c r="G971" s="81"/>
      <c r="H971" s="81"/>
    </row>
    <row r="972" spans="4:8">
      <c r="D972" s="81"/>
      <c r="E972" s="81"/>
      <c r="F972" s="81"/>
      <c r="G972" s="81"/>
      <c r="H972" s="81"/>
    </row>
    <row r="973" spans="4:8">
      <c r="D973" s="81"/>
      <c r="E973" s="81"/>
      <c r="F973" s="81"/>
      <c r="G973" s="81"/>
      <c r="H973" s="81"/>
    </row>
    <row r="974" spans="4:8">
      <c r="D974" s="81"/>
      <c r="E974" s="81"/>
      <c r="F974" s="81"/>
      <c r="G974" s="81"/>
      <c r="H974" s="81"/>
    </row>
    <row r="975" spans="4:8">
      <c r="D975" s="81"/>
      <c r="E975" s="81"/>
      <c r="F975" s="81"/>
      <c r="G975" s="81"/>
      <c r="H975" s="81"/>
    </row>
    <row r="976" spans="4:8">
      <c r="D976" s="81"/>
      <c r="E976" s="81"/>
      <c r="F976" s="81"/>
      <c r="G976" s="81"/>
      <c r="H976" s="81"/>
    </row>
    <row r="977" spans="4:8">
      <c r="D977" s="81"/>
      <c r="E977" s="81"/>
      <c r="F977" s="81"/>
      <c r="G977" s="81"/>
      <c r="H977" s="81"/>
    </row>
    <row r="978" spans="4:8">
      <c r="D978" s="81"/>
      <c r="E978" s="81"/>
      <c r="F978" s="81"/>
      <c r="G978" s="81"/>
      <c r="H978" s="81"/>
    </row>
    <row r="979" spans="4:8">
      <c r="D979" s="81"/>
      <c r="E979" s="81"/>
      <c r="F979" s="81"/>
      <c r="G979" s="81"/>
      <c r="H979" s="81"/>
    </row>
  </sheetData>
  <mergeCells count="32">
    <mergeCell ref="D67:G67"/>
    <mergeCell ref="D68:G68"/>
    <mergeCell ref="D69:G69"/>
    <mergeCell ref="D23:H23"/>
    <mergeCell ref="D24:H24"/>
    <mergeCell ref="D25:H25"/>
    <mergeCell ref="D27:H27"/>
    <mergeCell ref="D28:H28"/>
    <mergeCell ref="D29:H29"/>
    <mergeCell ref="D30:H30"/>
    <mergeCell ref="D63:G63"/>
    <mergeCell ref="I63:T63"/>
    <mergeCell ref="D64:G64"/>
    <mergeCell ref="D65:G65"/>
    <mergeCell ref="D66:G66"/>
    <mergeCell ref="D14:H14"/>
    <mergeCell ref="D15:H15"/>
    <mergeCell ref="B21:B22"/>
    <mergeCell ref="B23:B24"/>
    <mergeCell ref="B25:B28"/>
    <mergeCell ref="D16:H16"/>
    <mergeCell ref="D17:H17"/>
    <mergeCell ref="D18:H18"/>
    <mergeCell ref="D19:H19"/>
    <mergeCell ref="D20:H20"/>
    <mergeCell ref="D21:H21"/>
    <mergeCell ref="D22:H22"/>
    <mergeCell ref="D4:H4"/>
    <mergeCell ref="D5:H5"/>
    <mergeCell ref="D6:H6"/>
    <mergeCell ref="D7:H7"/>
    <mergeCell ref="D13:H13"/>
  </mergeCells>
  <dataValidations count="13">
    <dataValidation type="list" allowBlank="1" showErrorMessage="1" sqref="D16">
      <formula1>#REF!</formula1>
    </dataValidation>
    <dataValidation type="list" allowBlank="1" showErrorMessage="1" sqref="D21">
      <formula1>#REF!</formula1>
    </dataValidation>
    <dataValidation type="list" allowBlank="1" showErrorMessage="1" sqref="D17">
      <formula1>#REF!</formula1>
    </dataValidation>
    <dataValidation type="list" allowBlank="1" showErrorMessage="1" sqref="D14">
      <formula1>#REF!</formula1>
    </dataValidation>
    <dataValidation type="list" allowBlank="1" showErrorMessage="1" sqref="A42:B42">
      <formula1>#REF!</formula1>
    </dataValidation>
    <dataValidation type="list" allowBlank="1" showErrorMessage="1" sqref="D20">
      <formula1>#REF!</formula1>
    </dataValidation>
    <dataValidation type="list" allowBlank="1" showErrorMessage="1" sqref="D22">
      <formula1>#REF!</formula1>
    </dataValidation>
    <dataValidation type="list" allowBlank="1" showErrorMessage="1" sqref="D63">
      <formula1>#REF!</formula1>
    </dataValidation>
    <dataValidation type="list" allowBlank="1" showErrorMessage="1" sqref="A35:B35 A38:B38 D65">
      <formula1>#REF!</formula1>
    </dataValidation>
    <dataValidation type="list" allowBlank="1" showErrorMessage="1" sqref="D64">
      <formula1>#REF!</formula1>
    </dataValidation>
    <dataValidation type="list" allowBlank="1" showErrorMessage="1" sqref="D15">
      <formula1>#REF!</formula1>
    </dataValidation>
    <dataValidation type="list" allowBlank="1" showErrorMessage="1" sqref="D67">
      <formula1>#REF!</formula1>
    </dataValidation>
    <dataValidation type="list" allowBlank="1" showErrorMessage="1" sqref="D18">
      <formula1>#REF!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L1000"/>
  <sheetViews>
    <sheetView workbookViewId="0">
      <pane ySplit="1" topLeftCell="A2" activePane="bottomLeft" state="frozen"/>
      <selection pane="bottomLeft" activeCell="B3" sqref="B3"/>
    </sheetView>
  </sheetViews>
  <sheetFormatPr baseColWidth="10" defaultColWidth="14.42578125" defaultRowHeight="15" customHeight="1"/>
  <cols>
    <col min="1" max="1" width="11.85546875" customWidth="1"/>
    <col min="2" max="2" width="18.140625" customWidth="1"/>
    <col min="4" max="4" width="32.7109375" customWidth="1"/>
    <col min="5" max="5" width="23.7109375" customWidth="1"/>
    <col min="6" max="6" width="14.42578125" customWidth="1"/>
    <col min="7" max="7" width="13.42578125" customWidth="1"/>
  </cols>
  <sheetData>
    <row r="1" spans="1:12">
      <c r="A1" s="114" t="str">
        <f ca="1">IFERROR(__xludf.DUMMYFUNCTION("QUERY(MIR!B32:AO49, ""select B,C,L,AD,N,AE"",1)"),"POBLACIÓN BENEFICIARIA POR BIEN Y/O SERVICIO")</f>
        <v>POBLACIÓN BENEFICIARIA POR BIEN Y/O SERVICIO</v>
      </c>
      <c r="B1" s="115" t="str">
        <f ca="1">IFERROR(__xludf.DUMMYFUNCTION("""COMPUTED_VALUE"""),"RESUMEN NARRATIVO")</f>
        <v>RESUMEN NARRATIVO</v>
      </c>
      <c r="C1" s="115" t="str">
        <f ca="1">IFERROR(__xludf.DUMMYFUNCTION("""COMPUTED_VALUE"""),"FRECUENCIA DE MEDICIÓN")</f>
        <v>FRECUENCIA DE MEDICIÓN</v>
      </c>
      <c r="D1" s="115" t="str">
        <f ca="1">IFERROR(__xludf.DUMMYFUNCTION("""COMPUTED_VALUE"""),"DICIEMBRE")</f>
        <v>DICIEMBRE</v>
      </c>
      <c r="E1" s="115" t="str">
        <f ca="1">IFERROR(__xludf.DUMMYFUNCTION("""COMPUTED_VALUE"""),"LINEA BASE")</f>
        <v>LINEA BASE</v>
      </c>
      <c r="F1" s="116" t="str">
        <f ca="1">IFERROR(__xludf.DUMMYFUNCTION("""COMPUTED_VALUE"""),"Acumulado total")</f>
        <v>Acumulado total</v>
      </c>
      <c r="G1" s="117" t="s">
        <v>253</v>
      </c>
      <c r="H1" s="115"/>
      <c r="I1" s="115"/>
      <c r="J1" s="115"/>
      <c r="K1" s="115"/>
      <c r="L1" s="115"/>
    </row>
    <row r="2" spans="1:12">
      <c r="A2" s="115"/>
      <c r="B2" s="115" t="str">
        <f ca="1">IFERROR(__xludf.DUMMYFUNCTION("""COMPUTED_VALUE"""),"FIN")</f>
        <v>FIN</v>
      </c>
      <c r="C2" s="115" t="str">
        <f ca="1">IFERROR(__xludf.DUMMYFUNCTION("""COMPUTED_VALUE"""),"Anual")</f>
        <v>Anual</v>
      </c>
      <c r="D2" s="115"/>
      <c r="E2" s="115" t="str">
        <f ca="1">IFERROR(__xludf.DUMMYFUNCTION("""COMPUTED_VALUE"""),"No disponible")</f>
        <v>No disponible</v>
      </c>
      <c r="F2" s="118">
        <f ca="1">IFERROR(__xludf.DUMMYFUNCTION("""COMPUTED_VALUE"""),30322)</f>
        <v>30322</v>
      </c>
      <c r="G2" s="119" t="b">
        <v>1</v>
      </c>
      <c r="H2" s="115"/>
      <c r="I2" s="115"/>
      <c r="J2" s="115"/>
      <c r="K2" s="115"/>
      <c r="L2" s="120" t="s">
        <v>254</v>
      </c>
    </row>
    <row r="3" spans="1:12">
      <c r="A3" s="115" t="str">
        <f ca="1">IFERROR(__xludf.DUMMYFUNCTION("""COMPUTED_VALUE"""),"")</f>
        <v></v>
      </c>
      <c r="B3" s="115" t="str">
        <f ca="1">IFERROR(__xludf.DUMMYFUNCTION("""COMPUTED_VALUE"""),"PROPÓSITO")</f>
        <v>PROPÓSITO</v>
      </c>
      <c r="C3" s="115" t="str">
        <f ca="1">IFERROR(__xludf.DUMMYFUNCTION("""COMPUTED_VALUE"""),"Anual")</f>
        <v>Anual</v>
      </c>
      <c r="D3" s="115"/>
      <c r="E3" s="115" t="str">
        <f ca="1">IFERROR(__xludf.DUMMYFUNCTION("""COMPUTED_VALUE"""),"No disponible")</f>
        <v>No disponible</v>
      </c>
      <c r="F3" s="118">
        <f ca="1">IFERROR(__xludf.DUMMYFUNCTION("""COMPUTED_VALUE"""),12699)</f>
        <v>12699</v>
      </c>
      <c r="G3" s="119" t="b">
        <v>1</v>
      </c>
      <c r="H3" s="115"/>
      <c r="I3" s="115"/>
      <c r="J3" s="115"/>
      <c r="K3" s="115"/>
      <c r="L3" s="120" t="s">
        <v>254</v>
      </c>
    </row>
    <row r="4" spans="1:12">
      <c r="A4" s="115" t="str">
        <f ca="1">IFERROR(__xludf.DUMMYFUNCTION("""COMPUTED_VALUE"""),"03. Niños")</f>
        <v>03. Niños</v>
      </c>
      <c r="B4" s="115" t="str">
        <f ca="1">IFERROR(__xludf.DUMMYFUNCTION("""COMPUTED_VALUE"""),"COMPONENTE 1")</f>
        <v>COMPONENTE 1</v>
      </c>
      <c r="C4" s="115" t="str">
        <f ca="1">IFERROR(__xludf.DUMMYFUNCTION("""COMPUTED_VALUE"""),"Mensual")</f>
        <v>Mensual</v>
      </c>
      <c r="D4" s="115">
        <f ca="1">IFERROR(__xludf.DUMMYFUNCTION("""COMPUTED_VALUE"""),764)</f>
        <v>764</v>
      </c>
      <c r="E4" s="115" t="str">
        <f ca="1">IFERROR(__xludf.DUMMYFUNCTION("""COMPUTED_VALUE"""),"No disponible")</f>
        <v>No disponible</v>
      </c>
      <c r="F4" s="118">
        <f ca="1">IFERROR(__xludf.DUMMYFUNCTION("""COMPUTED_VALUE"""),8421)</f>
        <v>8421</v>
      </c>
      <c r="G4" s="119" t="b">
        <v>1</v>
      </c>
      <c r="H4" s="115"/>
      <c r="I4" s="115"/>
      <c r="J4" s="115"/>
      <c r="K4" s="115"/>
      <c r="L4" s="120" t="s">
        <v>254</v>
      </c>
    </row>
    <row r="5" spans="1:12">
      <c r="A5" s="115"/>
      <c r="B5" s="115" t="str">
        <f ca="1">IFERROR(__xludf.DUMMYFUNCTION("""COMPUTED_VALUE"""),"ACTIVIDAD 1.1")</f>
        <v>ACTIVIDAD 1.1</v>
      </c>
      <c r="C5" s="115" t="str">
        <f ca="1">IFERROR(__xludf.DUMMYFUNCTION("""COMPUTED_VALUE"""),"Mensual")</f>
        <v>Mensual</v>
      </c>
      <c r="D5" s="115">
        <f ca="1">IFERROR(__xludf.DUMMYFUNCTION("""COMPUTED_VALUE"""),565)</f>
        <v>565</v>
      </c>
      <c r="E5" s="115" t="str">
        <f ca="1">IFERROR(__xludf.DUMMYFUNCTION("""COMPUTED_VALUE"""),"No disponible")</f>
        <v>No disponible</v>
      </c>
      <c r="F5" s="118">
        <f ca="1">IFERROR(__xludf.DUMMYFUNCTION("""COMPUTED_VALUE"""),5913)</f>
        <v>5913</v>
      </c>
      <c r="G5" s="119" t="b">
        <v>1</v>
      </c>
      <c r="H5" s="115"/>
      <c r="I5" s="115"/>
      <c r="J5" s="115"/>
      <c r="K5" s="115"/>
      <c r="L5" s="120" t="s">
        <v>254</v>
      </c>
    </row>
    <row r="6" spans="1:12">
      <c r="A6" s="115"/>
      <c r="B6" s="115" t="str">
        <f ca="1">IFERROR(__xludf.DUMMYFUNCTION("""COMPUTED_VALUE"""),"ACTIVIDAD 1.2")</f>
        <v>ACTIVIDAD 1.2</v>
      </c>
      <c r="C6" s="115" t="str">
        <f ca="1">IFERROR(__xludf.DUMMYFUNCTION("""COMPUTED_VALUE"""),"Mensual")</f>
        <v>Mensual</v>
      </c>
      <c r="D6" s="115">
        <f ca="1">IFERROR(__xludf.DUMMYFUNCTION("""COMPUTED_VALUE"""),199)</f>
        <v>199</v>
      </c>
      <c r="E6" s="115" t="str">
        <f ca="1">IFERROR(__xludf.DUMMYFUNCTION("""COMPUTED_VALUE"""),"No disponible")</f>
        <v>No disponible</v>
      </c>
      <c r="F6" s="118">
        <f ca="1">IFERROR(__xludf.DUMMYFUNCTION("""COMPUTED_VALUE"""),2327)</f>
        <v>2327</v>
      </c>
      <c r="G6" s="119" t="b">
        <v>1</v>
      </c>
      <c r="H6" s="115"/>
      <c r="I6" s="115"/>
      <c r="J6" s="115"/>
      <c r="K6" s="115"/>
      <c r="L6" s="120" t="s">
        <v>254</v>
      </c>
    </row>
    <row r="7" spans="1:12">
      <c r="A7" s="115" t="str">
        <f ca="1">IFERROR(__xludf.DUMMYFUNCTION("""COMPUTED_VALUE"""),"03. Niños")</f>
        <v>03. Niños</v>
      </c>
      <c r="B7" s="115" t="str">
        <f ca="1">IFERROR(__xludf.DUMMYFUNCTION("""COMPUTED_VALUE"""),"COMPONENTE 2")</f>
        <v>COMPONENTE 2</v>
      </c>
      <c r="C7" s="115" t="str">
        <f ca="1">IFERROR(__xludf.DUMMYFUNCTION("""COMPUTED_VALUE"""),"Mensual")</f>
        <v>Mensual</v>
      </c>
      <c r="D7" s="115">
        <f ca="1">IFERROR(__xludf.DUMMYFUNCTION("""COMPUTED_VALUE"""),778)</f>
        <v>778</v>
      </c>
      <c r="E7" s="115" t="str">
        <f ca="1">IFERROR(__xludf.DUMMYFUNCTION("""COMPUTED_VALUE"""),"No disponible")</f>
        <v>No disponible</v>
      </c>
      <c r="F7" s="118">
        <f ca="1">IFERROR(__xludf.DUMMYFUNCTION("""COMPUTED_VALUE"""),10872)</f>
        <v>10872</v>
      </c>
      <c r="G7" s="119" t="b">
        <v>1</v>
      </c>
      <c r="H7" s="115"/>
      <c r="I7" s="115"/>
      <c r="J7" s="115"/>
      <c r="K7" s="115"/>
      <c r="L7" s="120" t="s">
        <v>254</v>
      </c>
    </row>
    <row r="8" spans="1:12">
      <c r="A8" s="115"/>
      <c r="B8" s="115" t="str">
        <f ca="1">IFERROR(__xludf.DUMMYFUNCTION("""COMPUTED_VALUE"""),"ACTIVIDAD 2.1")</f>
        <v>ACTIVIDAD 2.1</v>
      </c>
      <c r="C8" s="115" t="str">
        <f ca="1">IFERROR(__xludf.DUMMYFUNCTION("""COMPUTED_VALUE"""),"Mensual")</f>
        <v>Mensual</v>
      </c>
      <c r="D8" s="115">
        <f ca="1">IFERROR(__xludf.DUMMYFUNCTION("""COMPUTED_VALUE"""),153)</f>
        <v>153</v>
      </c>
      <c r="E8" s="115" t="str">
        <f ca="1">IFERROR(__xludf.DUMMYFUNCTION("""COMPUTED_VALUE"""),"No disponible")</f>
        <v>No disponible</v>
      </c>
      <c r="F8" s="118">
        <f ca="1">IFERROR(__xludf.DUMMYFUNCTION("""COMPUTED_VALUE"""),3272)</f>
        <v>3272</v>
      </c>
      <c r="G8" s="119" t="b">
        <v>1</v>
      </c>
      <c r="H8" s="115"/>
      <c r="I8" s="115"/>
      <c r="J8" s="115"/>
      <c r="K8" s="115"/>
      <c r="L8" s="120" t="s">
        <v>254</v>
      </c>
    </row>
    <row r="9" spans="1:12">
      <c r="A9" s="115"/>
      <c r="B9" s="115" t="str">
        <f ca="1">IFERROR(__xludf.DUMMYFUNCTION("""COMPUTED_VALUE"""),"ACTIVIDAD 2.2")</f>
        <v>ACTIVIDAD 2.2</v>
      </c>
      <c r="C9" s="115" t="str">
        <f ca="1">IFERROR(__xludf.DUMMYFUNCTION("""COMPUTED_VALUE"""),"Mensual")</f>
        <v>Mensual</v>
      </c>
      <c r="D9" s="115">
        <f ca="1">IFERROR(__xludf.DUMMYFUNCTION("""COMPUTED_VALUE"""),625)</f>
        <v>625</v>
      </c>
      <c r="E9" s="115" t="str">
        <f ca="1">IFERROR(__xludf.DUMMYFUNCTION("""COMPUTED_VALUE"""),"No disponible")</f>
        <v>No disponible</v>
      </c>
      <c r="F9" s="118">
        <f ca="1">IFERROR(__xludf.DUMMYFUNCTION("""COMPUTED_VALUE"""),7520)</f>
        <v>7520</v>
      </c>
      <c r="G9" s="119" t="b">
        <v>1</v>
      </c>
      <c r="H9" s="115"/>
      <c r="I9" s="115"/>
      <c r="J9" s="115"/>
      <c r="K9" s="115"/>
      <c r="L9" s="120" t="s">
        <v>254</v>
      </c>
    </row>
    <row r="10" spans="1:12">
      <c r="A10" s="115"/>
      <c r="B10" s="115" t="str">
        <f ca="1">IFERROR(__xludf.DUMMYFUNCTION("""COMPUTED_VALUE"""),"ACTIVIDAD 2.3")</f>
        <v>ACTIVIDAD 2.3</v>
      </c>
      <c r="C10" s="115" t="str">
        <f ca="1">IFERROR(__xludf.DUMMYFUNCTION("""COMPUTED_VALUE"""),"Mensual")</f>
        <v>Mensual</v>
      </c>
      <c r="D10" s="115">
        <f ca="1">IFERROR(__xludf.DUMMYFUNCTION("""COMPUTED_VALUE"""),0)</f>
        <v>0</v>
      </c>
      <c r="E10" s="115" t="str">
        <f ca="1">IFERROR(__xludf.DUMMYFUNCTION("""COMPUTED_VALUE"""),"64")</f>
        <v>64</v>
      </c>
      <c r="F10" s="118">
        <f ca="1">IFERROR(__xludf.DUMMYFUNCTION("""COMPUTED_VALUE"""),80)</f>
        <v>80</v>
      </c>
      <c r="G10" s="119" t="b">
        <v>1</v>
      </c>
      <c r="H10" s="115"/>
      <c r="I10" s="115"/>
      <c r="J10" s="115"/>
      <c r="K10" s="115"/>
      <c r="L10" s="120" t="s">
        <v>254</v>
      </c>
    </row>
    <row r="11" spans="1:12">
      <c r="A11" s="115" t="str">
        <f ca="1">IFERROR(__xludf.DUMMYFUNCTION("""COMPUTED_VALUE"""),"03. Niños")</f>
        <v>03. Niños</v>
      </c>
      <c r="B11" s="115" t="str">
        <f ca="1">IFERROR(__xludf.DUMMYFUNCTION("""COMPUTED_VALUE"""),"COMPONENTE 3")</f>
        <v>COMPONENTE 3</v>
      </c>
      <c r="C11" s="115" t="str">
        <f ca="1">IFERROR(__xludf.DUMMYFUNCTION("""COMPUTED_VALUE"""),"Mensual")</f>
        <v>Mensual</v>
      </c>
      <c r="D11" s="115">
        <f ca="1">IFERROR(__xludf.DUMMYFUNCTION("""COMPUTED_VALUE"""),159)</f>
        <v>159</v>
      </c>
      <c r="E11" s="115" t="str">
        <f ca="1">IFERROR(__xludf.DUMMYFUNCTION("""COMPUTED_VALUE"""),"No disponible")</f>
        <v>No disponible</v>
      </c>
      <c r="F11" s="118">
        <f ca="1">IFERROR(__xludf.DUMMYFUNCTION("""COMPUTED_VALUE"""),1925)</f>
        <v>1925</v>
      </c>
      <c r="G11" s="119" t="b">
        <v>1</v>
      </c>
      <c r="H11" s="115"/>
      <c r="I11" s="115"/>
      <c r="J11" s="115"/>
      <c r="K11" s="115"/>
      <c r="L11" s="120" t="s">
        <v>254</v>
      </c>
    </row>
    <row r="12" spans="1:12">
      <c r="A12" s="115"/>
      <c r="B12" s="115" t="str">
        <f ca="1">IFERROR(__xludf.DUMMYFUNCTION("""COMPUTED_VALUE"""),"ACTIVIDAD 3.1")</f>
        <v>ACTIVIDAD 3.1</v>
      </c>
      <c r="C12" s="115" t="str">
        <f ca="1">IFERROR(__xludf.DUMMYFUNCTION("""COMPUTED_VALUE"""),"Mensual")</f>
        <v>Mensual</v>
      </c>
      <c r="D12" s="115">
        <f ca="1">IFERROR(__xludf.DUMMYFUNCTION("""COMPUTED_VALUE"""),11)</f>
        <v>11</v>
      </c>
      <c r="E12" s="115" t="str">
        <f ca="1">IFERROR(__xludf.DUMMYFUNCTION("""COMPUTED_VALUE"""),"No disponible")</f>
        <v>No disponible</v>
      </c>
      <c r="F12" s="118">
        <f ca="1">IFERROR(__xludf.DUMMYFUNCTION("""COMPUTED_VALUE"""),282)</f>
        <v>282</v>
      </c>
      <c r="G12" s="119" t="b">
        <v>1</v>
      </c>
      <c r="H12" s="115"/>
      <c r="I12" s="115"/>
      <c r="J12" s="115"/>
      <c r="K12" s="115"/>
      <c r="L12" s="120" t="s">
        <v>254</v>
      </c>
    </row>
    <row r="13" spans="1:12">
      <c r="A13" s="115"/>
      <c r="B13" s="115" t="str">
        <f ca="1">IFERROR(__xludf.DUMMYFUNCTION("""COMPUTED_VALUE"""),"ACTIVIDAD 3.2 ")</f>
        <v xml:space="preserve">ACTIVIDAD 3.2 </v>
      </c>
      <c r="C13" s="115" t="str">
        <f ca="1">IFERROR(__xludf.DUMMYFUNCTION("""COMPUTED_VALUE"""),"Mensual")</f>
        <v>Mensual</v>
      </c>
      <c r="D13" s="115">
        <f ca="1">IFERROR(__xludf.DUMMYFUNCTION("""COMPUTED_VALUE"""),67)</f>
        <v>67</v>
      </c>
      <c r="E13" s="115" t="str">
        <f ca="1">IFERROR(__xludf.DUMMYFUNCTION("""COMPUTED_VALUE"""),"No disponible")</f>
        <v>No disponible</v>
      </c>
      <c r="F13" s="118">
        <f ca="1">IFERROR(__xludf.DUMMYFUNCTION("""COMPUTED_VALUE"""),1224)</f>
        <v>1224</v>
      </c>
      <c r="G13" s="119" t="b">
        <v>1</v>
      </c>
      <c r="H13" s="115"/>
      <c r="I13" s="115"/>
      <c r="J13" s="115"/>
      <c r="K13" s="115"/>
      <c r="L13" s="120" t="s">
        <v>254</v>
      </c>
    </row>
    <row r="14" spans="1:12">
      <c r="A14" s="115"/>
      <c r="B14" s="115" t="str">
        <f ca="1">IFERROR(__xludf.DUMMYFUNCTION("""COMPUTED_VALUE"""),"ACTIVIDAD 3.3")</f>
        <v>ACTIVIDAD 3.3</v>
      </c>
      <c r="C14" s="115" t="str">
        <f ca="1">IFERROR(__xludf.DUMMYFUNCTION("""COMPUTED_VALUE"""),"Mensual")</f>
        <v>Mensual</v>
      </c>
      <c r="D14" s="115">
        <f ca="1">IFERROR(__xludf.DUMMYFUNCTION("""COMPUTED_VALUE"""),17)</f>
        <v>17</v>
      </c>
      <c r="E14" s="115" t="str">
        <f ca="1">IFERROR(__xludf.DUMMYFUNCTION("""COMPUTED_VALUE"""),"No disponible")</f>
        <v>No disponible</v>
      </c>
      <c r="F14" s="118">
        <f ca="1">IFERROR(__xludf.DUMMYFUNCTION("""COMPUTED_VALUE"""),296)</f>
        <v>296</v>
      </c>
      <c r="G14" s="119" t="b">
        <v>1</v>
      </c>
      <c r="H14" s="115"/>
      <c r="I14" s="115"/>
      <c r="J14" s="115"/>
      <c r="K14" s="115"/>
      <c r="L14" s="120" t="s">
        <v>254</v>
      </c>
    </row>
    <row r="15" spans="1:12">
      <c r="A15" s="115"/>
      <c r="B15" s="115" t="str">
        <f ca="1">IFERROR(__xludf.DUMMYFUNCTION("""COMPUTED_VALUE"""),"ACTIVIDAD 3.4")</f>
        <v>ACTIVIDAD 3.4</v>
      </c>
      <c r="C15" s="115" t="str">
        <f ca="1">IFERROR(__xludf.DUMMYFUNCTION("""COMPUTED_VALUE"""),"Mensual")</f>
        <v>Mensual</v>
      </c>
      <c r="D15" s="115">
        <f ca="1">IFERROR(__xludf.DUMMYFUNCTION("""COMPUTED_VALUE"""),10)</f>
        <v>10</v>
      </c>
      <c r="E15" s="115" t="str">
        <f ca="1">IFERROR(__xludf.DUMMYFUNCTION("""COMPUTED_VALUE"""),"No disponible")</f>
        <v>No disponible</v>
      </c>
      <c r="F15" s="118">
        <f ca="1">IFERROR(__xludf.DUMMYFUNCTION("""COMPUTED_VALUE"""),256)</f>
        <v>256</v>
      </c>
      <c r="G15" s="119" t="b">
        <v>1</v>
      </c>
      <c r="H15" s="115"/>
      <c r="I15" s="115"/>
      <c r="J15" s="115"/>
      <c r="K15" s="115"/>
      <c r="L15" s="120" t="s">
        <v>254</v>
      </c>
    </row>
    <row r="16" spans="1:12">
      <c r="A16" s="115"/>
      <c r="B16" s="115" t="str">
        <f ca="1">IFERROR(__xludf.DUMMYFUNCTION("""COMPUTED_VALUE"""),"ACTIVIDAD 3.5")</f>
        <v>ACTIVIDAD 3.5</v>
      </c>
      <c r="C16" s="115" t="str">
        <f ca="1">IFERROR(__xludf.DUMMYFUNCTION("""COMPUTED_VALUE"""),"Mensual")</f>
        <v>Mensual</v>
      </c>
      <c r="D16" s="115">
        <f ca="1">IFERROR(__xludf.DUMMYFUNCTION("""COMPUTED_VALUE"""),14)</f>
        <v>14</v>
      </c>
      <c r="E16" s="115" t="str">
        <f ca="1">IFERROR(__xludf.DUMMYFUNCTION("""COMPUTED_VALUE"""),"No disponible")</f>
        <v>No disponible</v>
      </c>
      <c r="F16" s="118">
        <f ca="1">IFERROR(__xludf.DUMMYFUNCTION("""COMPUTED_VALUE"""),710)</f>
        <v>710</v>
      </c>
      <c r="G16" s="119" t="b">
        <v>1</v>
      </c>
      <c r="H16" s="115"/>
      <c r="I16" s="115"/>
      <c r="J16" s="115"/>
      <c r="K16" s="115"/>
      <c r="L16" s="120" t="s">
        <v>254</v>
      </c>
    </row>
    <row r="17" spans="1:12">
      <c r="A17" s="115"/>
      <c r="B17" s="115"/>
      <c r="C17" s="115"/>
      <c r="D17" s="115"/>
      <c r="E17" s="115"/>
      <c r="F17" s="121"/>
      <c r="G17" s="122"/>
      <c r="H17" s="115"/>
      <c r="I17" s="115"/>
      <c r="J17" s="115"/>
      <c r="K17" s="115"/>
      <c r="L17" s="115"/>
    </row>
    <row r="18" spans="1:12">
      <c r="A18" s="115"/>
      <c r="B18" s="115"/>
      <c r="C18" s="115"/>
      <c r="D18" s="115"/>
      <c r="E18" s="115"/>
      <c r="F18" s="121"/>
      <c r="G18" s="122"/>
      <c r="H18" s="115"/>
      <c r="I18" s="115"/>
      <c r="J18" s="115"/>
      <c r="K18" s="115"/>
      <c r="L18" s="115"/>
    </row>
    <row r="19" spans="1:12">
      <c r="A19" s="115"/>
      <c r="B19" s="115"/>
      <c r="C19" s="115"/>
      <c r="D19" s="115"/>
      <c r="E19" s="115"/>
      <c r="F19" s="121"/>
      <c r="G19" s="122"/>
      <c r="H19" s="115"/>
      <c r="I19" s="115"/>
      <c r="J19" s="115"/>
      <c r="K19" s="115"/>
      <c r="L19" s="115"/>
    </row>
    <row r="20" spans="1:12">
      <c r="A20" s="115"/>
      <c r="B20" s="115"/>
      <c r="C20" s="115"/>
      <c r="D20" s="115"/>
      <c r="E20" s="115"/>
      <c r="F20" s="121"/>
      <c r="G20" s="122"/>
      <c r="H20" s="115"/>
      <c r="I20" s="115"/>
      <c r="J20" s="115"/>
      <c r="K20" s="115"/>
      <c r="L20" s="115"/>
    </row>
    <row r="21" spans="1:12">
      <c r="A21" s="115"/>
      <c r="B21" s="115"/>
      <c r="C21" s="115"/>
      <c r="D21" s="115"/>
      <c r="E21" s="115"/>
      <c r="F21" s="121"/>
      <c r="G21" s="122"/>
      <c r="H21" s="115"/>
      <c r="I21" s="115"/>
      <c r="J21" s="115"/>
      <c r="K21" s="115"/>
      <c r="L21" s="115"/>
    </row>
    <row r="22" spans="1:12">
      <c r="A22" s="115"/>
      <c r="B22" s="115"/>
      <c r="C22" s="115"/>
      <c r="D22" s="115"/>
      <c r="E22" s="115"/>
      <c r="F22" s="121"/>
      <c r="G22" s="122"/>
      <c r="H22" s="115"/>
      <c r="I22" s="115"/>
      <c r="J22" s="115"/>
      <c r="K22" s="115"/>
      <c r="L22" s="115"/>
    </row>
    <row r="23" spans="1:12">
      <c r="A23" s="115"/>
      <c r="B23" s="115"/>
      <c r="C23" s="115"/>
      <c r="D23" s="115"/>
      <c r="E23" s="115"/>
      <c r="F23" s="121"/>
      <c r="G23" s="122"/>
      <c r="H23" s="115"/>
      <c r="I23" s="115"/>
      <c r="J23" s="115"/>
      <c r="K23" s="115"/>
      <c r="L23" s="115"/>
    </row>
    <row r="24" spans="1:12">
      <c r="A24" s="115"/>
      <c r="B24" s="115"/>
      <c r="C24" s="115"/>
      <c r="D24" s="115"/>
      <c r="E24" s="115"/>
      <c r="F24" s="121"/>
      <c r="G24" s="122"/>
      <c r="H24" s="115"/>
      <c r="I24" s="115"/>
      <c r="J24" s="115"/>
      <c r="K24" s="115"/>
      <c r="L24" s="115"/>
    </row>
    <row r="25" spans="1:12">
      <c r="A25" s="115"/>
      <c r="B25" s="115"/>
      <c r="C25" s="115"/>
      <c r="D25" s="115"/>
      <c r="E25" s="115"/>
      <c r="F25" s="121"/>
      <c r="G25" s="122"/>
      <c r="H25" s="115"/>
      <c r="I25" s="115"/>
      <c r="J25" s="115"/>
      <c r="K25" s="115"/>
      <c r="L25" s="115"/>
    </row>
    <row r="26" spans="1:12">
      <c r="A26" s="115"/>
      <c r="B26" s="115"/>
      <c r="C26" s="115"/>
      <c r="D26" s="115"/>
      <c r="E26" s="115"/>
      <c r="F26" s="121"/>
      <c r="G26" s="122"/>
      <c r="H26" s="115"/>
      <c r="I26" s="115"/>
      <c r="J26" s="115"/>
      <c r="K26" s="115"/>
      <c r="L26" s="115"/>
    </row>
    <row r="27" spans="1:12">
      <c r="A27" s="115"/>
      <c r="B27" s="115"/>
      <c r="C27" s="115"/>
      <c r="D27" s="115"/>
      <c r="E27" s="115"/>
      <c r="F27" s="121"/>
      <c r="G27" s="122"/>
      <c r="H27" s="115"/>
      <c r="I27" s="115"/>
      <c r="J27" s="115"/>
      <c r="K27" s="115"/>
      <c r="L27" s="115"/>
    </row>
    <row r="28" spans="1:12">
      <c r="A28" s="115"/>
      <c r="B28" s="115"/>
      <c r="C28" s="115"/>
      <c r="D28" s="115"/>
      <c r="E28" s="115"/>
      <c r="F28" s="121"/>
      <c r="G28" s="122"/>
      <c r="H28" s="115"/>
      <c r="I28" s="115"/>
      <c r="J28" s="115"/>
      <c r="K28" s="115"/>
      <c r="L28" s="115"/>
    </row>
    <row r="29" spans="1:12">
      <c r="A29" s="115"/>
      <c r="B29" s="115"/>
      <c r="C29" s="115"/>
      <c r="D29" s="115"/>
      <c r="E29" s="115"/>
      <c r="F29" s="121"/>
      <c r="G29" s="122"/>
      <c r="H29" s="115"/>
      <c r="I29" s="115"/>
      <c r="J29" s="115"/>
      <c r="K29" s="115"/>
      <c r="L29" s="115"/>
    </row>
    <row r="30" spans="1:12">
      <c r="A30" s="115"/>
      <c r="B30" s="115"/>
      <c r="C30" s="115"/>
      <c r="D30" s="115"/>
      <c r="E30" s="115"/>
      <c r="F30" s="121"/>
      <c r="G30" s="122"/>
      <c r="H30" s="115"/>
      <c r="I30" s="115"/>
      <c r="J30" s="115"/>
      <c r="K30" s="115"/>
      <c r="L30" s="115"/>
    </row>
    <row r="31" spans="1:12">
      <c r="A31" s="115"/>
      <c r="B31" s="115"/>
      <c r="C31" s="115"/>
      <c r="D31" s="115"/>
      <c r="E31" s="115"/>
      <c r="F31" s="121"/>
      <c r="G31" s="122"/>
      <c r="H31" s="115"/>
      <c r="I31" s="115"/>
      <c r="J31" s="115"/>
      <c r="K31" s="115"/>
      <c r="L31" s="115"/>
    </row>
    <row r="32" spans="1:12">
      <c r="A32" s="115"/>
      <c r="B32" s="115"/>
      <c r="C32" s="115"/>
      <c r="D32" s="115"/>
      <c r="E32" s="115"/>
      <c r="F32" s="121"/>
      <c r="G32" s="122"/>
      <c r="H32" s="115"/>
      <c r="I32" s="115"/>
      <c r="J32" s="115"/>
      <c r="K32" s="115"/>
      <c r="L32" s="115"/>
    </row>
    <row r="33" spans="1:12">
      <c r="A33" s="115"/>
      <c r="B33" s="115"/>
      <c r="C33" s="115"/>
      <c r="D33" s="115"/>
      <c r="E33" s="115"/>
      <c r="F33" s="121"/>
      <c r="G33" s="122"/>
      <c r="H33" s="115"/>
      <c r="I33" s="115"/>
      <c r="J33" s="115"/>
      <c r="K33" s="115"/>
      <c r="L33" s="115"/>
    </row>
    <row r="34" spans="1:12">
      <c r="A34" s="115"/>
      <c r="B34" s="115"/>
      <c r="C34" s="115"/>
      <c r="D34" s="115"/>
      <c r="E34" s="115"/>
      <c r="F34" s="121"/>
      <c r="G34" s="122"/>
      <c r="H34" s="115"/>
      <c r="I34" s="115"/>
      <c r="J34" s="115"/>
      <c r="K34" s="115"/>
      <c r="L34" s="115"/>
    </row>
    <row r="35" spans="1:12">
      <c r="A35" s="115"/>
      <c r="B35" s="115"/>
      <c r="C35" s="115"/>
      <c r="D35" s="115"/>
      <c r="E35" s="115"/>
      <c r="F35" s="121"/>
      <c r="G35" s="122"/>
      <c r="H35" s="115"/>
      <c r="I35" s="115"/>
      <c r="J35" s="115"/>
      <c r="K35" s="115"/>
      <c r="L35" s="115"/>
    </row>
    <row r="36" spans="1:12">
      <c r="A36" s="115"/>
      <c r="B36" s="115"/>
      <c r="C36" s="115"/>
      <c r="D36" s="115"/>
      <c r="E36" s="115"/>
      <c r="F36" s="121"/>
      <c r="G36" s="122"/>
      <c r="H36" s="115"/>
      <c r="I36" s="115"/>
      <c r="J36" s="115"/>
      <c r="K36" s="115"/>
      <c r="L36" s="115"/>
    </row>
    <row r="37" spans="1:12">
      <c r="A37" s="115"/>
      <c r="B37" s="115"/>
      <c r="C37" s="115"/>
      <c r="D37" s="115"/>
      <c r="E37" s="115"/>
      <c r="F37" s="121"/>
      <c r="G37" s="122"/>
      <c r="H37" s="115"/>
      <c r="I37" s="115"/>
      <c r="J37" s="115"/>
      <c r="K37" s="115"/>
      <c r="L37" s="115"/>
    </row>
    <row r="38" spans="1:12">
      <c r="A38" s="115"/>
      <c r="B38" s="115"/>
      <c r="C38" s="115"/>
      <c r="D38" s="115"/>
      <c r="E38" s="115"/>
      <c r="F38" s="121"/>
      <c r="G38" s="122"/>
      <c r="H38" s="115"/>
      <c r="I38" s="115"/>
      <c r="J38" s="115"/>
      <c r="K38" s="115"/>
      <c r="L38" s="115"/>
    </row>
    <row r="39" spans="1:12">
      <c r="A39" s="115"/>
      <c r="B39" s="115"/>
      <c r="C39" s="115"/>
      <c r="D39" s="115"/>
      <c r="E39" s="115"/>
      <c r="F39" s="121"/>
      <c r="G39" s="122"/>
      <c r="H39" s="115"/>
      <c r="I39" s="115"/>
      <c r="J39" s="115"/>
      <c r="K39" s="115"/>
      <c r="L39" s="115"/>
    </row>
    <row r="40" spans="1:12">
      <c r="A40" s="115"/>
      <c r="B40" s="115"/>
      <c r="C40" s="115"/>
      <c r="D40" s="115"/>
      <c r="E40" s="115"/>
      <c r="F40" s="121"/>
      <c r="G40" s="122"/>
      <c r="H40" s="115"/>
      <c r="I40" s="115"/>
      <c r="J40" s="115"/>
      <c r="K40" s="115"/>
      <c r="L40" s="115"/>
    </row>
    <row r="41" spans="1:12">
      <c r="A41" s="115"/>
      <c r="B41" s="115"/>
      <c r="C41" s="115"/>
      <c r="D41" s="115"/>
      <c r="E41" s="115"/>
      <c r="F41" s="121"/>
      <c r="G41" s="122"/>
      <c r="H41" s="115"/>
      <c r="I41" s="115"/>
      <c r="J41" s="115"/>
      <c r="K41" s="115"/>
      <c r="L41" s="115"/>
    </row>
    <row r="42" spans="1:12">
      <c r="A42" s="115"/>
      <c r="B42" s="115"/>
      <c r="C42" s="115"/>
      <c r="D42" s="115"/>
      <c r="E42" s="115"/>
      <c r="F42" s="121"/>
      <c r="G42" s="122"/>
      <c r="H42" s="115"/>
      <c r="I42" s="115"/>
      <c r="J42" s="115"/>
      <c r="K42" s="115"/>
      <c r="L42" s="115"/>
    </row>
    <row r="43" spans="1:12">
      <c r="A43" s="115"/>
      <c r="B43" s="115"/>
      <c r="C43" s="115"/>
      <c r="D43" s="115"/>
      <c r="E43" s="115"/>
      <c r="F43" s="121"/>
      <c r="G43" s="122"/>
      <c r="H43" s="115"/>
      <c r="I43" s="115"/>
      <c r="J43" s="115"/>
      <c r="K43" s="115"/>
      <c r="L43" s="115"/>
    </row>
    <row r="44" spans="1:12">
      <c r="A44" s="115"/>
      <c r="B44" s="115"/>
      <c r="C44" s="115"/>
      <c r="D44" s="115"/>
      <c r="E44" s="115"/>
      <c r="F44" s="121"/>
      <c r="G44" s="122"/>
      <c r="H44" s="115"/>
      <c r="I44" s="115"/>
      <c r="J44" s="115"/>
      <c r="K44" s="115"/>
      <c r="L44" s="115"/>
    </row>
    <row r="45" spans="1:12">
      <c r="A45" s="115"/>
      <c r="B45" s="115"/>
      <c r="C45" s="115"/>
      <c r="D45" s="115"/>
      <c r="E45" s="115"/>
      <c r="F45" s="121"/>
      <c r="G45" s="122"/>
      <c r="H45" s="115"/>
      <c r="I45" s="115"/>
      <c r="J45" s="115"/>
      <c r="K45" s="115"/>
      <c r="L45" s="115"/>
    </row>
    <row r="46" spans="1:12">
      <c r="A46" s="115"/>
      <c r="B46" s="115"/>
      <c r="C46" s="115"/>
      <c r="D46" s="115"/>
      <c r="E46" s="115"/>
      <c r="F46" s="121"/>
      <c r="G46" s="122"/>
      <c r="H46" s="115"/>
      <c r="I46" s="115"/>
      <c r="J46" s="115"/>
      <c r="K46" s="115"/>
      <c r="L46" s="115"/>
    </row>
    <row r="47" spans="1:12">
      <c r="A47" s="115"/>
      <c r="B47" s="115"/>
      <c r="C47" s="115"/>
      <c r="D47" s="115"/>
      <c r="E47" s="115"/>
      <c r="F47" s="121"/>
      <c r="G47" s="122"/>
      <c r="H47" s="115"/>
      <c r="I47" s="115"/>
      <c r="J47" s="115"/>
      <c r="K47" s="115"/>
      <c r="L47" s="115"/>
    </row>
    <row r="48" spans="1:12">
      <c r="A48" s="115"/>
      <c r="B48" s="115"/>
      <c r="C48" s="115"/>
      <c r="D48" s="115"/>
      <c r="E48" s="115"/>
      <c r="F48" s="121"/>
      <c r="G48" s="122"/>
      <c r="H48" s="115"/>
      <c r="I48" s="115"/>
      <c r="J48" s="115"/>
      <c r="K48" s="115"/>
      <c r="L48" s="115"/>
    </row>
    <row r="49" spans="1:12">
      <c r="A49" s="115"/>
      <c r="B49" s="115"/>
      <c r="C49" s="115"/>
      <c r="D49" s="115"/>
      <c r="E49" s="115"/>
      <c r="F49" s="121"/>
      <c r="G49" s="122"/>
      <c r="H49" s="115"/>
      <c r="I49" s="115"/>
      <c r="J49" s="115"/>
      <c r="K49" s="115"/>
      <c r="L49" s="115"/>
    </row>
    <row r="50" spans="1:12">
      <c r="A50" s="115"/>
      <c r="B50" s="115"/>
      <c r="C50" s="115"/>
      <c r="D50" s="115"/>
      <c r="E50" s="115"/>
      <c r="F50" s="121"/>
      <c r="G50" s="122"/>
      <c r="H50" s="115"/>
      <c r="I50" s="115"/>
      <c r="J50" s="115"/>
      <c r="K50" s="115"/>
      <c r="L50" s="115"/>
    </row>
    <row r="51" spans="1:12">
      <c r="A51" s="115"/>
      <c r="B51" s="115"/>
      <c r="C51" s="115"/>
      <c r="D51" s="115"/>
      <c r="E51" s="115"/>
      <c r="F51" s="121"/>
      <c r="G51" s="122"/>
      <c r="H51" s="115"/>
      <c r="I51" s="115"/>
      <c r="J51" s="115"/>
      <c r="K51" s="115"/>
      <c r="L51" s="115"/>
    </row>
    <row r="52" spans="1:12">
      <c r="A52" s="115"/>
      <c r="B52" s="115"/>
      <c r="C52" s="115"/>
      <c r="D52" s="115"/>
      <c r="E52" s="115"/>
      <c r="F52" s="121"/>
      <c r="G52" s="122"/>
      <c r="H52" s="115"/>
      <c r="I52" s="115"/>
      <c r="J52" s="115"/>
      <c r="K52" s="115"/>
      <c r="L52" s="115"/>
    </row>
    <row r="53" spans="1:12">
      <c r="A53" s="115"/>
      <c r="B53" s="115"/>
      <c r="C53" s="115"/>
      <c r="D53" s="115"/>
      <c r="E53" s="115"/>
      <c r="F53" s="121"/>
      <c r="G53" s="122"/>
      <c r="H53" s="115"/>
      <c r="I53" s="115"/>
      <c r="J53" s="115"/>
      <c r="K53" s="115"/>
      <c r="L53" s="115"/>
    </row>
    <row r="54" spans="1:12">
      <c r="A54" s="115"/>
      <c r="B54" s="115"/>
      <c r="C54" s="115"/>
      <c r="D54" s="115"/>
      <c r="E54" s="115"/>
      <c r="F54" s="121"/>
      <c r="G54" s="122"/>
      <c r="H54" s="115"/>
      <c r="I54" s="115"/>
      <c r="J54" s="115"/>
      <c r="K54" s="115"/>
      <c r="L54" s="115"/>
    </row>
    <row r="55" spans="1:12">
      <c r="A55" s="115"/>
      <c r="B55" s="115"/>
      <c r="C55" s="115"/>
      <c r="D55" s="115"/>
      <c r="E55" s="115"/>
      <c r="F55" s="121"/>
      <c r="G55" s="122"/>
      <c r="H55" s="115"/>
      <c r="I55" s="115"/>
      <c r="J55" s="115"/>
      <c r="K55" s="115"/>
      <c r="L55" s="115"/>
    </row>
    <row r="56" spans="1:12">
      <c r="A56" s="115"/>
      <c r="B56" s="115"/>
      <c r="C56" s="115"/>
      <c r="D56" s="115"/>
      <c r="E56" s="115"/>
      <c r="F56" s="121"/>
      <c r="G56" s="122"/>
      <c r="H56" s="115"/>
      <c r="I56" s="115"/>
      <c r="J56" s="115"/>
      <c r="K56" s="115"/>
      <c r="L56" s="115"/>
    </row>
    <row r="57" spans="1:12">
      <c r="A57" s="115"/>
      <c r="B57" s="115"/>
      <c r="C57" s="115"/>
      <c r="D57" s="115"/>
      <c r="E57" s="115"/>
      <c r="F57" s="121"/>
      <c r="G57" s="122"/>
      <c r="H57" s="115"/>
      <c r="I57" s="115"/>
      <c r="J57" s="115"/>
      <c r="K57" s="115"/>
      <c r="L57" s="115"/>
    </row>
    <row r="58" spans="1:12">
      <c r="A58" s="115"/>
      <c r="B58" s="115"/>
      <c r="C58" s="115"/>
      <c r="D58" s="115"/>
      <c r="E58" s="115"/>
      <c r="F58" s="121"/>
      <c r="G58" s="122"/>
      <c r="H58" s="115"/>
      <c r="I58" s="115"/>
      <c r="J58" s="115"/>
      <c r="K58" s="115"/>
      <c r="L58" s="115"/>
    </row>
    <row r="59" spans="1:12">
      <c r="A59" s="115"/>
      <c r="B59" s="115"/>
      <c r="C59" s="115"/>
      <c r="D59" s="115"/>
      <c r="E59" s="115"/>
      <c r="F59" s="121"/>
      <c r="G59" s="122"/>
      <c r="H59" s="115"/>
      <c r="I59" s="115"/>
      <c r="J59" s="115"/>
      <c r="K59" s="115"/>
      <c r="L59" s="115"/>
    </row>
    <row r="60" spans="1:12">
      <c r="A60" s="115"/>
      <c r="B60" s="115"/>
      <c r="C60" s="115"/>
      <c r="D60" s="115"/>
      <c r="E60" s="115"/>
      <c r="F60" s="121"/>
      <c r="G60" s="122"/>
      <c r="H60" s="115"/>
      <c r="I60" s="115"/>
      <c r="J60" s="115"/>
      <c r="K60" s="115"/>
      <c r="L60" s="115"/>
    </row>
    <row r="61" spans="1:12">
      <c r="A61" s="115"/>
      <c r="B61" s="115"/>
      <c r="C61" s="115"/>
      <c r="D61" s="115"/>
      <c r="E61" s="115"/>
      <c r="F61" s="121"/>
      <c r="G61" s="122"/>
      <c r="H61" s="115"/>
      <c r="I61" s="115"/>
      <c r="J61" s="115"/>
      <c r="K61" s="115"/>
      <c r="L61" s="115"/>
    </row>
    <row r="62" spans="1:12">
      <c r="A62" s="115"/>
      <c r="B62" s="115"/>
      <c r="C62" s="115"/>
      <c r="D62" s="115"/>
      <c r="E62" s="115"/>
      <c r="F62" s="121"/>
      <c r="G62" s="122"/>
      <c r="H62" s="115"/>
      <c r="I62" s="115"/>
      <c r="J62" s="115"/>
      <c r="K62" s="115"/>
      <c r="L62" s="115"/>
    </row>
    <row r="63" spans="1:12">
      <c r="A63" s="115"/>
      <c r="B63" s="115"/>
      <c r="C63" s="115"/>
      <c r="D63" s="115"/>
      <c r="E63" s="115"/>
      <c r="F63" s="121"/>
      <c r="G63" s="122"/>
      <c r="H63" s="115"/>
      <c r="I63" s="115"/>
      <c r="J63" s="115"/>
      <c r="K63" s="115"/>
      <c r="L63" s="115"/>
    </row>
    <row r="64" spans="1:12">
      <c r="A64" s="115"/>
      <c r="B64" s="115"/>
      <c r="C64" s="115"/>
      <c r="D64" s="115"/>
      <c r="E64" s="115"/>
      <c r="F64" s="121"/>
      <c r="G64" s="122"/>
      <c r="H64" s="115"/>
      <c r="I64" s="115"/>
      <c r="J64" s="115"/>
      <c r="K64" s="115"/>
      <c r="L64" s="115"/>
    </row>
    <row r="65" spans="1:12">
      <c r="A65" s="115"/>
      <c r="B65" s="115"/>
      <c r="C65" s="115"/>
      <c r="D65" s="115"/>
      <c r="E65" s="115"/>
      <c r="F65" s="121"/>
      <c r="G65" s="122"/>
      <c r="H65" s="115"/>
      <c r="I65" s="115"/>
      <c r="J65" s="115"/>
      <c r="K65" s="115"/>
      <c r="L65" s="115"/>
    </row>
    <row r="66" spans="1:12">
      <c r="A66" s="115"/>
      <c r="B66" s="115"/>
      <c r="C66" s="115"/>
      <c r="D66" s="115"/>
      <c r="E66" s="115"/>
      <c r="F66" s="121"/>
      <c r="G66" s="122"/>
      <c r="H66" s="115"/>
      <c r="I66" s="115"/>
      <c r="J66" s="115"/>
      <c r="K66" s="115"/>
      <c r="L66" s="115"/>
    </row>
    <row r="67" spans="1:12">
      <c r="A67" s="115"/>
      <c r="B67" s="115"/>
      <c r="C67" s="115"/>
      <c r="D67" s="115"/>
      <c r="E67" s="115"/>
      <c r="F67" s="121"/>
      <c r="G67" s="122"/>
      <c r="H67" s="115"/>
      <c r="I67" s="115"/>
      <c r="J67" s="115"/>
      <c r="K67" s="115"/>
      <c r="L67" s="115"/>
    </row>
    <row r="68" spans="1:12">
      <c r="A68" s="115"/>
      <c r="B68" s="115"/>
      <c r="C68" s="115"/>
      <c r="D68" s="115"/>
      <c r="E68" s="115"/>
      <c r="F68" s="121"/>
      <c r="G68" s="122"/>
      <c r="H68" s="115"/>
      <c r="I68" s="115"/>
      <c r="J68" s="115"/>
      <c r="K68" s="115"/>
      <c r="L68" s="115"/>
    </row>
    <row r="69" spans="1:12">
      <c r="A69" s="115"/>
      <c r="B69" s="115"/>
      <c r="C69" s="115"/>
      <c r="D69" s="115"/>
      <c r="E69" s="115"/>
      <c r="F69" s="121"/>
      <c r="G69" s="122"/>
      <c r="H69" s="115"/>
      <c r="I69" s="115"/>
      <c r="J69" s="115"/>
      <c r="K69" s="115"/>
      <c r="L69" s="115"/>
    </row>
    <row r="70" spans="1:12">
      <c r="A70" s="115"/>
      <c r="B70" s="115"/>
      <c r="C70" s="115"/>
      <c r="D70" s="115"/>
      <c r="E70" s="115"/>
      <c r="F70" s="121"/>
      <c r="G70" s="122"/>
      <c r="H70" s="115"/>
      <c r="I70" s="115"/>
      <c r="J70" s="115"/>
      <c r="K70" s="115"/>
      <c r="L70" s="115"/>
    </row>
    <row r="71" spans="1:12">
      <c r="A71" s="115"/>
      <c r="B71" s="115"/>
      <c r="C71" s="115"/>
      <c r="D71" s="115"/>
      <c r="E71" s="115"/>
      <c r="F71" s="121"/>
      <c r="G71" s="122"/>
      <c r="H71" s="115"/>
      <c r="I71" s="115"/>
      <c r="J71" s="115"/>
      <c r="K71" s="115"/>
      <c r="L71" s="115"/>
    </row>
    <row r="72" spans="1:12">
      <c r="A72" s="115"/>
      <c r="B72" s="115"/>
      <c r="C72" s="115"/>
      <c r="D72" s="115"/>
      <c r="E72" s="115"/>
      <c r="F72" s="121"/>
      <c r="G72" s="122"/>
      <c r="H72" s="115"/>
      <c r="I72" s="115"/>
      <c r="J72" s="115"/>
      <c r="K72" s="115"/>
      <c r="L72" s="115"/>
    </row>
    <row r="73" spans="1:12">
      <c r="A73" s="115"/>
      <c r="B73" s="115"/>
      <c r="C73" s="115"/>
      <c r="D73" s="115"/>
      <c r="E73" s="115"/>
      <c r="F73" s="121"/>
      <c r="G73" s="122"/>
      <c r="H73" s="115"/>
      <c r="I73" s="115"/>
      <c r="J73" s="115"/>
      <c r="K73" s="115"/>
      <c r="L73" s="115"/>
    </row>
    <row r="74" spans="1:12">
      <c r="A74" s="115"/>
      <c r="B74" s="115"/>
      <c r="C74" s="115"/>
      <c r="D74" s="115"/>
      <c r="E74" s="115"/>
      <c r="F74" s="121"/>
      <c r="G74" s="122"/>
      <c r="H74" s="115"/>
      <c r="I74" s="115"/>
      <c r="J74" s="115"/>
      <c r="K74" s="115"/>
      <c r="L74" s="115"/>
    </row>
    <row r="75" spans="1:12">
      <c r="A75" s="115"/>
      <c r="B75" s="115"/>
      <c r="C75" s="115"/>
      <c r="D75" s="115"/>
      <c r="E75" s="115"/>
      <c r="F75" s="121"/>
      <c r="G75" s="122"/>
      <c r="H75" s="115"/>
      <c r="I75" s="115"/>
      <c r="J75" s="115"/>
      <c r="K75" s="115"/>
      <c r="L75" s="115"/>
    </row>
    <row r="76" spans="1:12">
      <c r="A76" s="115"/>
      <c r="B76" s="115"/>
      <c r="C76" s="115"/>
      <c r="D76" s="115"/>
      <c r="E76" s="115"/>
      <c r="F76" s="121"/>
      <c r="G76" s="122"/>
      <c r="H76" s="115"/>
      <c r="I76" s="115"/>
      <c r="J76" s="115"/>
      <c r="K76" s="115"/>
      <c r="L76" s="115"/>
    </row>
    <row r="77" spans="1:12">
      <c r="A77" s="115"/>
      <c r="B77" s="115"/>
      <c r="C77" s="115"/>
      <c r="D77" s="115"/>
      <c r="E77" s="115"/>
      <c r="F77" s="121"/>
      <c r="G77" s="122"/>
      <c r="H77" s="115"/>
      <c r="I77" s="115"/>
      <c r="J77" s="115"/>
      <c r="K77" s="115"/>
      <c r="L77" s="115"/>
    </row>
    <row r="78" spans="1:12">
      <c r="A78" s="115"/>
      <c r="B78" s="115"/>
      <c r="C78" s="115"/>
      <c r="D78" s="115"/>
      <c r="E78" s="115"/>
      <c r="F78" s="121"/>
      <c r="G78" s="122"/>
      <c r="H78" s="115"/>
      <c r="I78" s="115"/>
      <c r="J78" s="115"/>
      <c r="K78" s="115"/>
      <c r="L78" s="115"/>
    </row>
    <row r="79" spans="1:12">
      <c r="A79" s="115"/>
      <c r="B79" s="115"/>
      <c r="C79" s="115"/>
      <c r="D79" s="115"/>
      <c r="E79" s="115"/>
      <c r="F79" s="121"/>
      <c r="G79" s="122"/>
      <c r="H79" s="115"/>
      <c r="I79" s="115"/>
      <c r="J79" s="115"/>
      <c r="K79" s="115"/>
      <c r="L79" s="115"/>
    </row>
    <row r="80" spans="1:12">
      <c r="A80" s="115"/>
      <c r="B80" s="115"/>
      <c r="C80" s="115"/>
      <c r="D80" s="115"/>
      <c r="E80" s="115"/>
      <c r="F80" s="121"/>
      <c r="G80" s="122"/>
      <c r="H80" s="115"/>
      <c r="I80" s="115"/>
      <c r="J80" s="115"/>
      <c r="K80" s="115"/>
      <c r="L80" s="115"/>
    </row>
    <row r="81" spans="1:12">
      <c r="A81" s="115"/>
      <c r="B81" s="115"/>
      <c r="C81" s="115"/>
      <c r="D81" s="115"/>
      <c r="E81" s="115"/>
      <c r="F81" s="121"/>
      <c r="G81" s="122"/>
      <c r="H81" s="115"/>
      <c r="I81" s="115"/>
      <c r="J81" s="115"/>
      <c r="K81" s="115"/>
      <c r="L81" s="115"/>
    </row>
    <row r="82" spans="1:12">
      <c r="A82" s="115"/>
      <c r="B82" s="115"/>
      <c r="C82" s="115"/>
      <c r="D82" s="115"/>
      <c r="E82" s="115"/>
      <c r="F82" s="121"/>
      <c r="G82" s="122"/>
      <c r="H82" s="115"/>
      <c r="I82" s="115"/>
      <c r="J82" s="115"/>
      <c r="K82" s="115"/>
      <c r="L82" s="115"/>
    </row>
    <row r="83" spans="1:12">
      <c r="A83" s="115"/>
      <c r="B83" s="115"/>
      <c r="C83" s="115"/>
      <c r="D83" s="115"/>
      <c r="E83" s="115"/>
      <c r="F83" s="121"/>
      <c r="G83" s="122"/>
      <c r="H83" s="115"/>
      <c r="I83" s="115"/>
      <c r="J83" s="115"/>
      <c r="K83" s="115"/>
      <c r="L83" s="115"/>
    </row>
    <row r="84" spans="1:12">
      <c r="A84" s="115"/>
      <c r="B84" s="115"/>
      <c r="C84" s="115"/>
      <c r="D84" s="115"/>
      <c r="E84" s="115"/>
      <c r="F84" s="121"/>
      <c r="G84" s="122"/>
      <c r="H84" s="115"/>
      <c r="I84" s="115"/>
      <c r="J84" s="115"/>
      <c r="K84" s="115"/>
      <c r="L84" s="115"/>
    </row>
    <row r="85" spans="1:12">
      <c r="A85" s="115"/>
      <c r="B85" s="115"/>
      <c r="C85" s="115"/>
      <c r="D85" s="115"/>
      <c r="E85" s="115"/>
      <c r="F85" s="121"/>
      <c r="G85" s="122"/>
      <c r="H85" s="115"/>
      <c r="I85" s="115"/>
      <c r="J85" s="115"/>
      <c r="K85" s="115"/>
      <c r="L85" s="115"/>
    </row>
    <row r="86" spans="1:12">
      <c r="A86" s="115"/>
      <c r="B86" s="115"/>
      <c r="C86" s="115"/>
      <c r="D86" s="115"/>
      <c r="E86" s="115"/>
      <c r="F86" s="121"/>
      <c r="G86" s="122"/>
      <c r="H86" s="115"/>
      <c r="I86" s="115"/>
      <c r="J86" s="115"/>
      <c r="K86" s="115"/>
      <c r="L86" s="115"/>
    </row>
    <row r="87" spans="1:12">
      <c r="A87" s="115"/>
      <c r="B87" s="115"/>
      <c r="C87" s="115"/>
      <c r="D87" s="115"/>
      <c r="E87" s="115"/>
      <c r="F87" s="121"/>
      <c r="G87" s="122"/>
      <c r="H87" s="115"/>
      <c r="I87" s="115"/>
      <c r="J87" s="115"/>
      <c r="K87" s="115"/>
      <c r="L87" s="115"/>
    </row>
    <row r="88" spans="1:12">
      <c r="A88" s="115"/>
      <c r="B88" s="115"/>
      <c r="C88" s="115"/>
      <c r="D88" s="115"/>
      <c r="E88" s="115"/>
      <c r="F88" s="121"/>
      <c r="G88" s="122"/>
      <c r="H88" s="115"/>
      <c r="I88" s="115"/>
      <c r="J88" s="115"/>
      <c r="K88" s="115"/>
      <c r="L88" s="115"/>
    </row>
    <row r="89" spans="1:12">
      <c r="A89" s="115"/>
      <c r="B89" s="115"/>
      <c r="C89" s="115"/>
      <c r="D89" s="115"/>
      <c r="E89" s="115"/>
      <c r="F89" s="121"/>
      <c r="G89" s="122"/>
      <c r="H89" s="115"/>
      <c r="I89" s="115"/>
      <c r="J89" s="115"/>
      <c r="K89" s="115"/>
      <c r="L89" s="115"/>
    </row>
    <row r="90" spans="1:12">
      <c r="A90" s="115"/>
      <c r="B90" s="115"/>
      <c r="C90" s="115"/>
      <c r="D90" s="115"/>
      <c r="E90" s="115"/>
      <c r="F90" s="121"/>
      <c r="G90" s="122"/>
      <c r="H90" s="115"/>
      <c r="I90" s="115"/>
      <c r="J90" s="115"/>
      <c r="K90" s="115"/>
      <c r="L90" s="115"/>
    </row>
    <row r="91" spans="1:12">
      <c r="A91" s="115"/>
      <c r="B91" s="115"/>
      <c r="C91" s="115"/>
      <c r="D91" s="115"/>
      <c r="E91" s="115"/>
      <c r="F91" s="121"/>
      <c r="G91" s="122"/>
      <c r="H91" s="115"/>
      <c r="I91" s="115"/>
      <c r="J91" s="115"/>
      <c r="K91" s="115"/>
      <c r="L91" s="115"/>
    </row>
    <row r="92" spans="1:12">
      <c r="A92" s="115"/>
      <c r="B92" s="115"/>
      <c r="C92" s="115"/>
      <c r="D92" s="115"/>
      <c r="E92" s="115"/>
      <c r="F92" s="121"/>
      <c r="G92" s="122"/>
      <c r="H92" s="115"/>
      <c r="I92" s="115"/>
      <c r="J92" s="115"/>
      <c r="K92" s="115"/>
      <c r="L92" s="115"/>
    </row>
    <row r="93" spans="1:12">
      <c r="A93" s="115"/>
      <c r="B93" s="115"/>
      <c r="C93" s="115"/>
      <c r="D93" s="115"/>
      <c r="E93" s="115"/>
      <c r="F93" s="121"/>
      <c r="G93" s="122"/>
      <c r="H93" s="115"/>
      <c r="I93" s="115"/>
      <c r="J93" s="115"/>
      <c r="K93" s="115"/>
      <c r="L93" s="115"/>
    </row>
    <row r="94" spans="1:12">
      <c r="A94" s="115"/>
      <c r="B94" s="115"/>
      <c r="C94" s="115"/>
      <c r="D94" s="115"/>
      <c r="E94" s="115"/>
      <c r="F94" s="121"/>
      <c r="G94" s="122"/>
      <c r="H94" s="115"/>
      <c r="I94" s="115"/>
      <c r="J94" s="115"/>
      <c r="K94" s="115"/>
      <c r="L94" s="115"/>
    </row>
    <row r="95" spans="1:12">
      <c r="A95" s="115"/>
      <c r="B95" s="115"/>
      <c r="C95" s="115"/>
      <c r="D95" s="115"/>
      <c r="E95" s="115"/>
      <c r="F95" s="121"/>
      <c r="G95" s="122"/>
      <c r="H95" s="115"/>
      <c r="I95" s="115"/>
      <c r="J95" s="115"/>
      <c r="K95" s="115"/>
      <c r="L95" s="115"/>
    </row>
    <row r="96" spans="1:12">
      <c r="A96" s="115"/>
      <c r="B96" s="115"/>
      <c r="C96" s="115"/>
      <c r="D96" s="115"/>
      <c r="E96" s="115"/>
      <c r="F96" s="121"/>
      <c r="G96" s="122"/>
      <c r="H96" s="115"/>
      <c r="I96" s="115"/>
      <c r="J96" s="115"/>
      <c r="K96" s="115"/>
      <c r="L96" s="115"/>
    </row>
    <row r="97" spans="1:12">
      <c r="A97" s="115"/>
      <c r="B97" s="115"/>
      <c r="C97" s="115"/>
      <c r="D97" s="115"/>
      <c r="E97" s="115"/>
      <c r="F97" s="121"/>
      <c r="G97" s="122"/>
      <c r="H97" s="115"/>
      <c r="I97" s="115"/>
      <c r="J97" s="115"/>
      <c r="K97" s="115"/>
      <c r="L97" s="115"/>
    </row>
    <row r="98" spans="1:12">
      <c r="A98" s="115"/>
      <c r="B98" s="115"/>
      <c r="C98" s="115"/>
      <c r="D98" s="115"/>
      <c r="E98" s="115"/>
      <c r="F98" s="121"/>
      <c r="G98" s="122"/>
      <c r="H98" s="115"/>
      <c r="I98" s="115"/>
      <c r="J98" s="115"/>
      <c r="K98" s="115"/>
      <c r="L98" s="115"/>
    </row>
    <row r="99" spans="1:12">
      <c r="A99" s="115"/>
      <c r="B99" s="115"/>
      <c r="C99" s="115"/>
      <c r="D99" s="115"/>
      <c r="E99" s="115"/>
      <c r="F99" s="121"/>
      <c r="G99" s="122"/>
      <c r="H99" s="115"/>
      <c r="I99" s="115"/>
      <c r="J99" s="115"/>
      <c r="K99" s="115"/>
      <c r="L99" s="115"/>
    </row>
    <row r="100" spans="1:12">
      <c r="A100" s="115"/>
      <c r="B100" s="115"/>
      <c r="C100" s="115"/>
      <c r="D100" s="115"/>
      <c r="E100" s="115"/>
      <c r="F100" s="121"/>
      <c r="G100" s="122"/>
      <c r="H100" s="115"/>
      <c r="I100" s="115"/>
      <c r="J100" s="115"/>
      <c r="K100" s="115"/>
      <c r="L100" s="115"/>
    </row>
    <row r="101" spans="1:12">
      <c r="A101" s="115"/>
      <c r="B101" s="115"/>
      <c r="C101" s="115"/>
      <c r="D101" s="115"/>
      <c r="E101" s="115"/>
      <c r="F101" s="121"/>
      <c r="G101" s="122"/>
      <c r="H101" s="115"/>
      <c r="I101" s="115"/>
      <c r="J101" s="115"/>
      <c r="K101" s="115"/>
      <c r="L101" s="115"/>
    </row>
    <row r="102" spans="1:12">
      <c r="A102" s="115"/>
      <c r="B102" s="115"/>
      <c r="C102" s="115"/>
      <c r="D102" s="115"/>
      <c r="E102" s="115"/>
      <c r="F102" s="121"/>
      <c r="G102" s="122"/>
      <c r="H102" s="115"/>
      <c r="I102" s="115"/>
      <c r="J102" s="115"/>
      <c r="K102" s="115"/>
      <c r="L102" s="115"/>
    </row>
    <row r="103" spans="1:12">
      <c r="A103" s="115"/>
      <c r="B103" s="115"/>
      <c r="C103" s="115"/>
      <c r="D103" s="115"/>
      <c r="E103" s="115"/>
      <c r="F103" s="121"/>
      <c r="G103" s="122"/>
      <c r="H103" s="115"/>
      <c r="I103" s="115"/>
      <c r="J103" s="115"/>
      <c r="K103" s="115"/>
      <c r="L103" s="115"/>
    </row>
    <row r="104" spans="1:12">
      <c r="A104" s="115"/>
      <c r="B104" s="115"/>
      <c r="C104" s="115"/>
      <c r="D104" s="115"/>
      <c r="E104" s="115"/>
      <c r="F104" s="121"/>
      <c r="G104" s="122"/>
      <c r="H104" s="115"/>
      <c r="I104" s="115"/>
      <c r="J104" s="115"/>
      <c r="K104" s="115"/>
      <c r="L104" s="115"/>
    </row>
    <row r="105" spans="1:12">
      <c r="A105" s="115"/>
      <c r="B105" s="115"/>
      <c r="C105" s="115"/>
      <c r="D105" s="115"/>
      <c r="E105" s="115"/>
      <c r="F105" s="121"/>
      <c r="G105" s="122"/>
      <c r="H105" s="115"/>
      <c r="I105" s="115"/>
      <c r="J105" s="115"/>
      <c r="K105" s="115"/>
      <c r="L105" s="115"/>
    </row>
    <row r="106" spans="1:12">
      <c r="A106" s="115"/>
      <c r="B106" s="115"/>
      <c r="C106" s="115"/>
      <c r="D106" s="115"/>
      <c r="E106" s="115"/>
      <c r="F106" s="121"/>
      <c r="G106" s="122"/>
      <c r="H106" s="115"/>
      <c r="I106" s="115"/>
      <c r="J106" s="115"/>
      <c r="K106" s="115"/>
      <c r="L106" s="115"/>
    </row>
    <row r="107" spans="1:12">
      <c r="A107" s="115"/>
      <c r="B107" s="115"/>
      <c r="C107" s="115"/>
      <c r="D107" s="115"/>
      <c r="E107" s="115"/>
      <c r="F107" s="121"/>
      <c r="G107" s="122"/>
      <c r="H107" s="115"/>
      <c r="I107" s="115"/>
      <c r="J107" s="115"/>
      <c r="K107" s="115"/>
      <c r="L107" s="115"/>
    </row>
    <row r="108" spans="1:12">
      <c r="A108" s="115"/>
      <c r="B108" s="115"/>
      <c r="C108" s="115"/>
      <c r="D108" s="115"/>
      <c r="E108" s="115"/>
      <c r="F108" s="121"/>
      <c r="G108" s="122"/>
      <c r="H108" s="115"/>
      <c r="I108" s="115"/>
      <c r="J108" s="115"/>
      <c r="K108" s="115"/>
      <c r="L108" s="115"/>
    </row>
    <row r="109" spans="1:12">
      <c r="A109" s="115"/>
      <c r="B109" s="115"/>
      <c r="C109" s="115"/>
      <c r="D109" s="115"/>
      <c r="E109" s="115"/>
      <c r="F109" s="121"/>
      <c r="G109" s="122"/>
      <c r="H109" s="115"/>
      <c r="I109" s="115"/>
      <c r="J109" s="115"/>
      <c r="K109" s="115"/>
      <c r="L109" s="115"/>
    </row>
    <row r="110" spans="1:12">
      <c r="A110" s="115"/>
      <c r="B110" s="115"/>
      <c r="C110" s="115"/>
      <c r="D110" s="115"/>
      <c r="E110" s="115"/>
      <c r="F110" s="121"/>
      <c r="G110" s="122"/>
      <c r="H110" s="115"/>
      <c r="I110" s="115"/>
      <c r="J110" s="115"/>
      <c r="K110" s="115"/>
      <c r="L110" s="115"/>
    </row>
    <row r="111" spans="1:12">
      <c r="A111" s="115"/>
      <c r="B111" s="115"/>
      <c r="C111" s="115"/>
      <c r="D111" s="115"/>
      <c r="E111" s="115"/>
      <c r="F111" s="121"/>
      <c r="G111" s="122"/>
      <c r="H111" s="115"/>
      <c r="I111" s="115"/>
      <c r="J111" s="115"/>
      <c r="K111" s="115"/>
      <c r="L111" s="115"/>
    </row>
    <row r="112" spans="1:12">
      <c r="A112" s="115"/>
      <c r="B112" s="115"/>
      <c r="C112" s="115"/>
      <c r="D112" s="115"/>
      <c r="E112" s="115"/>
      <c r="F112" s="121"/>
      <c r="G112" s="122"/>
      <c r="H112" s="115"/>
      <c r="I112" s="115"/>
      <c r="J112" s="115"/>
      <c r="K112" s="115"/>
      <c r="L112" s="115"/>
    </row>
    <row r="113" spans="1:12">
      <c r="A113" s="115"/>
      <c r="B113" s="115"/>
      <c r="C113" s="115"/>
      <c r="D113" s="115"/>
      <c r="E113" s="115"/>
      <c r="F113" s="121"/>
      <c r="G113" s="122"/>
      <c r="H113" s="115"/>
      <c r="I113" s="115"/>
      <c r="J113" s="115"/>
      <c r="K113" s="115"/>
      <c r="L113" s="115"/>
    </row>
    <row r="114" spans="1:12">
      <c r="A114" s="115"/>
      <c r="B114" s="115"/>
      <c r="C114" s="115"/>
      <c r="D114" s="115"/>
      <c r="E114" s="115"/>
      <c r="F114" s="121"/>
      <c r="G114" s="122"/>
      <c r="H114" s="115"/>
      <c r="I114" s="115"/>
      <c r="J114" s="115"/>
      <c r="K114" s="115"/>
      <c r="L114" s="115"/>
    </row>
    <row r="115" spans="1:12">
      <c r="A115" s="115"/>
      <c r="B115" s="115"/>
      <c r="C115" s="115"/>
      <c r="D115" s="115"/>
      <c r="E115" s="115"/>
      <c r="F115" s="121"/>
      <c r="G115" s="122"/>
      <c r="H115" s="115"/>
      <c r="I115" s="115"/>
      <c r="J115" s="115"/>
      <c r="K115" s="115"/>
      <c r="L115" s="115"/>
    </row>
    <row r="116" spans="1:12">
      <c r="A116" s="115"/>
      <c r="B116" s="115"/>
      <c r="C116" s="115"/>
      <c r="D116" s="115"/>
      <c r="E116" s="115"/>
      <c r="F116" s="121"/>
      <c r="G116" s="122"/>
      <c r="H116" s="115"/>
      <c r="I116" s="115"/>
      <c r="J116" s="115"/>
      <c r="K116" s="115"/>
      <c r="L116" s="115"/>
    </row>
    <row r="117" spans="1:12">
      <c r="A117" s="115"/>
      <c r="B117" s="115"/>
      <c r="C117" s="115"/>
      <c r="D117" s="115"/>
      <c r="E117" s="115"/>
      <c r="F117" s="121"/>
      <c r="G117" s="122"/>
      <c r="H117" s="115"/>
      <c r="I117" s="115"/>
      <c r="J117" s="115"/>
      <c r="K117" s="115"/>
      <c r="L117" s="115"/>
    </row>
    <row r="118" spans="1:12">
      <c r="A118" s="115"/>
      <c r="B118" s="115"/>
      <c r="C118" s="115"/>
      <c r="D118" s="115"/>
      <c r="E118" s="115"/>
      <c r="F118" s="121"/>
      <c r="G118" s="122"/>
      <c r="H118" s="115"/>
      <c r="I118" s="115"/>
      <c r="J118" s="115"/>
      <c r="K118" s="115"/>
      <c r="L118" s="115"/>
    </row>
    <row r="119" spans="1:12">
      <c r="A119" s="115"/>
      <c r="B119" s="115"/>
      <c r="C119" s="115"/>
      <c r="D119" s="115"/>
      <c r="E119" s="115"/>
      <c r="F119" s="121"/>
      <c r="G119" s="122"/>
      <c r="H119" s="115"/>
      <c r="I119" s="115"/>
      <c r="J119" s="115"/>
      <c r="K119" s="115"/>
      <c r="L119" s="115"/>
    </row>
    <row r="120" spans="1:12">
      <c r="A120" s="115"/>
      <c r="B120" s="115"/>
      <c r="C120" s="115"/>
      <c r="D120" s="115"/>
      <c r="E120" s="115"/>
      <c r="F120" s="121"/>
      <c r="G120" s="122"/>
      <c r="H120" s="115"/>
      <c r="I120" s="115"/>
      <c r="J120" s="115"/>
      <c r="K120" s="115"/>
      <c r="L120" s="115"/>
    </row>
    <row r="121" spans="1:12">
      <c r="A121" s="115"/>
      <c r="B121" s="115"/>
      <c r="C121" s="115"/>
      <c r="D121" s="115"/>
      <c r="E121" s="115"/>
      <c r="F121" s="121"/>
      <c r="G121" s="122"/>
      <c r="H121" s="115"/>
      <c r="I121" s="115"/>
      <c r="J121" s="115"/>
      <c r="K121" s="115"/>
      <c r="L121" s="115"/>
    </row>
    <row r="122" spans="1:12">
      <c r="A122" s="115"/>
      <c r="B122" s="115"/>
      <c r="C122" s="115"/>
      <c r="D122" s="115"/>
      <c r="E122" s="115"/>
      <c r="F122" s="121"/>
      <c r="G122" s="122"/>
      <c r="H122" s="115"/>
      <c r="I122" s="115"/>
      <c r="J122" s="115"/>
      <c r="K122" s="115"/>
      <c r="L122" s="115"/>
    </row>
    <row r="123" spans="1:12">
      <c r="A123" s="115"/>
      <c r="B123" s="115"/>
      <c r="C123" s="115"/>
      <c r="D123" s="115"/>
      <c r="E123" s="115"/>
      <c r="F123" s="121"/>
      <c r="G123" s="122"/>
      <c r="H123" s="115"/>
      <c r="I123" s="115"/>
      <c r="J123" s="115"/>
      <c r="K123" s="115"/>
      <c r="L123" s="115"/>
    </row>
    <row r="124" spans="1:12">
      <c r="A124" s="115"/>
      <c r="B124" s="115"/>
      <c r="C124" s="115"/>
      <c r="D124" s="115"/>
      <c r="E124" s="115"/>
      <c r="F124" s="121"/>
      <c r="G124" s="122"/>
      <c r="H124" s="115"/>
      <c r="I124" s="115"/>
      <c r="J124" s="115"/>
      <c r="K124" s="115"/>
      <c r="L124" s="115"/>
    </row>
    <row r="125" spans="1:12">
      <c r="A125" s="115"/>
      <c r="B125" s="115"/>
      <c r="C125" s="115"/>
      <c r="D125" s="115"/>
      <c r="E125" s="115"/>
      <c r="F125" s="121"/>
      <c r="G125" s="122"/>
      <c r="H125" s="115"/>
      <c r="I125" s="115"/>
      <c r="J125" s="115"/>
      <c r="K125" s="115"/>
      <c r="L125" s="115"/>
    </row>
    <row r="126" spans="1:12">
      <c r="A126" s="115"/>
      <c r="B126" s="115"/>
      <c r="C126" s="115"/>
      <c r="D126" s="115"/>
      <c r="E126" s="115"/>
      <c r="F126" s="121"/>
      <c r="G126" s="122"/>
      <c r="H126" s="115"/>
      <c r="I126" s="115"/>
      <c r="J126" s="115"/>
      <c r="K126" s="115"/>
      <c r="L126" s="115"/>
    </row>
    <row r="127" spans="1:12">
      <c r="A127" s="115"/>
      <c r="B127" s="115"/>
      <c r="C127" s="115"/>
      <c r="D127" s="115"/>
      <c r="E127" s="115"/>
      <c r="F127" s="121"/>
      <c r="G127" s="122"/>
      <c r="H127" s="115"/>
      <c r="I127" s="115"/>
      <c r="J127" s="115"/>
      <c r="K127" s="115"/>
      <c r="L127" s="115"/>
    </row>
    <row r="128" spans="1:12">
      <c r="A128" s="115"/>
      <c r="B128" s="115"/>
      <c r="C128" s="115"/>
      <c r="D128" s="115"/>
      <c r="E128" s="115"/>
      <c r="F128" s="121"/>
      <c r="G128" s="122"/>
      <c r="H128" s="115"/>
      <c r="I128" s="115"/>
      <c r="J128" s="115"/>
      <c r="K128" s="115"/>
      <c r="L128" s="115"/>
    </row>
    <row r="129" spans="1:12">
      <c r="A129" s="115"/>
      <c r="B129" s="115"/>
      <c r="C129" s="115"/>
      <c r="D129" s="115"/>
      <c r="E129" s="115"/>
      <c r="F129" s="121"/>
      <c r="G129" s="122"/>
      <c r="H129" s="115"/>
      <c r="I129" s="115"/>
      <c r="J129" s="115"/>
      <c r="K129" s="115"/>
      <c r="L129" s="115"/>
    </row>
    <row r="130" spans="1:12">
      <c r="A130" s="115"/>
      <c r="B130" s="115"/>
      <c r="C130" s="115"/>
      <c r="D130" s="115"/>
      <c r="E130" s="115"/>
      <c r="F130" s="121"/>
      <c r="G130" s="122"/>
      <c r="H130" s="115"/>
      <c r="I130" s="115"/>
      <c r="J130" s="115"/>
      <c r="K130" s="115"/>
      <c r="L130" s="115"/>
    </row>
    <row r="131" spans="1:12">
      <c r="A131" s="115"/>
      <c r="B131" s="115"/>
      <c r="C131" s="115"/>
      <c r="D131" s="115"/>
      <c r="E131" s="115"/>
      <c r="F131" s="121"/>
      <c r="G131" s="122"/>
      <c r="H131" s="115"/>
      <c r="I131" s="115"/>
      <c r="J131" s="115"/>
      <c r="K131" s="115"/>
      <c r="L131" s="115"/>
    </row>
    <row r="132" spans="1:12">
      <c r="A132" s="115"/>
      <c r="B132" s="115"/>
      <c r="C132" s="115"/>
      <c r="D132" s="115"/>
      <c r="E132" s="115"/>
      <c r="F132" s="121"/>
      <c r="G132" s="122"/>
      <c r="H132" s="115"/>
      <c r="I132" s="115"/>
      <c r="J132" s="115"/>
      <c r="K132" s="115"/>
      <c r="L132" s="115"/>
    </row>
    <row r="133" spans="1:12">
      <c r="A133" s="115"/>
      <c r="B133" s="115"/>
      <c r="C133" s="115"/>
      <c r="D133" s="115"/>
      <c r="E133" s="115"/>
      <c r="F133" s="121"/>
      <c r="G133" s="122"/>
      <c r="H133" s="115"/>
      <c r="I133" s="115"/>
      <c r="J133" s="115"/>
      <c r="K133" s="115"/>
      <c r="L133" s="115"/>
    </row>
    <row r="134" spans="1:12">
      <c r="A134" s="115"/>
      <c r="B134" s="115"/>
      <c r="C134" s="115"/>
      <c r="D134" s="115"/>
      <c r="E134" s="115"/>
      <c r="F134" s="121"/>
      <c r="G134" s="122"/>
      <c r="H134" s="115"/>
      <c r="I134" s="115"/>
      <c r="J134" s="115"/>
      <c r="K134" s="115"/>
      <c r="L134" s="115"/>
    </row>
    <row r="135" spans="1:12">
      <c r="A135" s="115"/>
      <c r="B135" s="115"/>
      <c r="C135" s="115"/>
      <c r="D135" s="115"/>
      <c r="E135" s="115"/>
      <c r="F135" s="121"/>
      <c r="G135" s="122"/>
      <c r="H135" s="115"/>
      <c r="I135" s="115"/>
      <c r="J135" s="115"/>
      <c r="K135" s="115"/>
      <c r="L135" s="115"/>
    </row>
    <row r="136" spans="1:12">
      <c r="A136" s="115"/>
      <c r="B136" s="115"/>
      <c r="C136" s="115"/>
      <c r="D136" s="115"/>
      <c r="E136" s="115"/>
      <c r="F136" s="121"/>
      <c r="G136" s="122"/>
      <c r="H136" s="115"/>
      <c r="I136" s="115"/>
      <c r="J136" s="115"/>
      <c r="K136" s="115"/>
      <c r="L136" s="115"/>
    </row>
    <row r="137" spans="1:12">
      <c r="A137" s="115"/>
      <c r="B137" s="115"/>
      <c r="C137" s="115"/>
      <c r="D137" s="115"/>
      <c r="E137" s="115"/>
      <c r="F137" s="121"/>
      <c r="G137" s="122"/>
      <c r="H137" s="115"/>
      <c r="I137" s="115"/>
      <c r="J137" s="115"/>
      <c r="K137" s="115"/>
      <c r="L137" s="115"/>
    </row>
    <row r="138" spans="1:12">
      <c r="A138" s="115"/>
      <c r="B138" s="115"/>
      <c r="C138" s="115"/>
      <c r="D138" s="115"/>
      <c r="E138" s="115"/>
      <c r="F138" s="121"/>
      <c r="G138" s="122"/>
      <c r="H138" s="115"/>
      <c r="I138" s="115"/>
      <c r="J138" s="115"/>
      <c r="K138" s="115"/>
      <c r="L138" s="115"/>
    </row>
    <row r="139" spans="1:12">
      <c r="A139" s="115"/>
      <c r="B139" s="115"/>
      <c r="C139" s="115"/>
      <c r="D139" s="115"/>
      <c r="E139" s="115"/>
      <c r="F139" s="121"/>
      <c r="G139" s="122"/>
      <c r="H139" s="115"/>
      <c r="I139" s="115"/>
      <c r="J139" s="115"/>
      <c r="K139" s="115"/>
      <c r="L139" s="115"/>
    </row>
    <row r="140" spans="1:12">
      <c r="A140" s="115"/>
      <c r="B140" s="115"/>
      <c r="C140" s="115"/>
      <c r="D140" s="115"/>
      <c r="E140" s="115"/>
      <c r="F140" s="121"/>
      <c r="G140" s="122"/>
      <c r="H140" s="115"/>
      <c r="I140" s="115"/>
      <c r="J140" s="115"/>
      <c r="K140" s="115"/>
      <c r="L140" s="115"/>
    </row>
    <row r="141" spans="1:12">
      <c r="A141" s="115"/>
      <c r="B141" s="115"/>
      <c r="C141" s="115"/>
      <c r="D141" s="115"/>
      <c r="E141" s="115"/>
      <c r="F141" s="121"/>
      <c r="G141" s="122"/>
      <c r="H141" s="115"/>
      <c r="I141" s="115"/>
      <c r="J141" s="115"/>
      <c r="K141" s="115"/>
      <c r="L141" s="115"/>
    </row>
    <row r="142" spans="1:12">
      <c r="A142" s="115"/>
      <c r="B142" s="115"/>
      <c r="C142" s="115"/>
      <c r="D142" s="115"/>
      <c r="E142" s="115"/>
      <c r="F142" s="121"/>
      <c r="G142" s="122"/>
      <c r="H142" s="115"/>
      <c r="I142" s="115"/>
      <c r="J142" s="115"/>
      <c r="K142" s="115"/>
      <c r="L142" s="115"/>
    </row>
    <row r="143" spans="1:12">
      <c r="A143" s="115"/>
      <c r="B143" s="115"/>
      <c r="C143" s="115"/>
      <c r="D143" s="115"/>
      <c r="E143" s="115"/>
      <c r="F143" s="121"/>
      <c r="G143" s="122"/>
      <c r="H143" s="115"/>
      <c r="I143" s="115"/>
      <c r="J143" s="115"/>
      <c r="K143" s="115"/>
      <c r="L143" s="115"/>
    </row>
    <row r="144" spans="1:12">
      <c r="A144" s="115"/>
      <c r="B144" s="115"/>
      <c r="C144" s="115"/>
      <c r="D144" s="115"/>
      <c r="E144" s="115"/>
      <c r="F144" s="121"/>
      <c r="G144" s="122"/>
      <c r="H144" s="115"/>
      <c r="I144" s="115"/>
      <c r="J144" s="115"/>
      <c r="K144" s="115"/>
      <c r="L144" s="115"/>
    </row>
    <row r="145" spans="1:12">
      <c r="A145" s="115"/>
      <c r="B145" s="115"/>
      <c r="C145" s="115"/>
      <c r="D145" s="115"/>
      <c r="E145" s="115"/>
      <c r="F145" s="121"/>
      <c r="G145" s="122"/>
      <c r="H145" s="115"/>
      <c r="I145" s="115"/>
      <c r="J145" s="115"/>
      <c r="K145" s="115"/>
      <c r="L145" s="115"/>
    </row>
    <row r="146" spans="1:12">
      <c r="A146" s="115"/>
      <c r="B146" s="115"/>
      <c r="C146" s="115"/>
      <c r="D146" s="115"/>
      <c r="E146" s="115"/>
      <c r="F146" s="121"/>
      <c r="G146" s="122"/>
      <c r="H146" s="115"/>
      <c r="I146" s="115"/>
      <c r="J146" s="115"/>
      <c r="K146" s="115"/>
      <c r="L146" s="115"/>
    </row>
    <row r="147" spans="1:12">
      <c r="A147" s="115"/>
      <c r="B147" s="115"/>
      <c r="C147" s="115"/>
      <c r="D147" s="115"/>
      <c r="E147" s="115"/>
      <c r="F147" s="121"/>
      <c r="G147" s="122"/>
      <c r="H147" s="115"/>
      <c r="I147" s="115"/>
      <c r="J147" s="115"/>
      <c r="K147" s="115"/>
      <c r="L147" s="115"/>
    </row>
    <row r="148" spans="1:12">
      <c r="A148" s="115"/>
      <c r="B148" s="115"/>
      <c r="C148" s="115"/>
      <c r="D148" s="115"/>
      <c r="E148" s="115"/>
      <c r="F148" s="121"/>
      <c r="G148" s="122"/>
      <c r="H148" s="115"/>
      <c r="I148" s="115"/>
      <c r="J148" s="115"/>
      <c r="K148" s="115"/>
      <c r="L148" s="115"/>
    </row>
    <row r="149" spans="1:12">
      <c r="A149" s="115"/>
      <c r="B149" s="115"/>
      <c r="C149" s="115"/>
      <c r="D149" s="115"/>
      <c r="E149" s="115"/>
      <c r="F149" s="121"/>
      <c r="G149" s="122"/>
      <c r="H149" s="115"/>
      <c r="I149" s="115"/>
      <c r="J149" s="115"/>
      <c r="K149" s="115"/>
      <c r="L149" s="115"/>
    </row>
    <row r="150" spans="1:12">
      <c r="A150" s="115"/>
      <c r="B150" s="115"/>
      <c r="C150" s="115"/>
      <c r="D150" s="115"/>
      <c r="E150" s="115"/>
      <c r="F150" s="121"/>
      <c r="G150" s="122"/>
      <c r="H150" s="115"/>
      <c r="I150" s="115"/>
      <c r="J150" s="115"/>
      <c r="K150" s="115"/>
      <c r="L150" s="115"/>
    </row>
    <row r="151" spans="1:12">
      <c r="A151" s="115"/>
      <c r="B151" s="115"/>
      <c r="C151" s="115"/>
      <c r="D151" s="115"/>
      <c r="E151" s="115"/>
      <c r="F151" s="121"/>
      <c r="G151" s="122"/>
      <c r="H151" s="115"/>
      <c r="I151" s="115"/>
      <c r="J151" s="115"/>
      <c r="K151" s="115"/>
      <c r="L151" s="115"/>
    </row>
    <row r="152" spans="1:12">
      <c r="A152" s="115"/>
      <c r="B152" s="115"/>
      <c r="C152" s="115"/>
      <c r="D152" s="115"/>
      <c r="E152" s="115"/>
      <c r="F152" s="121"/>
      <c r="G152" s="122"/>
      <c r="H152" s="115"/>
      <c r="I152" s="115"/>
      <c r="J152" s="115"/>
      <c r="K152" s="115"/>
      <c r="L152" s="115"/>
    </row>
    <row r="153" spans="1:12">
      <c r="A153" s="115"/>
      <c r="B153" s="115"/>
      <c r="C153" s="115"/>
      <c r="D153" s="115"/>
      <c r="E153" s="115"/>
      <c r="F153" s="121"/>
      <c r="G153" s="122"/>
      <c r="H153" s="115"/>
      <c r="I153" s="115"/>
      <c r="J153" s="115"/>
      <c r="K153" s="115"/>
      <c r="L153" s="115"/>
    </row>
    <row r="154" spans="1:12">
      <c r="A154" s="115"/>
      <c r="B154" s="115"/>
      <c r="C154" s="115"/>
      <c r="D154" s="115"/>
      <c r="E154" s="115"/>
      <c r="F154" s="121"/>
      <c r="G154" s="122"/>
      <c r="H154" s="115"/>
      <c r="I154" s="115"/>
      <c r="J154" s="115"/>
      <c r="K154" s="115"/>
      <c r="L154" s="115"/>
    </row>
    <row r="155" spans="1:12">
      <c r="A155" s="115"/>
      <c r="B155" s="115"/>
      <c r="C155" s="115"/>
      <c r="D155" s="115"/>
      <c r="E155" s="115"/>
      <c r="F155" s="121"/>
      <c r="G155" s="122"/>
      <c r="H155" s="115"/>
      <c r="I155" s="115"/>
      <c r="J155" s="115"/>
      <c r="K155" s="115"/>
      <c r="L155" s="115"/>
    </row>
    <row r="156" spans="1:12">
      <c r="A156" s="115"/>
      <c r="B156" s="115"/>
      <c r="C156" s="115"/>
      <c r="D156" s="115"/>
      <c r="E156" s="115"/>
      <c r="F156" s="121"/>
      <c r="G156" s="122"/>
      <c r="H156" s="115"/>
      <c r="I156" s="115"/>
      <c r="J156" s="115"/>
      <c r="K156" s="115"/>
      <c r="L156" s="115"/>
    </row>
    <row r="157" spans="1:12">
      <c r="A157" s="115"/>
      <c r="B157" s="115"/>
      <c r="C157" s="115"/>
      <c r="D157" s="115"/>
      <c r="E157" s="115"/>
      <c r="F157" s="121"/>
      <c r="G157" s="122"/>
      <c r="H157" s="115"/>
      <c r="I157" s="115"/>
      <c r="J157" s="115"/>
      <c r="K157" s="115"/>
      <c r="L157" s="115"/>
    </row>
    <row r="158" spans="1:12">
      <c r="A158" s="115"/>
      <c r="B158" s="115"/>
      <c r="C158" s="115"/>
      <c r="D158" s="115"/>
      <c r="E158" s="115"/>
      <c r="F158" s="121"/>
      <c r="G158" s="122"/>
      <c r="H158" s="115"/>
      <c r="I158" s="115"/>
      <c r="J158" s="115"/>
      <c r="K158" s="115"/>
      <c r="L158" s="115"/>
    </row>
    <row r="159" spans="1:12">
      <c r="A159" s="115"/>
      <c r="B159" s="115"/>
      <c r="C159" s="115"/>
      <c r="D159" s="115"/>
      <c r="E159" s="115"/>
      <c r="F159" s="121"/>
      <c r="G159" s="122"/>
      <c r="H159" s="115"/>
      <c r="I159" s="115"/>
      <c r="J159" s="115"/>
      <c r="K159" s="115"/>
      <c r="L159" s="115"/>
    </row>
    <row r="160" spans="1:12">
      <c r="A160" s="115"/>
      <c r="B160" s="115"/>
      <c r="C160" s="115"/>
      <c r="D160" s="115"/>
      <c r="E160" s="115"/>
      <c r="F160" s="121"/>
      <c r="G160" s="122"/>
      <c r="H160" s="115"/>
      <c r="I160" s="115"/>
      <c r="J160" s="115"/>
      <c r="K160" s="115"/>
      <c r="L160" s="115"/>
    </row>
    <row r="161" spans="1:12">
      <c r="A161" s="115"/>
      <c r="B161" s="115"/>
      <c r="C161" s="115"/>
      <c r="D161" s="115"/>
      <c r="E161" s="115"/>
      <c r="F161" s="121"/>
      <c r="G161" s="122"/>
      <c r="H161" s="115"/>
      <c r="I161" s="115"/>
      <c r="J161" s="115"/>
      <c r="K161" s="115"/>
      <c r="L161" s="115"/>
    </row>
    <row r="162" spans="1:12">
      <c r="A162" s="115"/>
      <c r="B162" s="115"/>
      <c r="C162" s="115"/>
      <c r="D162" s="115"/>
      <c r="E162" s="115"/>
      <c r="F162" s="121"/>
      <c r="G162" s="122"/>
      <c r="H162" s="115"/>
      <c r="I162" s="115"/>
      <c r="J162" s="115"/>
      <c r="K162" s="115"/>
      <c r="L162" s="115"/>
    </row>
    <row r="163" spans="1:12">
      <c r="A163" s="115"/>
      <c r="B163" s="115"/>
      <c r="C163" s="115"/>
      <c r="D163" s="115"/>
      <c r="E163" s="115"/>
      <c r="F163" s="121"/>
      <c r="G163" s="122"/>
      <c r="H163" s="115"/>
      <c r="I163" s="115"/>
      <c r="J163" s="115"/>
      <c r="K163" s="115"/>
      <c r="L163" s="115"/>
    </row>
    <row r="164" spans="1:12">
      <c r="A164" s="115"/>
      <c r="B164" s="115"/>
      <c r="C164" s="115"/>
      <c r="D164" s="115"/>
      <c r="E164" s="115"/>
      <c r="F164" s="121"/>
      <c r="G164" s="122"/>
      <c r="H164" s="115"/>
      <c r="I164" s="115"/>
      <c r="J164" s="115"/>
      <c r="K164" s="115"/>
      <c r="L164" s="115"/>
    </row>
    <row r="165" spans="1:12">
      <c r="A165" s="115"/>
      <c r="B165" s="115"/>
      <c r="C165" s="115"/>
      <c r="D165" s="115"/>
      <c r="E165" s="115"/>
      <c r="F165" s="121"/>
      <c r="G165" s="122"/>
      <c r="H165" s="115"/>
      <c r="I165" s="115"/>
      <c r="J165" s="115"/>
      <c r="K165" s="115"/>
      <c r="L165" s="115"/>
    </row>
    <row r="166" spans="1:12">
      <c r="A166" s="115"/>
      <c r="B166" s="115"/>
      <c r="C166" s="115"/>
      <c r="D166" s="115"/>
      <c r="E166" s="115"/>
      <c r="F166" s="121"/>
      <c r="G166" s="122"/>
      <c r="H166" s="115"/>
      <c r="I166" s="115"/>
      <c r="J166" s="115"/>
      <c r="K166" s="115"/>
      <c r="L166" s="115"/>
    </row>
    <row r="167" spans="1:12">
      <c r="A167" s="115"/>
      <c r="B167" s="115"/>
      <c r="C167" s="115"/>
      <c r="D167" s="115"/>
      <c r="E167" s="115"/>
      <c r="F167" s="121"/>
      <c r="G167" s="122"/>
      <c r="H167" s="115"/>
      <c r="I167" s="115"/>
      <c r="J167" s="115"/>
      <c r="K167" s="115"/>
      <c r="L167" s="115"/>
    </row>
    <row r="168" spans="1:12">
      <c r="A168" s="115"/>
      <c r="B168" s="115"/>
      <c r="C168" s="115"/>
      <c r="D168" s="115"/>
      <c r="E168" s="115"/>
      <c r="F168" s="121"/>
      <c r="G168" s="122"/>
      <c r="H168" s="115"/>
      <c r="I168" s="115"/>
      <c r="J168" s="115"/>
      <c r="K168" s="115"/>
      <c r="L168" s="115"/>
    </row>
    <row r="169" spans="1:12">
      <c r="A169" s="115"/>
      <c r="B169" s="115"/>
      <c r="C169" s="115"/>
      <c r="D169" s="115"/>
      <c r="E169" s="115"/>
      <c r="F169" s="121"/>
      <c r="G169" s="122"/>
      <c r="H169" s="115"/>
      <c r="I169" s="115"/>
      <c r="J169" s="115"/>
      <c r="K169" s="115"/>
      <c r="L169" s="115"/>
    </row>
    <row r="170" spans="1:12">
      <c r="A170" s="115"/>
      <c r="B170" s="115"/>
      <c r="C170" s="115"/>
      <c r="D170" s="115"/>
      <c r="E170" s="115"/>
      <c r="F170" s="121"/>
      <c r="G170" s="122"/>
      <c r="H170" s="115"/>
      <c r="I170" s="115"/>
      <c r="J170" s="115"/>
      <c r="K170" s="115"/>
      <c r="L170" s="115"/>
    </row>
    <row r="171" spans="1:12">
      <c r="A171" s="115"/>
      <c r="B171" s="115"/>
      <c r="C171" s="115"/>
      <c r="D171" s="115"/>
      <c r="E171" s="115"/>
      <c r="F171" s="121"/>
      <c r="G171" s="122"/>
      <c r="H171" s="115"/>
      <c r="I171" s="115"/>
      <c r="J171" s="115"/>
      <c r="K171" s="115"/>
      <c r="L171" s="115"/>
    </row>
    <row r="172" spans="1:12">
      <c r="A172" s="115"/>
      <c r="B172" s="115"/>
      <c r="C172" s="115"/>
      <c r="D172" s="115"/>
      <c r="E172" s="115"/>
      <c r="F172" s="121"/>
      <c r="G172" s="122"/>
      <c r="H172" s="115"/>
      <c r="I172" s="115"/>
      <c r="J172" s="115"/>
      <c r="K172" s="115"/>
      <c r="L172" s="115"/>
    </row>
    <row r="173" spans="1:12">
      <c r="A173" s="115"/>
      <c r="B173" s="115"/>
      <c r="C173" s="115"/>
      <c r="D173" s="115"/>
      <c r="E173" s="115"/>
      <c r="F173" s="121"/>
      <c r="G173" s="122"/>
      <c r="H173" s="115"/>
      <c r="I173" s="115"/>
      <c r="J173" s="115"/>
      <c r="K173" s="115"/>
      <c r="L173" s="115"/>
    </row>
    <row r="174" spans="1:12">
      <c r="A174" s="115"/>
      <c r="B174" s="115"/>
      <c r="C174" s="115"/>
      <c r="D174" s="115"/>
      <c r="E174" s="115"/>
      <c r="F174" s="121"/>
      <c r="G174" s="122"/>
      <c r="H174" s="115"/>
      <c r="I174" s="115"/>
      <c r="J174" s="115"/>
      <c r="K174" s="115"/>
      <c r="L174" s="115"/>
    </row>
    <row r="175" spans="1:12">
      <c r="A175" s="115"/>
      <c r="B175" s="115"/>
      <c r="C175" s="115"/>
      <c r="D175" s="115"/>
      <c r="E175" s="115"/>
      <c r="F175" s="121"/>
      <c r="G175" s="122"/>
      <c r="H175" s="115"/>
      <c r="I175" s="115"/>
      <c r="J175" s="115"/>
      <c r="K175" s="115"/>
      <c r="L175" s="115"/>
    </row>
    <row r="176" spans="1:12">
      <c r="A176" s="115"/>
      <c r="B176" s="115"/>
      <c r="C176" s="115"/>
      <c r="D176" s="115"/>
      <c r="E176" s="115"/>
      <c r="F176" s="121"/>
      <c r="G176" s="122"/>
      <c r="H176" s="115"/>
      <c r="I176" s="115"/>
      <c r="J176" s="115"/>
      <c r="K176" s="115"/>
      <c r="L176" s="115"/>
    </row>
    <row r="177" spans="1:12">
      <c r="A177" s="115"/>
      <c r="B177" s="115"/>
      <c r="C177" s="115"/>
      <c r="D177" s="115"/>
      <c r="E177" s="115"/>
      <c r="F177" s="121"/>
      <c r="G177" s="122"/>
      <c r="H177" s="115"/>
      <c r="I177" s="115"/>
      <c r="J177" s="115"/>
      <c r="K177" s="115"/>
      <c r="L177" s="115"/>
    </row>
    <row r="178" spans="1:12">
      <c r="A178" s="115"/>
      <c r="B178" s="115"/>
      <c r="C178" s="115"/>
      <c r="D178" s="115"/>
      <c r="E178" s="115"/>
      <c r="F178" s="121"/>
      <c r="G178" s="122"/>
      <c r="H178" s="115"/>
      <c r="I178" s="115"/>
      <c r="J178" s="115"/>
      <c r="K178" s="115"/>
      <c r="L178" s="115"/>
    </row>
    <row r="179" spans="1:12">
      <c r="A179" s="115"/>
      <c r="B179" s="115"/>
      <c r="C179" s="115"/>
      <c r="D179" s="115"/>
      <c r="E179" s="115"/>
      <c r="F179" s="121"/>
      <c r="G179" s="122"/>
      <c r="H179" s="115"/>
      <c r="I179" s="115"/>
      <c r="J179" s="115"/>
      <c r="K179" s="115"/>
      <c r="L179" s="115"/>
    </row>
    <row r="180" spans="1:12">
      <c r="A180" s="115"/>
      <c r="B180" s="115"/>
      <c r="C180" s="115"/>
      <c r="D180" s="115"/>
      <c r="E180" s="115"/>
      <c r="F180" s="121"/>
      <c r="G180" s="122"/>
      <c r="H180" s="115"/>
      <c r="I180" s="115"/>
      <c r="J180" s="115"/>
      <c r="K180" s="115"/>
      <c r="L180" s="115"/>
    </row>
    <row r="181" spans="1:12">
      <c r="A181" s="115"/>
      <c r="B181" s="115"/>
      <c r="C181" s="115"/>
      <c r="D181" s="115"/>
      <c r="E181" s="115"/>
      <c r="F181" s="121"/>
      <c r="G181" s="122"/>
      <c r="H181" s="115"/>
      <c r="I181" s="115"/>
      <c r="J181" s="115"/>
      <c r="K181" s="115"/>
      <c r="L181" s="115"/>
    </row>
    <row r="182" spans="1:12">
      <c r="A182" s="115"/>
      <c r="B182" s="115"/>
      <c r="C182" s="115"/>
      <c r="D182" s="115"/>
      <c r="E182" s="115"/>
      <c r="F182" s="121"/>
      <c r="G182" s="122"/>
      <c r="H182" s="115"/>
      <c r="I182" s="115"/>
      <c r="J182" s="115"/>
      <c r="K182" s="115"/>
      <c r="L182" s="115"/>
    </row>
    <row r="183" spans="1:12">
      <c r="A183" s="115"/>
      <c r="B183" s="115"/>
      <c r="C183" s="115"/>
      <c r="D183" s="115"/>
      <c r="E183" s="115"/>
      <c r="F183" s="121"/>
      <c r="G183" s="122"/>
      <c r="H183" s="115"/>
      <c r="I183" s="115"/>
      <c r="J183" s="115"/>
      <c r="K183" s="115"/>
      <c r="L183" s="115"/>
    </row>
    <row r="184" spans="1:12">
      <c r="A184" s="115"/>
      <c r="B184" s="115"/>
      <c r="C184" s="115"/>
      <c r="D184" s="115"/>
      <c r="E184" s="115"/>
      <c r="F184" s="121"/>
      <c r="G184" s="122"/>
      <c r="H184" s="115"/>
      <c r="I184" s="115"/>
      <c r="J184" s="115"/>
      <c r="K184" s="115"/>
      <c r="L184" s="115"/>
    </row>
    <row r="185" spans="1:12">
      <c r="A185" s="115"/>
      <c r="B185" s="115"/>
      <c r="C185" s="115"/>
      <c r="D185" s="115"/>
      <c r="E185" s="115"/>
      <c r="F185" s="121"/>
      <c r="G185" s="122"/>
      <c r="H185" s="115"/>
      <c r="I185" s="115"/>
      <c r="J185" s="115"/>
      <c r="K185" s="115"/>
      <c r="L185" s="115"/>
    </row>
    <row r="186" spans="1:12">
      <c r="A186" s="115"/>
      <c r="B186" s="115"/>
      <c r="C186" s="115"/>
      <c r="D186" s="115"/>
      <c r="E186" s="115"/>
      <c r="F186" s="121"/>
      <c r="G186" s="122"/>
      <c r="H186" s="115"/>
      <c r="I186" s="115"/>
      <c r="J186" s="115"/>
      <c r="K186" s="115"/>
      <c r="L186" s="115"/>
    </row>
    <row r="187" spans="1:12">
      <c r="A187" s="115"/>
      <c r="B187" s="115"/>
      <c r="C187" s="115"/>
      <c r="D187" s="115"/>
      <c r="E187" s="115"/>
      <c r="F187" s="121"/>
      <c r="G187" s="122"/>
      <c r="H187" s="115"/>
      <c r="I187" s="115"/>
      <c r="J187" s="115"/>
      <c r="K187" s="115"/>
      <c r="L187" s="115"/>
    </row>
    <row r="188" spans="1:12">
      <c r="A188" s="115"/>
      <c r="B188" s="115"/>
      <c r="C188" s="115"/>
      <c r="D188" s="115"/>
      <c r="E188" s="115"/>
      <c r="F188" s="121"/>
      <c r="G188" s="122"/>
      <c r="H188" s="115"/>
      <c r="I188" s="115"/>
      <c r="J188" s="115"/>
      <c r="K188" s="115"/>
      <c r="L188" s="115"/>
    </row>
    <row r="189" spans="1:12">
      <c r="A189" s="115"/>
      <c r="B189" s="115"/>
      <c r="C189" s="115"/>
      <c r="D189" s="115"/>
      <c r="E189" s="115"/>
      <c r="F189" s="121"/>
      <c r="G189" s="122"/>
      <c r="H189" s="115"/>
      <c r="I189" s="115"/>
      <c r="J189" s="115"/>
      <c r="K189" s="115"/>
      <c r="L189" s="115"/>
    </row>
    <row r="190" spans="1:12">
      <c r="A190" s="115"/>
      <c r="B190" s="115"/>
      <c r="C190" s="115"/>
      <c r="D190" s="115"/>
      <c r="E190" s="115"/>
      <c r="F190" s="121"/>
      <c r="G190" s="122"/>
      <c r="H190" s="115"/>
      <c r="I190" s="115"/>
      <c r="J190" s="115"/>
      <c r="K190" s="115"/>
      <c r="L190" s="115"/>
    </row>
    <row r="191" spans="1:12">
      <c r="A191" s="115"/>
      <c r="B191" s="115"/>
      <c r="C191" s="115"/>
      <c r="D191" s="115"/>
      <c r="E191" s="115"/>
      <c r="F191" s="121"/>
      <c r="G191" s="122"/>
      <c r="H191" s="115"/>
      <c r="I191" s="115"/>
      <c r="J191" s="115"/>
      <c r="K191" s="115"/>
      <c r="L191" s="115"/>
    </row>
    <row r="192" spans="1:12">
      <c r="A192" s="115"/>
      <c r="B192" s="115"/>
      <c r="C192" s="115"/>
      <c r="D192" s="115"/>
      <c r="E192" s="115"/>
      <c r="F192" s="121"/>
      <c r="G192" s="122"/>
      <c r="H192" s="115"/>
      <c r="I192" s="115"/>
      <c r="J192" s="115"/>
      <c r="K192" s="115"/>
      <c r="L192" s="115"/>
    </row>
    <row r="193" spans="1:12">
      <c r="A193" s="115"/>
      <c r="B193" s="115"/>
      <c r="C193" s="115"/>
      <c r="D193" s="115"/>
      <c r="E193" s="115"/>
      <c r="F193" s="121"/>
      <c r="G193" s="122"/>
      <c r="H193" s="115"/>
      <c r="I193" s="115"/>
      <c r="J193" s="115"/>
      <c r="K193" s="115"/>
      <c r="L193" s="115"/>
    </row>
    <row r="194" spans="1:12">
      <c r="A194" s="115"/>
      <c r="B194" s="115"/>
      <c r="C194" s="115"/>
      <c r="D194" s="115"/>
      <c r="E194" s="115"/>
      <c r="F194" s="121"/>
      <c r="G194" s="122"/>
      <c r="H194" s="115"/>
      <c r="I194" s="115"/>
      <c r="J194" s="115"/>
      <c r="K194" s="115"/>
      <c r="L194" s="115"/>
    </row>
    <row r="195" spans="1:12">
      <c r="A195" s="115"/>
      <c r="B195" s="115"/>
      <c r="C195" s="115"/>
      <c r="D195" s="115"/>
      <c r="E195" s="115"/>
      <c r="F195" s="121"/>
      <c r="G195" s="122"/>
      <c r="H195" s="115"/>
      <c r="I195" s="115"/>
      <c r="J195" s="115"/>
      <c r="K195" s="115"/>
      <c r="L195" s="115"/>
    </row>
    <row r="196" spans="1:12">
      <c r="A196" s="115"/>
      <c r="B196" s="115"/>
      <c r="C196" s="115"/>
      <c r="D196" s="115"/>
      <c r="E196" s="115"/>
      <c r="F196" s="121"/>
      <c r="G196" s="122"/>
      <c r="H196" s="115"/>
      <c r="I196" s="115"/>
      <c r="J196" s="115"/>
      <c r="K196" s="115"/>
      <c r="L196" s="115"/>
    </row>
    <row r="197" spans="1:12">
      <c r="A197" s="115"/>
      <c r="B197" s="115"/>
      <c r="C197" s="115"/>
      <c r="D197" s="115"/>
      <c r="E197" s="115"/>
      <c r="F197" s="121"/>
      <c r="G197" s="122"/>
      <c r="H197" s="115"/>
      <c r="I197" s="115"/>
      <c r="J197" s="115"/>
      <c r="K197" s="115"/>
      <c r="L197" s="115"/>
    </row>
    <row r="198" spans="1:12">
      <c r="A198" s="115"/>
      <c r="B198" s="115"/>
      <c r="C198" s="115"/>
      <c r="D198" s="115"/>
      <c r="E198" s="115"/>
      <c r="F198" s="121"/>
      <c r="G198" s="122"/>
      <c r="H198" s="115"/>
      <c r="I198" s="115"/>
      <c r="J198" s="115"/>
      <c r="K198" s="115"/>
      <c r="L198" s="115"/>
    </row>
    <row r="199" spans="1:12">
      <c r="A199" s="115"/>
      <c r="B199" s="115"/>
      <c r="C199" s="115"/>
      <c r="D199" s="115"/>
      <c r="E199" s="115"/>
      <c r="F199" s="121"/>
      <c r="G199" s="122"/>
      <c r="H199" s="115"/>
      <c r="I199" s="115"/>
      <c r="J199" s="115"/>
      <c r="K199" s="115"/>
      <c r="L199" s="115"/>
    </row>
    <row r="200" spans="1:12">
      <c r="A200" s="115"/>
      <c r="B200" s="115"/>
      <c r="C200" s="115"/>
      <c r="D200" s="115"/>
      <c r="E200" s="115"/>
      <c r="F200" s="121"/>
      <c r="G200" s="122"/>
      <c r="H200" s="115"/>
      <c r="I200" s="115"/>
      <c r="J200" s="115"/>
      <c r="K200" s="115"/>
      <c r="L200" s="115"/>
    </row>
    <row r="201" spans="1:12">
      <c r="A201" s="115"/>
      <c r="B201" s="115"/>
      <c r="C201" s="115"/>
      <c r="D201" s="115"/>
      <c r="E201" s="115"/>
      <c r="F201" s="121"/>
      <c r="G201" s="122"/>
      <c r="H201" s="115"/>
      <c r="I201" s="115"/>
      <c r="J201" s="115"/>
      <c r="K201" s="115"/>
      <c r="L201" s="115"/>
    </row>
    <row r="202" spans="1:12">
      <c r="A202" s="115"/>
      <c r="B202" s="115"/>
      <c r="C202" s="115"/>
      <c r="D202" s="115"/>
      <c r="E202" s="115"/>
      <c r="F202" s="121"/>
      <c r="G202" s="122"/>
      <c r="H202" s="115"/>
      <c r="I202" s="115"/>
      <c r="J202" s="115"/>
      <c r="K202" s="115"/>
      <c r="L202" s="115"/>
    </row>
    <row r="203" spans="1:12">
      <c r="A203" s="115"/>
      <c r="B203" s="115"/>
      <c r="C203" s="115"/>
      <c r="D203" s="115"/>
      <c r="E203" s="115"/>
      <c r="F203" s="121"/>
      <c r="G203" s="122"/>
      <c r="H203" s="115"/>
      <c r="I203" s="115"/>
      <c r="J203" s="115"/>
      <c r="K203" s="115"/>
      <c r="L203" s="115"/>
    </row>
    <row r="204" spans="1:12">
      <c r="A204" s="115"/>
      <c r="B204" s="115"/>
      <c r="C204" s="115"/>
      <c r="D204" s="115"/>
      <c r="E204" s="115"/>
      <c r="F204" s="121"/>
      <c r="G204" s="122"/>
      <c r="H204" s="115"/>
      <c r="I204" s="115"/>
      <c r="J204" s="115"/>
      <c r="K204" s="115"/>
      <c r="L204" s="115"/>
    </row>
    <row r="205" spans="1:12">
      <c r="A205" s="115"/>
      <c r="B205" s="115"/>
      <c r="C205" s="115"/>
      <c r="D205" s="115"/>
      <c r="E205" s="115"/>
      <c r="F205" s="121"/>
      <c r="G205" s="122"/>
      <c r="H205" s="115"/>
      <c r="I205" s="115"/>
      <c r="J205" s="115"/>
      <c r="K205" s="115"/>
      <c r="L205" s="115"/>
    </row>
    <row r="206" spans="1:12">
      <c r="A206" s="115"/>
      <c r="B206" s="115"/>
      <c r="C206" s="115"/>
      <c r="D206" s="115"/>
      <c r="E206" s="115"/>
      <c r="F206" s="121"/>
      <c r="G206" s="122"/>
      <c r="H206" s="115"/>
      <c r="I206" s="115"/>
      <c r="J206" s="115"/>
      <c r="K206" s="115"/>
      <c r="L206" s="115"/>
    </row>
    <row r="207" spans="1:12">
      <c r="A207" s="115"/>
      <c r="B207" s="115"/>
      <c r="C207" s="115"/>
      <c r="D207" s="115"/>
      <c r="E207" s="115"/>
      <c r="F207" s="121"/>
      <c r="G207" s="122"/>
      <c r="H207" s="115"/>
      <c r="I207" s="115"/>
      <c r="J207" s="115"/>
      <c r="K207" s="115"/>
      <c r="L207" s="115"/>
    </row>
    <row r="208" spans="1:12">
      <c r="A208" s="115"/>
      <c r="B208" s="115"/>
      <c r="C208" s="115"/>
      <c r="D208" s="115"/>
      <c r="E208" s="115"/>
      <c r="F208" s="121"/>
      <c r="G208" s="122"/>
      <c r="H208" s="115"/>
      <c r="I208" s="115"/>
      <c r="J208" s="115"/>
      <c r="K208" s="115"/>
      <c r="L208" s="115"/>
    </row>
    <row r="209" spans="1:12">
      <c r="A209" s="115"/>
      <c r="B209" s="115"/>
      <c r="C209" s="115"/>
      <c r="D209" s="115"/>
      <c r="E209" s="115"/>
      <c r="F209" s="121"/>
      <c r="G209" s="122"/>
      <c r="H209" s="115"/>
      <c r="I209" s="115"/>
      <c r="J209" s="115"/>
      <c r="K209" s="115"/>
      <c r="L209" s="115"/>
    </row>
    <row r="210" spans="1:12">
      <c r="A210" s="115"/>
      <c r="B210" s="115"/>
      <c r="C210" s="115"/>
      <c r="D210" s="115"/>
      <c r="E210" s="115"/>
      <c r="F210" s="121"/>
      <c r="G210" s="122"/>
      <c r="H210" s="115"/>
      <c r="I210" s="115"/>
      <c r="J210" s="115"/>
      <c r="K210" s="115"/>
      <c r="L210" s="115"/>
    </row>
    <row r="211" spans="1:12">
      <c r="A211" s="115"/>
      <c r="B211" s="115"/>
      <c r="C211" s="115"/>
      <c r="D211" s="115"/>
      <c r="E211" s="115"/>
      <c r="F211" s="121"/>
      <c r="G211" s="122"/>
      <c r="H211" s="115"/>
      <c r="I211" s="115"/>
      <c r="J211" s="115"/>
      <c r="K211" s="115"/>
      <c r="L211" s="115"/>
    </row>
    <row r="212" spans="1:12">
      <c r="A212" s="115"/>
      <c r="B212" s="115"/>
      <c r="C212" s="115"/>
      <c r="D212" s="115"/>
      <c r="E212" s="115"/>
      <c r="F212" s="121"/>
      <c r="G212" s="122"/>
      <c r="H212" s="115"/>
      <c r="I212" s="115"/>
      <c r="J212" s="115"/>
      <c r="K212" s="115"/>
      <c r="L212" s="115"/>
    </row>
    <row r="213" spans="1:12">
      <c r="A213" s="115"/>
      <c r="B213" s="115"/>
      <c r="C213" s="115"/>
      <c r="D213" s="115"/>
      <c r="E213" s="115"/>
      <c r="F213" s="121"/>
      <c r="G213" s="122"/>
      <c r="H213" s="115"/>
      <c r="I213" s="115"/>
      <c r="J213" s="115"/>
      <c r="K213" s="115"/>
      <c r="L213" s="115"/>
    </row>
    <row r="214" spans="1:12">
      <c r="A214" s="115"/>
      <c r="B214" s="115"/>
      <c r="C214" s="115"/>
      <c r="D214" s="115"/>
      <c r="E214" s="115"/>
      <c r="F214" s="121"/>
      <c r="G214" s="122"/>
      <c r="H214" s="115"/>
      <c r="I214" s="115"/>
      <c r="J214" s="115"/>
      <c r="K214" s="115"/>
      <c r="L214" s="115"/>
    </row>
    <row r="215" spans="1:12">
      <c r="A215" s="115"/>
      <c r="B215" s="115"/>
      <c r="C215" s="115"/>
      <c r="D215" s="115"/>
      <c r="E215" s="115"/>
      <c r="F215" s="121"/>
      <c r="G215" s="122"/>
      <c r="H215" s="115"/>
      <c r="I215" s="115"/>
      <c r="J215" s="115"/>
      <c r="K215" s="115"/>
      <c r="L215" s="115"/>
    </row>
    <row r="216" spans="1:12">
      <c r="A216" s="115"/>
      <c r="B216" s="115"/>
      <c r="C216" s="115"/>
      <c r="D216" s="115"/>
      <c r="E216" s="115"/>
      <c r="F216" s="121"/>
      <c r="G216" s="122"/>
      <c r="H216" s="115"/>
      <c r="I216" s="115"/>
      <c r="J216" s="115"/>
      <c r="K216" s="115"/>
      <c r="L216" s="115"/>
    </row>
    <row r="217" spans="1:12">
      <c r="A217" s="115"/>
      <c r="B217" s="115"/>
      <c r="C217" s="115"/>
      <c r="D217" s="115"/>
      <c r="E217" s="115"/>
      <c r="F217" s="121"/>
      <c r="G217" s="122"/>
      <c r="H217" s="115"/>
      <c r="I217" s="115"/>
      <c r="J217" s="115"/>
      <c r="K217" s="115"/>
      <c r="L217" s="115"/>
    </row>
    <row r="218" spans="1:12">
      <c r="A218" s="115"/>
      <c r="B218" s="115"/>
      <c r="C218" s="115"/>
      <c r="D218" s="115"/>
      <c r="E218" s="115"/>
      <c r="F218" s="121"/>
      <c r="G218" s="122"/>
      <c r="H218" s="115"/>
      <c r="I218" s="115"/>
      <c r="J218" s="115"/>
      <c r="K218" s="115"/>
      <c r="L218" s="115"/>
    </row>
    <row r="219" spans="1:12">
      <c r="A219" s="115"/>
      <c r="B219" s="115"/>
      <c r="C219" s="115"/>
      <c r="D219" s="115"/>
      <c r="E219" s="115"/>
      <c r="F219" s="121"/>
      <c r="G219" s="122"/>
      <c r="H219" s="115"/>
      <c r="I219" s="115"/>
      <c r="J219" s="115"/>
      <c r="K219" s="115"/>
      <c r="L219" s="115"/>
    </row>
    <row r="220" spans="1:12">
      <c r="A220" s="115"/>
      <c r="B220" s="115"/>
      <c r="C220" s="115"/>
      <c r="D220" s="115"/>
      <c r="E220" s="115"/>
      <c r="F220" s="121"/>
      <c r="G220" s="122"/>
      <c r="H220" s="115"/>
      <c r="I220" s="115"/>
      <c r="J220" s="115"/>
      <c r="K220" s="115"/>
      <c r="L220" s="115"/>
    </row>
    <row r="221" spans="1:12">
      <c r="A221" s="115"/>
      <c r="B221" s="115"/>
      <c r="C221" s="115"/>
      <c r="D221" s="115"/>
      <c r="E221" s="115"/>
      <c r="F221" s="121"/>
      <c r="G221" s="122"/>
      <c r="H221" s="115"/>
      <c r="I221" s="115"/>
      <c r="J221" s="115"/>
      <c r="K221" s="115"/>
      <c r="L221" s="115"/>
    </row>
    <row r="222" spans="1:12">
      <c r="A222" s="115"/>
      <c r="B222" s="115"/>
      <c r="C222" s="115"/>
      <c r="D222" s="115"/>
      <c r="E222" s="115"/>
      <c r="F222" s="121"/>
      <c r="G222" s="122"/>
      <c r="H222" s="115"/>
      <c r="I222" s="115"/>
      <c r="J222" s="115"/>
      <c r="K222" s="115"/>
      <c r="L222" s="115"/>
    </row>
    <row r="223" spans="1:12">
      <c r="A223" s="115"/>
      <c r="B223" s="115"/>
      <c r="C223" s="115"/>
      <c r="D223" s="115"/>
      <c r="E223" s="115"/>
      <c r="F223" s="121"/>
      <c r="G223" s="122"/>
      <c r="H223" s="115"/>
      <c r="I223" s="115"/>
      <c r="J223" s="115"/>
      <c r="K223" s="115"/>
      <c r="L223" s="115"/>
    </row>
    <row r="224" spans="1:12">
      <c r="A224" s="115"/>
      <c r="B224" s="115"/>
      <c r="C224" s="115"/>
      <c r="D224" s="115"/>
      <c r="E224" s="115"/>
      <c r="F224" s="121"/>
      <c r="G224" s="122"/>
      <c r="H224" s="115"/>
      <c r="I224" s="115"/>
      <c r="J224" s="115"/>
      <c r="K224" s="115"/>
      <c r="L224" s="115"/>
    </row>
    <row r="225" spans="1:12">
      <c r="A225" s="115"/>
      <c r="B225" s="115"/>
      <c r="C225" s="115"/>
      <c r="D225" s="115"/>
      <c r="E225" s="115"/>
      <c r="F225" s="121"/>
      <c r="G225" s="122"/>
      <c r="H225" s="115"/>
      <c r="I225" s="115"/>
      <c r="J225" s="115"/>
      <c r="K225" s="115"/>
      <c r="L225" s="115"/>
    </row>
    <row r="226" spans="1:12">
      <c r="A226" s="115"/>
      <c r="B226" s="115"/>
      <c r="C226" s="115"/>
      <c r="D226" s="115"/>
      <c r="E226" s="115"/>
      <c r="F226" s="121"/>
      <c r="G226" s="122"/>
      <c r="H226" s="115"/>
      <c r="I226" s="115"/>
      <c r="J226" s="115"/>
      <c r="K226" s="115"/>
      <c r="L226" s="115"/>
    </row>
    <row r="227" spans="1:12">
      <c r="A227" s="115"/>
      <c r="B227" s="115"/>
      <c r="C227" s="115"/>
      <c r="D227" s="115"/>
      <c r="E227" s="115"/>
      <c r="F227" s="121"/>
      <c r="G227" s="122"/>
      <c r="H227" s="115"/>
      <c r="I227" s="115"/>
      <c r="J227" s="115"/>
      <c r="K227" s="115"/>
      <c r="L227" s="115"/>
    </row>
    <row r="228" spans="1:12">
      <c r="A228" s="115"/>
      <c r="B228" s="115"/>
      <c r="C228" s="115"/>
      <c r="D228" s="115"/>
      <c r="E228" s="115"/>
      <c r="F228" s="121"/>
      <c r="G228" s="122"/>
      <c r="H228" s="115"/>
      <c r="I228" s="115"/>
      <c r="J228" s="115"/>
      <c r="K228" s="115"/>
      <c r="L228" s="115"/>
    </row>
    <row r="229" spans="1:12">
      <c r="A229" s="115"/>
      <c r="B229" s="115"/>
      <c r="C229" s="115"/>
      <c r="D229" s="115"/>
      <c r="E229" s="115"/>
      <c r="F229" s="121"/>
      <c r="G229" s="122"/>
      <c r="H229" s="115"/>
      <c r="I229" s="115"/>
      <c r="J229" s="115"/>
      <c r="K229" s="115"/>
      <c r="L229" s="115"/>
    </row>
    <row r="230" spans="1:12">
      <c r="A230" s="115"/>
      <c r="B230" s="115"/>
      <c r="C230" s="115"/>
      <c r="D230" s="115"/>
      <c r="E230" s="115"/>
      <c r="F230" s="121"/>
      <c r="G230" s="122"/>
      <c r="H230" s="115"/>
      <c r="I230" s="115"/>
      <c r="J230" s="115"/>
      <c r="K230" s="115"/>
      <c r="L230" s="115"/>
    </row>
    <row r="231" spans="1:12">
      <c r="A231" s="115"/>
      <c r="B231" s="115"/>
      <c r="C231" s="115"/>
      <c r="D231" s="115"/>
      <c r="E231" s="115"/>
      <c r="F231" s="121"/>
      <c r="G231" s="122"/>
      <c r="H231" s="115"/>
      <c r="I231" s="115"/>
      <c r="J231" s="115"/>
      <c r="K231" s="115"/>
      <c r="L231" s="115"/>
    </row>
    <row r="232" spans="1:12">
      <c r="A232" s="115"/>
      <c r="B232" s="115"/>
      <c r="C232" s="115"/>
      <c r="D232" s="115"/>
      <c r="E232" s="115"/>
      <c r="F232" s="121"/>
      <c r="G232" s="122"/>
      <c r="H232" s="115"/>
      <c r="I232" s="115"/>
      <c r="J232" s="115"/>
      <c r="K232" s="115"/>
      <c r="L232" s="115"/>
    </row>
    <row r="233" spans="1:12">
      <c r="A233" s="115"/>
      <c r="B233" s="115"/>
      <c r="C233" s="115"/>
      <c r="D233" s="115"/>
      <c r="E233" s="115"/>
      <c r="F233" s="121"/>
      <c r="G233" s="122"/>
      <c r="H233" s="115"/>
      <c r="I233" s="115"/>
      <c r="J233" s="115"/>
      <c r="K233" s="115"/>
      <c r="L233" s="115"/>
    </row>
    <row r="234" spans="1:12">
      <c r="A234" s="115"/>
      <c r="B234" s="115"/>
      <c r="C234" s="115"/>
      <c r="D234" s="115"/>
      <c r="E234" s="115"/>
      <c r="F234" s="121"/>
      <c r="G234" s="122"/>
      <c r="H234" s="115"/>
      <c r="I234" s="115"/>
      <c r="J234" s="115"/>
      <c r="K234" s="115"/>
      <c r="L234" s="115"/>
    </row>
    <row r="235" spans="1:12">
      <c r="A235" s="115"/>
      <c r="B235" s="115"/>
      <c r="C235" s="115"/>
      <c r="D235" s="115"/>
      <c r="E235" s="115"/>
      <c r="F235" s="121"/>
      <c r="G235" s="122"/>
      <c r="H235" s="115"/>
      <c r="I235" s="115"/>
      <c r="J235" s="115"/>
      <c r="K235" s="115"/>
      <c r="L235" s="115"/>
    </row>
    <row r="236" spans="1:12">
      <c r="A236" s="115"/>
      <c r="B236" s="115"/>
      <c r="C236" s="115"/>
      <c r="D236" s="115"/>
      <c r="E236" s="115"/>
      <c r="F236" s="121"/>
      <c r="G236" s="122"/>
      <c r="H236" s="115"/>
      <c r="I236" s="115"/>
      <c r="J236" s="115"/>
      <c r="K236" s="115"/>
      <c r="L236" s="115"/>
    </row>
    <row r="237" spans="1:12">
      <c r="A237" s="115"/>
      <c r="B237" s="115"/>
      <c r="C237" s="115"/>
      <c r="D237" s="115"/>
      <c r="E237" s="115"/>
      <c r="F237" s="121"/>
      <c r="G237" s="122"/>
      <c r="H237" s="115"/>
      <c r="I237" s="115"/>
      <c r="J237" s="115"/>
      <c r="K237" s="115"/>
      <c r="L237" s="115"/>
    </row>
    <row r="238" spans="1:12">
      <c r="A238" s="115"/>
      <c r="B238" s="115"/>
      <c r="C238" s="115"/>
      <c r="D238" s="115"/>
      <c r="E238" s="115"/>
      <c r="F238" s="121"/>
      <c r="G238" s="122"/>
      <c r="H238" s="115"/>
      <c r="I238" s="115"/>
      <c r="J238" s="115"/>
      <c r="K238" s="115"/>
      <c r="L238" s="115"/>
    </row>
    <row r="239" spans="1:12">
      <c r="A239" s="115"/>
      <c r="B239" s="115"/>
      <c r="C239" s="115"/>
      <c r="D239" s="115"/>
      <c r="E239" s="115"/>
      <c r="F239" s="121"/>
      <c r="G239" s="122"/>
      <c r="H239" s="115"/>
      <c r="I239" s="115"/>
      <c r="J239" s="115"/>
      <c r="K239" s="115"/>
      <c r="L239" s="115"/>
    </row>
    <row r="240" spans="1:12">
      <c r="A240" s="115"/>
      <c r="B240" s="115"/>
      <c r="C240" s="115"/>
      <c r="D240" s="115"/>
      <c r="E240" s="115"/>
      <c r="F240" s="121"/>
      <c r="G240" s="122"/>
      <c r="H240" s="115"/>
      <c r="I240" s="115"/>
      <c r="J240" s="115"/>
      <c r="K240" s="115"/>
      <c r="L240" s="115"/>
    </row>
    <row r="241" spans="1:12">
      <c r="A241" s="115"/>
      <c r="B241" s="115"/>
      <c r="C241" s="115"/>
      <c r="D241" s="115"/>
      <c r="E241" s="115"/>
      <c r="F241" s="121"/>
      <c r="G241" s="122"/>
      <c r="H241" s="115"/>
      <c r="I241" s="115"/>
      <c r="J241" s="115"/>
      <c r="K241" s="115"/>
      <c r="L241" s="115"/>
    </row>
    <row r="242" spans="1:12">
      <c r="A242" s="115"/>
      <c r="B242" s="115"/>
      <c r="C242" s="115"/>
      <c r="D242" s="115"/>
      <c r="E242" s="115"/>
      <c r="F242" s="121"/>
      <c r="G242" s="122"/>
      <c r="H242" s="115"/>
      <c r="I242" s="115"/>
      <c r="J242" s="115"/>
      <c r="K242" s="115"/>
      <c r="L242" s="115"/>
    </row>
    <row r="243" spans="1:12">
      <c r="A243" s="115"/>
      <c r="B243" s="115"/>
      <c r="C243" s="115"/>
      <c r="D243" s="115"/>
      <c r="E243" s="115"/>
      <c r="F243" s="121"/>
      <c r="G243" s="122"/>
      <c r="H243" s="115"/>
      <c r="I243" s="115"/>
      <c r="J243" s="115"/>
      <c r="K243" s="115"/>
      <c r="L243" s="115"/>
    </row>
    <row r="244" spans="1:12">
      <c r="A244" s="115"/>
      <c r="B244" s="115"/>
      <c r="C244" s="115"/>
      <c r="D244" s="115"/>
      <c r="E244" s="115"/>
      <c r="F244" s="121"/>
      <c r="G244" s="122"/>
      <c r="H244" s="115"/>
      <c r="I244" s="115"/>
      <c r="J244" s="115"/>
      <c r="K244" s="115"/>
      <c r="L244" s="115"/>
    </row>
    <row r="245" spans="1:12">
      <c r="A245" s="115"/>
      <c r="B245" s="115"/>
      <c r="C245" s="115"/>
      <c r="D245" s="115"/>
      <c r="E245" s="115"/>
      <c r="F245" s="121"/>
      <c r="G245" s="122"/>
      <c r="H245" s="115"/>
      <c r="I245" s="115"/>
      <c r="J245" s="115"/>
      <c r="K245" s="115"/>
      <c r="L245" s="115"/>
    </row>
    <row r="246" spans="1:12">
      <c r="A246" s="115"/>
      <c r="B246" s="115"/>
      <c r="C246" s="115"/>
      <c r="D246" s="115"/>
      <c r="E246" s="115"/>
      <c r="F246" s="121"/>
      <c r="G246" s="122"/>
      <c r="H246" s="115"/>
      <c r="I246" s="115"/>
      <c r="J246" s="115"/>
      <c r="K246" s="115"/>
      <c r="L246" s="115"/>
    </row>
    <row r="247" spans="1:12">
      <c r="A247" s="115"/>
      <c r="B247" s="115"/>
      <c r="C247" s="115"/>
      <c r="D247" s="115"/>
      <c r="E247" s="115"/>
      <c r="F247" s="121"/>
      <c r="G247" s="122"/>
      <c r="H247" s="115"/>
      <c r="I247" s="115"/>
      <c r="J247" s="115"/>
      <c r="K247" s="115"/>
      <c r="L247" s="115"/>
    </row>
    <row r="248" spans="1:12">
      <c r="A248" s="115"/>
      <c r="B248" s="115"/>
      <c r="C248" s="115"/>
      <c r="D248" s="115"/>
      <c r="E248" s="115"/>
      <c r="F248" s="121"/>
      <c r="G248" s="122"/>
      <c r="H248" s="115"/>
      <c r="I248" s="115"/>
      <c r="J248" s="115"/>
      <c r="K248" s="115"/>
      <c r="L248" s="115"/>
    </row>
    <row r="249" spans="1:12">
      <c r="A249" s="115"/>
      <c r="B249" s="115"/>
      <c r="C249" s="115"/>
      <c r="D249" s="115"/>
      <c r="E249" s="115"/>
      <c r="F249" s="121"/>
      <c r="G249" s="122"/>
      <c r="H249" s="115"/>
      <c r="I249" s="115"/>
      <c r="J249" s="115"/>
      <c r="K249" s="115"/>
      <c r="L249" s="115"/>
    </row>
    <row r="250" spans="1:12">
      <c r="A250" s="115"/>
      <c r="B250" s="115"/>
      <c r="C250" s="115"/>
      <c r="D250" s="115"/>
      <c r="E250" s="115"/>
      <c r="F250" s="121"/>
      <c r="G250" s="122"/>
      <c r="H250" s="115"/>
      <c r="I250" s="115"/>
      <c r="J250" s="115"/>
      <c r="K250" s="115"/>
      <c r="L250" s="115"/>
    </row>
    <row r="251" spans="1:12">
      <c r="A251" s="115"/>
      <c r="B251" s="115"/>
      <c r="C251" s="115"/>
      <c r="D251" s="115"/>
      <c r="E251" s="115"/>
      <c r="F251" s="121"/>
      <c r="G251" s="122"/>
      <c r="H251" s="115"/>
      <c r="I251" s="115"/>
      <c r="J251" s="115"/>
      <c r="K251" s="115"/>
      <c r="L251" s="115"/>
    </row>
    <row r="252" spans="1:12">
      <c r="A252" s="115"/>
      <c r="B252" s="115"/>
      <c r="C252" s="115"/>
      <c r="D252" s="115"/>
      <c r="E252" s="115"/>
      <c r="F252" s="121"/>
      <c r="G252" s="122"/>
      <c r="H252" s="115"/>
      <c r="I252" s="115"/>
      <c r="J252" s="115"/>
      <c r="K252" s="115"/>
      <c r="L252" s="115"/>
    </row>
    <row r="253" spans="1:12">
      <c r="A253" s="115"/>
      <c r="B253" s="115"/>
      <c r="C253" s="115"/>
      <c r="D253" s="115"/>
      <c r="E253" s="115"/>
      <c r="F253" s="121"/>
      <c r="G253" s="122"/>
      <c r="H253" s="115"/>
      <c r="I253" s="115"/>
      <c r="J253" s="115"/>
      <c r="K253" s="115"/>
      <c r="L253" s="115"/>
    </row>
    <row r="254" spans="1:12">
      <c r="A254" s="115"/>
      <c r="B254" s="115"/>
      <c r="C254" s="115"/>
      <c r="D254" s="115"/>
      <c r="E254" s="115"/>
      <c r="F254" s="121"/>
      <c r="G254" s="122"/>
      <c r="H254" s="115"/>
      <c r="I254" s="115"/>
      <c r="J254" s="115"/>
      <c r="K254" s="115"/>
      <c r="L254" s="115"/>
    </row>
    <row r="255" spans="1:12">
      <c r="A255" s="115"/>
      <c r="B255" s="115"/>
      <c r="C255" s="115"/>
      <c r="D255" s="115"/>
      <c r="E255" s="115"/>
      <c r="F255" s="121"/>
      <c r="G255" s="122"/>
      <c r="H255" s="115"/>
      <c r="I255" s="115"/>
      <c r="J255" s="115"/>
      <c r="K255" s="115"/>
      <c r="L255" s="115"/>
    </row>
    <row r="256" spans="1:12">
      <c r="A256" s="115"/>
      <c r="B256" s="115"/>
      <c r="C256" s="115"/>
      <c r="D256" s="115"/>
      <c r="E256" s="115"/>
      <c r="F256" s="121"/>
      <c r="G256" s="122"/>
      <c r="H256" s="115"/>
      <c r="I256" s="115"/>
      <c r="J256" s="115"/>
      <c r="K256" s="115"/>
      <c r="L256" s="115"/>
    </row>
    <row r="257" spans="1:12">
      <c r="A257" s="115"/>
      <c r="B257" s="115"/>
      <c r="C257" s="115"/>
      <c r="D257" s="115"/>
      <c r="E257" s="115"/>
      <c r="F257" s="121"/>
      <c r="G257" s="122"/>
      <c r="H257" s="115"/>
      <c r="I257" s="115"/>
      <c r="J257" s="115"/>
      <c r="K257" s="115"/>
      <c r="L257" s="115"/>
    </row>
    <row r="258" spans="1:12">
      <c r="A258" s="115"/>
      <c r="B258" s="115"/>
      <c r="C258" s="115"/>
      <c r="D258" s="115"/>
      <c r="E258" s="115"/>
      <c r="F258" s="121"/>
      <c r="G258" s="122"/>
      <c r="H258" s="115"/>
      <c r="I258" s="115"/>
      <c r="J258" s="115"/>
      <c r="K258" s="115"/>
      <c r="L258" s="115"/>
    </row>
    <row r="259" spans="1:12">
      <c r="A259" s="115"/>
      <c r="B259" s="115"/>
      <c r="C259" s="115"/>
      <c r="D259" s="115"/>
      <c r="E259" s="115"/>
      <c r="F259" s="121"/>
      <c r="G259" s="122"/>
      <c r="H259" s="115"/>
      <c r="I259" s="115"/>
      <c r="J259" s="115"/>
      <c r="K259" s="115"/>
      <c r="L259" s="115"/>
    </row>
    <row r="260" spans="1:12">
      <c r="A260" s="115"/>
      <c r="B260" s="115"/>
      <c r="C260" s="115"/>
      <c r="D260" s="115"/>
      <c r="E260" s="115"/>
      <c r="F260" s="121"/>
      <c r="G260" s="122"/>
      <c r="H260" s="115"/>
      <c r="I260" s="115"/>
      <c r="J260" s="115"/>
      <c r="K260" s="115"/>
      <c r="L260" s="115"/>
    </row>
    <row r="261" spans="1:12">
      <c r="A261" s="115"/>
      <c r="B261" s="115"/>
      <c r="C261" s="115"/>
      <c r="D261" s="115"/>
      <c r="E261" s="115"/>
      <c r="F261" s="121"/>
      <c r="G261" s="122"/>
      <c r="H261" s="115"/>
      <c r="I261" s="115"/>
      <c r="J261" s="115"/>
      <c r="K261" s="115"/>
      <c r="L261" s="115"/>
    </row>
    <row r="262" spans="1:12">
      <c r="A262" s="115"/>
      <c r="B262" s="115"/>
      <c r="C262" s="115"/>
      <c r="D262" s="115"/>
      <c r="E262" s="115"/>
      <c r="F262" s="121"/>
      <c r="G262" s="122"/>
      <c r="H262" s="115"/>
      <c r="I262" s="115"/>
      <c r="J262" s="115"/>
      <c r="K262" s="115"/>
      <c r="L262" s="115"/>
    </row>
    <row r="263" spans="1:12">
      <c r="A263" s="115"/>
      <c r="B263" s="115"/>
      <c r="C263" s="115"/>
      <c r="D263" s="115"/>
      <c r="E263" s="115"/>
      <c r="F263" s="121"/>
      <c r="G263" s="122"/>
      <c r="H263" s="115"/>
      <c r="I263" s="115"/>
      <c r="J263" s="115"/>
      <c r="K263" s="115"/>
      <c r="L263" s="115"/>
    </row>
    <row r="264" spans="1:12">
      <c r="A264" s="115"/>
      <c r="B264" s="115"/>
      <c r="C264" s="115"/>
      <c r="D264" s="115"/>
      <c r="E264" s="115"/>
      <c r="F264" s="121"/>
      <c r="G264" s="122"/>
      <c r="H264" s="115"/>
      <c r="I264" s="115"/>
      <c r="J264" s="115"/>
      <c r="K264" s="115"/>
      <c r="L264" s="115"/>
    </row>
    <row r="265" spans="1:12">
      <c r="A265" s="115"/>
      <c r="B265" s="115"/>
      <c r="C265" s="115"/>
      <c r="D265" s="115"/>
      <c r="E265" s="115"/>
      <c r="F265" s="121"/>
      <c r="G265" s="122"/>
      <c r="H265" s="115"/>
      <c r="I265" s="115"/>
      <c r="J265" s="115"/>
      <c r="K265" s="115"/>
      <c r="L265" s="115"/>
    </row>
    <row r="266" spans="1:12">
      <c r="A266" s="115"/>
      <c r="B266" s="115"/>
      <c r="C266" s="115"/>
      <c r="D266" s="115"/>
      <c r="E266" s="115"/>
      <c r="F266" s="121"/>
      <c r="G266" s="122"/>
      <c r="H266" s="115"/>
      <c r="I266" s="115"/>
      <c r="J266" s="115"/>
      <c r="K266" s="115"/>
      <c r="L266" s="115"/>
    </row>
    <row r="267" spans="1:12">
      <c r="A267" s="115"/>
      <c r="B267" s="115"/>
      <c r="C267" s="115"/>
      <c r="D267" s="115"/>
      <c r="E267" s="115"/>
      <c r="F267" s="121"/>
      <c r="G267" s="122"/>
      <c r="H267" s="115"/>
      <c r="I267" s="115"/>
      <c r="J267" s="115"/>
      <c r="K267" s="115"/>
      <c r="L267" s="115"/>
    </row>
    <row r="268" spans="1:12">
      <c r="A268" s="115"/>
      <c r="B268" s="115"/>
      <c r="C268" s="115"/>
      <c r="D268" s="115"/>
      <c r="E268" s="115"/>
      <c r="F268" s="121"/>
      <c r="G268" s="122"/>
      <c r="H268" s="115"/>
      <c r="I268" s="115"/>
      <c r="J268" s="115"/>
      <c r="K268" s="115"/>
      <c r="L268" s="115"/>
    </row>
    <row r="269" spans="1:12">
      <c r="A269" s="115"/>
      <c r="B269" s="115"/>
      <c r="C269" s="115"/>
      <c r="D269" s="115"/>
      <c r="E269" s="115"/>
      <c r="F269" s="121"/>
      <c r="G269" s="122"/>
      <c r="H269" s="115"/>
      <c r="I269" s="115"/>
      <c r="J269" s="115"/>
      <c r="K269" s="115"/>
      <c r="L269" s="115"/>
    </row>
    <row r="270" spans="1:12">
      <c r="A270" s="115"/>
      <c r="B270" s="115"/>
      <c r="C270" s="115"/>
      <c r="D270" s="115"/>
      <c r="E270" s="115"/>
      <c r="F270" s="121"/>
      <c r="G270" s="122"/>
      <c r="H270" s="115"/>
      <c r="I270" s="115"/>
      <c r="J270" s="115"/>
      <c r="K270" s="115"/>
      <c r="L270" s="115"/>
    </row>
    <row r="271" spans="1:12">
      <c r="A271" s="115"/>
      <c r="B271" s="115"/>
      <c r="C271" s="115"/>
      <c r="D271" s="115"/>
      <c r="E271" s="115"/>
      <c r="F271" s="121"/>
      <c r="G271" s="122"/>
      <c r="H271" s="115"/>
      <c r="I271" s="115"/>
      <c r="J271" s="115"/>
      <c r="K271" s="115"/>
      <c r="L271" s="115"/>
    </row>
    <row r="272" spans="1:12">
      <c r="A272" s="115"/>
      <c r="B272" s="115"/>
      <c r="C272" s="115"/>
      <c r="D272" s="115"/>
      <c r="E272" s="115"/>
      <c r="F272" s="121"/>
      <c r="G272" s="122"/>
      <c r="H272" s="115"/>
      <c r="I272" s="115"/>
      <c r="J272" s="115"/>
      <c r="K272" s="115"/>
      <c r="L272" s="115"/>
    </row>
    <row r="273" spans="1:12">
      <c r="A273" s="115"/>
      <c r="B273" s="115"/>
      <c r="C273" s="115"/>
      <c r="D273" s="115"/>
      <c r="E273" s="115"/>
      <c r="F273" s="121"/>
      <c r="G273" s="122"/>
      <c r="H273" s="115"/>
      <c r="I273" s="115"/>
      <c r="J273" s="115"/>
      <c r="K273" s="115"/>
      <c r="L273" s="115"/>
    </row>
    <row r="274" spans="1:12">
      <c r="A274" s="115"/>
      <c r="B274" s="115"/>
      <c r="C274" s="115"/>
      <c r="D274" s="115"/>
      <c r="E274" s="115"/>
      <c r="F274" s="121"/>
      <c r="G274" s="122"/>
      <c r="H274" s="115"/>
      <c r="I274" s="115"/>
      <c r="J274" s="115"/>
      <c r="K274" s="115"/>
      <c r="L274" s="115"/>
    </row>
    <row r="275" spans="1:12">
      <c r="A275" s="115"/>
      <c r="B275" s="115"/>
      <c r="C275" s="115"/>
      <c r="D275" s="115"/>
      <c r="E275" s="115"/>
      <c r="F275" s="121"/>
      <c r="G275" s="122"/>
      <c r="H275" s="115"/>
      <c r="I275" s="115"/>
      <c r="J275" s="115"/>
      <c r="K275" s="115"/>
      <c r="L275" s="115"/>
    </row>
    <row r="276" spans="1:12">
      <c r="A276" s="115"/>
      <c r="B276" s="115"/>
      <c r="C276" s="115"/>
      <c r="D276" s="115"/>
      <c r="E276" s="115"/>
      <c r="F276" s="121"/>
      <c r="G276" s="122"/>
      <c r="H276" s="115"/>
      <c r="I276" s="115"/>
      <c r="J276" s="115"/>
      <c r="K276" s="115"/>
      <c r="L276" s="115"/>
    </row>
    <row r="277" spans="1:12">
      <c r="A277" s="115"/>
      <c r="B277" s="115"/>
      <c r="C277" s="115"/>
      <c r="D277" s="115"/>
      <c r="E277" s="115"/>
      <c r="F277" s="121"/>
      <c r="G277" s="122"/>
      <c r="H277" s="115"/>
      <c r="I277" s="115"/>
      <c r="J277" s="115"/>
      <c r="K277" s="115"/>
      <c r="L277" s="115"/>
    </row>
    <row r="278" spans="1:12">
      <c r="A278" s="115"/>
      <c r="B278" s="115"/>
      <c r="C278" s="115"/>
      <c r="D278" s="115"/>
      <c r="E278" s="115"/>
      <c r="F278" s="121"/>
      <c r="G278" s="122"/>
      <c r="H278" s="115"/>
      <c r="I278" s="115"/>
      <c r="J278" s="115"/>
      <c r="K278" s="115"/>
      <c r="L278" s="115"/>
    </row>
    <row r="279" spans="1:12">
      <c r="A279" s="115"/>
      <c r="B279" s="115"/>
      <c r="C279" s="115"/>
      <c r="D279" s="115"/>
      <c r="E279" s="115"/>
      <c r="F279" s="121"/>
      <c r="G279" s="122"/>
      <c r="H279" s="115"/>
      <c r="I279" s="115"/>
      <c r="J279" s="115"/>
      <c r="K279" s="115"/>
      <c r="L279" s="115"/>
    </row>
    <row r="280" spans="1:12">
      <c r="A280" s="115"/>
      <c r="B280" s="115"/>
      <c r="C280" s="115"/>
      <c r="D280" s="115"/>
      <c r="E280" s="115"/>
      <c r="F280" s="121"/>
      <c r="G280" s="122"/>
      <c r="H280" s="115"/>
      <c r="I280" s="115"/>
      <c r="J280" s="115"/>
      <c r="K280" s="115"/>
      <c r="L280" s="115"/>
    </row>
    <row r="281" spans="1:12">
      <c r="A281" s="115"/>
      <c r="B281" s="115"/>
      <c r="C281" s="115"/>
      <c r="D281" s="115"/>
      <c r="E281" s="115"/>
      <c r="F281" s="121"/>
      <c r="G281" s="122"/>
      <c r="H281" s="115"/>
      <c r="I281" s="115"/>
      <c r="J281" s="115"/>
      <c r="K281" s="115"/>
      <c r="L281" s="115"/>
    </row>
    <row r="282" spans="1:12">
      <c r="A282" s="115"/>
      <c r="B282" s="115"/>
      <c r="C282" s="115"/>
      <c r="D282" s="115"/>
      <c r="E282" s="115"/>
      <c r="F282" s="121"/>
      <c r="G282" s="122"/>
      <c r="H282" s="115"/>
      <c r="I282" s="115"/>
      <c r="J282" s="115"/>
      <c r="K282" s="115"/>
      <c r="L282" s="115"/>
    </row>
    <row r="283" spans="1:12">
      <c r="A283" s="115"/>
      <c r="B283" s="115"/>
      <c r="C283" s="115"/>
      <c r="D283" s="115"/>
      <c r="E283" s="115"/>
      <c r="F283" s="121"/>
      <c r="G283" s="122"/>
      <c r="H283" s="115"/>
      <c r="I283" s="115"/>
      <c r="J283" s="115"/>
      <c r="K283" s="115"/>
      <c r="L283" s="115"/>
    </row>
    <row r="284" spans="1:12">
      <c r="A284" s="115"/>
      <c r="B284" s="115"/>
      <c r="C284" s="115"/>
      <c r="D284" s="115"/>
      <c r="E284" s="115"/>
      <c r="F284" s="121"/>
      <c r="G284" s="122"/>
      <c r="H284" s="115"/>
      <c r="I284" s="115"/>
      <c r="J284" s="115"/>
      <c r="K284" s="115"/>
      <c r="L284" s="115"/>
    </row>
    <row r="285" spans="1:12">
      <c r="A285" s="115"/>
      <c r="B285" s="115"/>
      <c r="C285" s="115"/>
      <c r="D285" s="115"/>
      <c r="E285" s="115"/>
      <c r="F285" s="121"/>
      <c r="G285" s="122"/>
      <c r="H285" s="115"/>
      <c r="I285" s="115"/>
      <c r="J285" s="115"/>
      <c r="K285" s="115"/>
      <c r="L285" s="115"/>
    </row>
    <row r="286" spans="1:12">
      <c r="A286" s="115"/>
      <c r="B286" s="115"/>
      <c r="C286" s="115"/>
      <c r="D286" s="115"/>
      <c r="E286" s="115"/>
      <c r="F286" s="121"/>
      <c r="G286" s="122"/>
      <c r="H286" s="115"/>
      <c r="I286" s="115"/>
      <c r="J286" s="115"/>
      <c r="K286" s="115"/>
      <c r="L286" s="115"/>
    </row>
    <row r="287" spans="1:12">
      <c r="A287" s="115"/>
      <c r="B287" s="115"/>
      <c r="C287" s="115"/>
      <c r="D287" s="115"/>
      <c r="E287" s="115"/>
      <c r="F287" s="121"/>
      <c r="G287" s="122"/>
      <c r="H287" s="115"/>
      <c r="I287" s="115"/>
      <c r="J287" s="115"/>
      <c r="K287" s="115"/>
      <c r="L287" s="115"/>
    </row>
    <row r="288" spans="1:12">
      <c r="A288" s="115"/>
      <c r="B288" s="115"/>
      <c r="C288" s="115"/>
      <c r="D288" s="115"/>
      <c r="E288" s="115"/>
      <c r="F288" s="121"/>
      <c r="G288" s="122"/>
      <c r="H288" s="115"/>
      <c r="I288" s="115"/>
      <c r="J288" s="115"/>
      <c r="K288" s="115"/>
      <c r="L288" s="115"/>
    </row>
    <row r="289" spans="1:12">
      <c r="A289" s="115"/>
      <c r="B289" s="115"/>
      <c r="C289" s="115"/>
      <c r="D289" s="115"/>
      <c r="E289" s="115"/>
      <c r="F289" s="121"/>
      <c r="G289" s="122"/>
      <c r="H289" s="115"/>
      <c r="I289" s="115"/>
      <c r="J289" s="115"/>
      <c r="K289" s="115"/>
      <c r="L289" s="115"/>
    </row>
    <row r="290" spans="1:12">
      <c r="A290" s="115"/>
      <c r="B290" s="115"/>
      <c r="C290" s="115"/>
      <c r="D290" s="115"/>
      <c r="E290" s="115"/>
      <c r="F290" s="121"/>
      <c r="G290" s="122"/>
      <c r="H290" s="115"/>
      <c r="I290" s="115"/>
      <c r="J290" s="115"/>
      <c r="K290" s="115"/>
      <c r="L290" s="115"/>
    </row>
    <row r="291" spans="1:12">
      <c r="A291" s="115"/>
      <c r="B291" s="115"/>
      <c r="C291" s="115"/>
      <c r="D291" s="115"/>
      <c r="E291" s="115"/>
      <c r="F291" s="121"/>
      <c r="G291" s="122"/>
      <c r="H291" s="115"/>
      <c r="I291" s="115"/>
      <c r="J291" s="115"/>
      <c r="K291" s="115"/>
      <c r="L291" s="115"/>
    </row>
    <row r="292" spans="1:12">
      <c r="A292" s="115"/>
      <c r="B292" s="115"/>
      <c r="C292" s="115"/>
      <c r="D292" s="115"/>
      <c r="E292" s="115"/>
      <c r="F292" s="121"/>
      <c r="G292" s="122"/>
      <c r="H292" s="115"/>
      <c r="I292" s="115"/>
      <c r="J292" s="115"/>
      <c r="K292" s="115"/>
      <c r="L292" s="115"/>
    </row>
    <row r="293" spans="1:12">
      <c r="A293" s="115"/>
      <c r="B293" s="115"/>
      <c r="C293" s="115"/>
      <c r="D293" s="115"/>
      <c r="E293" s="115"/>
      <c r="F293" s="121"/>
      <c r="G293" s="122"/>
      <c r="H293" s="115"/>
      <c r="I293" s="115"/>
      <c r="J293" s="115"/>
      <c r="K293" s="115"/>
      <c r="L293" s="115"/>
    </row>
    <row r="294" spans="1:12">
      <c r="A294" s="115"/>
      <c r="B294" s="115"/>
      <c r="C294" s="115"/>
      <c r="D294" s="115"/>
      <c r="E294" s="115"/>
      <c r="F294" s="121"/>
      <c r="G294" s="122"/>
      <c r="H294" s="115"/>
      <c r="I294" s="115"/>
      <c r="J294" s="115"/>
      <c r="K294" s="115"/>
      <c r="L294" s="115"/>
    </row>
    <row r="295" spans="1:12">
      <c r="A295" s="115"/>
      <c r="B295" s="115"/>
      <c r="C295" s="115"/>
      <c r="D295" s="115"/>
      <c r="E295" s="115"/>
      <c r="F295" s="121"/>
      <c r="G295" s="122"/>
      <c r="H295" s="115"/>
      <c r="I295" s="115"/>
      <c r="J295" s="115"/>
      <c r="K295" s="115"/>
      <c r="L295" s="115"/>
    </row>
    <row r="296" spans="1:12">
      <c r="A296" s="115"/>
      <c r="B296" s="115"/>
      <c r="C296" s="115"/>
      <c r="D296" s="115"/>
      <c r="E296" s="115"/>
      <c r="F296" s="121"/>
      <c r="G296" s="122"/>
      <c r="H296" s="115"/>
      <c r="I296" s="115"/>
      <c r="J296" s="115"/>
      <c r="K296" s="115"/>
      <c r="L296" s="115"/>
    </row>
    <row r="297" spans="1:12">
      <c r="A297" s="115"/>
      <c r="B297" s="115"/>
      <c r="C297" s="115"/>
      <c r="D297" s="115"/>
      <c r="E297" s="115"/>
      <c r="F297" s="121"/>
      <c r="G297" s="122"/>
      <c r="H297" s="115"/>
      <c r="I297" s="115"/>
      <c r="J297" s="115"/>
      <c r="K297" s="115"/>
      <c r="L297" s="115"/>
    </row>
    <row r="298" spans="1:12">
      <c r="A298" s="115"/>
      <c r="B298" s="115"/>
      <c r="C298" s="115"/>
      <c r="D298" s="115"/>
      <c r="E298" s="115"/>
      <c r="F298" s="121"/>
      <c r="G298" s="122"/>
      <c r="H298" s="115"/>
      <c r="I298" s="115"/>
      <c r="J298" s="115"/>
      <c r="K298" s="115"/>
      <c r="L298" s="115"/>
    </row>
    <row r="299" spans="1:12">
      <c r="A299" s="115"/>
      <c r="B299" s="115"/>
      <c r="C299" s="115"/>
      <c r="D299" s="115"/>
      <c r="E299" s="115"/>
      <c r="F299" s="121"/>
      <c r="G299" s="122"/>
      <c r="H299" s="115"/>
      <c r="I299" s="115"/>
      <c r="J299" s="115"/>
      <c r="K299" s="115"/>
      <c r="L299" s="115"/>
    </row>
    <row r="300" spans="1:12">
      <c r="A300" s="115"/>
      <c r="B300" s="115"/>
      <c r="C300" s="115"/>
      <c r="D300" s="115"/>
      <c r="E300" s="115"/>
      <c r="F300" s="121"/>
      <c r="G300" s="122"/>
      <c r="H300" s="115"/>
      <c r="I300" s="115"/>
      <c r="J300" s="115"/>
      <c r="K300" s="115"/>
      <c r="L300" s="115"/>
    </row>
    <row r="301" spans="1:12">
      <c r="A301" s="115"/>
      <c r="B301" s="115"/>
      <c r="C301" s="115"/>
      <c r="D301" s="115"/>
      <c r="E301" s="115"/>
      <c r="F301" s="121"/>
      <c r="G301" s="122"/>
      <c r="H301" s="115"/>
      <c r="I301" s="115"/>
      <c r="J301" s="115"/>
      <c r="K301" s="115"/>
      <c r="L301" s="115"/>
    </row>
    <row r="302" spans="1:12">
      <c r="A302" s="115"/>
      <c r="B302" s="115"/>
      <c r="C302" s="115"/>
      <c r="D302" s="115"/>
      <c r="E302" s="115"/>
      <c r="F302" s="121"/>
      <c r="G302" s="122"/>
      <c r="H302" s="115"/>
      <c r="I302" s="115"/>
      <c r="J302" s="115"/>
      <c r="K302" s="115"/>
      <c r="L302" s="115"/>
    </row>
    <row r="303" spans="1:12">
      <c r="A303" s="115"/>
      <c r="B303" s="115"/>
      <c r="C303" s="115"/>
      <c r="D303" s="115"/>
      <c r="E303" s="115"/>
      <c r="F303" s="121"/>
      <c r="G303" s="122"/>
      <c r="H303" s="115"/>
      <c r="I303" s="115"/>
      <c r="J303" s="115"/>
      <c r="K303" s="115"/>
      <c r="L303" s="115"/>
    </row>
    <row r="304" spans="1:12">
      <c r="A304" s="115"/>
      <c r="B304" s="115"/>
      <c r="C304" s="115"/>
      <c r="D304" s="115"/>
      <c r="E304" s="115"/>
      <c r="F304" s="121"/>
      <c r="G304" s="122"/>
      <c r="H304" s="115"/>
      <c r="I304" s="115"/>
      <c r="J304" s="115"/>
      <c r="K304" s="115"/>
      <c r="L304" s="115"/>
    </row>
    <row r="305" spans="1:12">
      <c r="A305" s="115"/>
      <c r="B305" s="115"/>
      <c r="C305" s="115"/>
      <c r="D305" s="115"/>
      <c r="E305" s="115"/>
      <c r="F305" s="121"/>
      <c r="G305" s="122"/>
      <c r="H305" s="115"/>
      <c r="I305" s="115"/>
      <c r="J305" s="115"/>
      <c r="K305" s="115"/>
      <c r="L305" s="115"/>
    </row>
    <row r="306" spans="1:12">
      <c r="A306" s="115"/>
      <c r="B306" s="115"/>
      <c r="C306" s="115"/>
      <c r="D306" s="115"/>
      <c r="E306" s="115"/>
      <c r="F306" s="121"/>
      <c r="G306" s="122"/>
      <c r="H306" s="115"/>
      <c r="I306" s="115"/>
      <c r="J306" s="115"/>
      <c r="K306" s="115"/>
      <c r="L306" s="115"/>
    </row>
    <row r="307" spans="1:12">
      <c r="A307" s="115"/>
      <c r="B307" s="115"/>
      <c r="C307" s="115"/>
      <c r="D307" s="115"/>
      <c r="E307" s="115"/>
      <c r="F307" s="121"/>
      <c r="G307" s="122"/>
      <c r="H307" s="115"/>
      <c r="I307" s="115"/>
      <c r="J307" s="115"/>
      <c r="K307" s="115"/>
      <c r="L307" s="115"/>
    </row>
    <row r="308" spans="1:12">
      <c r="A308" s="115"/>
      <c r="B308" s="115"/>
      <c r="C308" s="115"/>
      <c r="D308" s="115"/>
      <c r="E308" s="115"/>
      <c r="F308" s="121"/>
      <c r="G308" s="122"/>
      <c r="H308" s="115"/>
      <c r="I308" s="115"/>
      <c r="J308" s="115"/>
      <c r="K308" s="115"/>
      <c r="L308" s="115"/>
    </row>
    <row r="309" spans="1:12">
      <c r="A309" s="115"/>
      <c r="B309" s="115"/>
      <c r="C309" s="115"/>
      <c r="D309" s="115"/>
      <c r="E309" s="115"/>
      <c r="F309" s="121"/>
      <c r="G309" s="122"/>
      <c r="H309" s="115"/>
      <c r="I309" s="115"/>
      <c r="J309" s="115"/>
      <c r="K309" s="115"/>
      <c r="L309" s="115"/>
    </row>
    <row r="310" spans="1:12">
      <c r="A310" s="115"/>
      <c r="B310" s="115"/>
      <c r="C310" s="115"/>
      <c r="D310" s="115"/>
      <c r="E310" s="115"/>
      <c r="F310" s="121"/>
      <c r="G310" s="122"/>
      <c r="H310" s="115"/>
      <c r="I310" s="115"/>
      <c r="J310" s="115"/>
      <c r="K310" s="115"/>
      <c r="L310" s="115"/>
    </row>
    <row r="311" spans="1:12">
      <c r="A311" s="115"/>
      <c r="B311" s="115"/>
      <c r="C311" s="115"/>
      <c r="D311" s="115"/>
      <c r="E311" s="115"/>
      <c r="F311" s="121"/>
      <c r="G311" s="122"/>
      <c r="H311" s="115"/>
      <c r="I311" s="115"/>
      <c r="J311" s="115"/>
      <c r="K311" s="115"/>
      <c r="L311" s="115"/>
    </row>
    <row r="312" spans="1:12">
      <c r="A312" s="115"/>
      <c r="B312" s="115"/>
      <c r="C312" s="115"/>
      <c r="D312" s="115"/>
      <c r="E312" s="115"/>
      <c r="F312" s="121"/>
      <c r="G312" s="122"/>
      <c r="H312" s="115"/>
      <c r="I312" s="115"/>
      <c r="J312" s="115"/>
      <c r="K312" s="115"/>
      <c r="L312" s="115"/>
    </row>
    <row r="313" spans="1:12">
      <c r="A313" s="115"/>
      <c r="B313" s="115"/>
      <c r="C313" s="115"/>
      <c r="D313" s="115"/>
      <c r="E313" s="115"/>
      <c r="F313" s="121"/>
      <c r="G313" s="122"/>
      <c r="H313" s="115"/>
      <c r="I313" s="115"/>
      <c r="J313" s="115"/>
      <c r="K313" s="115"/>
      <c r="L313" s="115"/>
    </row>
    <row r="314" spans="1:12">
      <c r="A314" s="115"/>
      <c r="B314" s="115"/>
      <c r="C314" s="115"/>
      <c r="D314" s="115"/>
      <c r="E314" s="115"/>
      <c r="F314" s="121"/>
      <c r="G314" s="122"/>
      <c r="H314" s="115"/>
      <c r="I314" s="115"/>
      <c r="J314" s="115"/>
      <c r="K314" s="115"/>
      <c r="L314" s="115"/>
    </row>
    <row r="315" spans="1:12">
      <c r="A315" s="115"/>
      <c r="B315" s="115"/>
      <c r="C315" s="115"/>
      <c r="D315" s="115"/>
      <c r="E315" s="115"/>
      <c r="F315" s="121"/>
      <c r="G315" s="122"/>
      <c r="H315" s="115"/>
      <c r="I315" s="115"/>
      <c r="J315" s="115"/>
      <c r="K315" s="115"/>
      <c r="L315" s="115"/>
    </row>
    <row r="316" spans="1:12">
      <c r="A316" s="115"/>
      <c r="B316" s="115"/>
      <c r="C316" s="115"/>
      <c r="D316" s="115"/>
      <c r="E316" s="115"/>
      <c r="F316" s="121"/>
      <c r="G316" s="122"/>
      <c r="H316" s="115"/>
      <c r="I316" s="115"/>
      <c r="J316" s="115"/>
      <c r="K316" s="115"/>
      <c r="L316" s="115"/>
    </row>
    <row r="317" spans="1:12">
      <c r="A317" s="115"/>
      <c r="B317" s="115"/>
      <c r="C317" s="115"/>
      <c r="D317" s="115"/>
      <c r="E317" s="115"/>
      <c r="F317" s="121"/>
      <c r="G317" s="122"/>
      <c r="H317" s="115"/>
      <c r="I317" s="115"/>
      <c r="J317" s="115"/>
      <c r="K317" s="115"/>
      <c r="L317" s="115"/>
    </row>
    <row r="318" spans="1:12">
      <c r="A318" s="115"/>
      <c r="B318" s="115"/>
      <c r="C318" s="115"/>
      <c r="D318" s="115"/>
      <c r="E318" s="115"/>
      <c r="F318" s="121"/>
      <c r="G318" s="122"/>
      <c r="H318" s="115"/>
      <c r="I318" s="115"/>
      <c r="J318" s="115"/>
      <c r="K318" s="115"/>
      <c r="L318" s="115"/>
    </row>
    <row r="319" spans="1:12">
      <c r="A319" s="115"/>
      <c r="B319" s="115"/>
      <c r="C319" s="115"/>
      <c r="D319" s="115"/>
      <c r="E319" s="115"/>
      <c r="F319" s="121"/>
      <c r="G319" s="122"/>
      <c r="H319" s="115"/>
      <c r="I319" s="115"/>
      <c r="J319" s="115"/>
      <c r="K319" s="115"/>
      <c r="L319" s="115"/>
    </row>
    <row r="320" spans="1:12">
      <c r="A320" s="115"/>
      <c r="B320" s="115"/>
      <c r="C320" s="115"/>
      <c r="D320" s="115"/>
      <c r="E320" s="115"/>
      <c r="F320" s="121"/>
      <c r="G320" s="122"/>
      <c r="H320" s="115"/>
      <c r="I320" s="115"/>
      <c r="J320" s="115"/>
      <c r="K320" s="115"/>
      <c r="L320" s="115"/>
    </row>
    <row r="321" spans="1:12">
      <c r="A321" s="115"/>
      <c r="B321" s="115"/>
      <c r="C321" s="115"/>
      <c r="D321" s="115"/>
      <c r="E321" s="115"/>
      <c r="F321" s="121"/>
      <c r="G321" s="122"/>
      <c r="H321" s="115"/>
      <c r="I321" s="115"/>
      <c r="J321" s="115"/>
      <c r="K321" s="115"/>
      <c r="L321" s="115"/>
    </row>
    <row r="322" spans="1:12">
      <c r="A322" s="115"/>
      <c r="B322" s="115"/>
      <c r="C322" s="115"/>
      <c r="D322" s="115"/>
      <c r="E322" s="115"/>
      <c r="F322" s="121"/>
      <c r="G322" s="122"/>
      <c r="H322" s="115"/>
      <c r="I322" s="115"/>
      <c r="J322" s="115"/>
      <c r="K322" s="115"/>
      <c r="L322" s="115"/>
    </row>
    <row r="323" spans="1:12">
      <c r="A323" s="115"/>
      <c r="B323" s="115"/>
      <c r="C323" s="115"/>
      <c r="D323" s="115"/>
      <c r="E323" s="115"/>
      <c r="F323" s="121"/>
      <c r="G323" s="122"/>
      <c r="H323" s="115"/>
      <c r="I323" s="115"/>
      <c r="J323" s="115"/>
      <c r="K323" s="115"/>
      <c r="L323" s="115"/>
    </row>
    <row r="324" spans="1:12">
      <c r="A324" s="115"/>
      <c r="B324" s="115"/>
      <c r="C324" s="115"/>
      <c r="D324" s="115"/>
      <c r="E324" s="115"/>
      <c r="F324" s="121"/>
      <c r="G324" s="122"/>
      <c r="H324" s="115"/>
      <c r="I324" s="115"/>
      <c r="J324" s="115"/>
      <c r="K324" s="115"/>
      <c r="L324" s="115"/>
    </row>
    <row r="325" spans="1:12">
      <c r="A325" s="115"/>
      <c r="B325" s="115"/>
      <c r="C325" s="115"/>
      <c r="D325" s="115"/>
      <c r="E325" s="115"/>
      <c r="F325" s="121"/>
      <c r="G325" s="122"/>
      <c r="H325" s="115"/>
      <c r="I325" s="115"/>
      <c r="J325" s="115"/>
      <c r="K325" s="115"/>
      <c r="L325" s="115"/>
    </row>
    <row r="326" spans="1:12">
      <c r="A326" s="115"/>
      <c r="B326" s="115"/>
      <c r="C326" s="115"/>
      <c r="D326" s="115"/>
      <c r="E326" s="115"/>
      <c r="F326" s="121"/>
      <c r="G326" s="122"/>
      <c r="H326" s="115"/>
      <c r="I326" s="115"/>
      <c r="J326" s="115"/>
      <c r="K326" s="115"/>
      <c r="L326" s="115"/>
    </row>
    <row r="327" spans="1:12">
      <c r="A327" s="115"/>
      <c r="B327" s="115"/>
      <c r="C327" s="115"/>
      <c r="D327" s="115"/>
      <c r="E327" s="115"/>
      <c r="F327" s="121"/>
      <c r="G327" s="122"/>
      <c r="H327" s="115"/>
      <c r="I327" s="115"/>
      <c r="J327" s="115"/>
      <c r="K327" s="115"/>
      <c r="L327" s="115"/>
    </row>
    <row r="328" spans="1:12">
      <c r="A328" s="115"/>
      <c r="B328" s="115"/>
      <c r="C328" s="115"/>
      <c r="D328" s="115"/>
      <c r="E328" s="115"/>
      <c r="F328" s="121"/>
      <c r="G328" s="122"/>
      <c r="H328" s="115"/>
      <c r="I328" s="115"/>
      <c r="J328" s="115"/>
      <c r="K328" s="115"/>
      <c r="L328" s="115"/>
    </row>
    <row r="329" spans="1:12">
      <c r="A329" s="115"/>
      <c r="B329" s="115"/>
      <c r="C329" s="115"/>
      <c r="D329" s="115"/>
      <c r="E329" s="115"/>
      <c r="F329" s="121"/>
      <c r="G329" s="122"/>
      <c r="H329" s="115"/>
      <c r="I329" s="115"/>
      <c r="J329" s="115"/>
      <c r="K329" s="115"/>
      <c r="L329" s="115"/>
    </row>
    <row r="330" spans="1:12">
      <c r="A330" s="115"/>
      <c r="B330" s="115"/>
      <c r="C330" s="115"/>
      <c r="D330" s="115"/>
      <c r="E330" s="115"/>
      <c r="F330" s="121"/>
      <c r="G330" s="122"/>
      <c r="H330" s="115"/>
      <c r="I330" s="115"/>
      <c r="J330" s="115"/>
      <c r="K330" s="115"/>
      <c r="L330" s="115"/>
    </row>
    <row r="331" spans="1:12">
      <c r="A331" s="115"/>
      <c r="B331" s="115"/>
      <c r="C331" s="115"/>
      <c r="D331" s="115"/>
      <c r="E331" s="115"/>
      <c r="F331" s="121"/>
      <c r="G331" s="122"/>
      <c r="H331" s="115"/>
      <c r="I331" s="115"/>
      <c r="J331" s="115"/>
      <c r="K331" s="115"/>
      <c r="L331" s="115"/>
    </row>
    <row r="332" spans="1:12">
      <c r="A332" s="115"/>
      <c r="B332" s="115"/>
      <c r="C332" s="115"/>
      <c r="D332" s="115"/>
      <c r="E332" s="115"/>
      <c r="F332" s="121"/>
      <c r="G332" s="122"/>
      <c r="H332" s="115"/>
      <c r="I332" s="115"/>
      <c r="J332" s="115"/>
      <c r="K332" s="115"/>
      <c r="L332" s="115"/>
    </row>
    <row r="333" spans="1:12">
      <c r="A333" s="115"/>
      <c r="B333" s="115"/>
      <c r="C333" s="115"/>
      <c r="D333" s="115"/>
      <c r="E333" s="115"/>
      <c r="F333" s="121"/>
      <c r="G333" s="122"/>
      <c r="H333" s="115"/>
      <c r="I333" s="115"/>
      <c r="J333" s="115"/>
      <c r="K333" s="115"/>
      <c r="L333" s="115"/>
    </row>
    <row r="334" spans="1:12">
      <c r="A334" s="115"/>
      <c r="B334" s="115"/>
      <c r="C334" s="115"/>
      <c r="D334" s="115"/>
      <c r="E334" s="115"/>
      <c r="F334" s="121"/>
      <c r="G334" s="122"/>
      <c r="H334" s="115"/>
      <c r="I334" s="115"/>
      <c r="J334" s="115"/>
      <c r="K334" s="115"/>
      <c r="L334" s="115"/>
    </row>
    <row r="335" spans="1:12">
      <c r="A335" s="115"/>
      <c r="B335" s="115"/>
      <c r="C335" s="115"/>
      <c r="D335" s="115"/>
      <c r="E335" s="115"/>
      <c r="F335" s="121"/>
      <c r="G335" s="122"/>
      <c r="H335" s="115"/>
      <c r="I335" s="115"/>
      <c r="J335" s="115"/>
      <c r="K335" s="115"/>
      <c r="L335" s="115"/>
    </row>
    <row r="336" spans="1:12">
      <c r="A336" s="115"/>
      <c r="B336" s="115"/>
      <c r="C336" s="115"/>
      <c r="D336" s="115"/>
      <c r="E336" s="115"/>
      <c r="F336" s="121"/>
      <c r="G336" s="122"/>
      <c r="H336" s="115"/>
      <c r="I336" s="115"/>
      <c r="J336" s="115"/>
      <c r="K336" s="115"/>
      <c r="L336" s="115"/>
    </row>
    <row r="337" spans="1:12">
      <c r="A337" s="115"/>
      <c r="B337" s="115"/>
      <c r="C337" s="115"/>
      <c r="D337" s="115"/>
      <c r="E337" s="115"/>
      <c r="F337" s="121"/>
      <c r="G337" s="122"/>
      <c r="H337" s="115"/>
      <c r="I337" s="115"/>
      <c r="J337" s="115"/>
      <c r="K337" s="115"/>
      <c r="L337" s="115"/>
    </row>
    <row r="338" spans="1:12">
      <c r="A338" s="115"/>
      <c r="B338" s="115"/>
      <c r="C338" s="115"/>
      <c r="D338" s="115"/>
      <c r="E338" s="115"/>
      <c r="F338" s="121"/>
      <c r="G338" s="122"/>
      <c r="H338" s="115"/>
      <c r="I338" s="115"/>
      <c r="J338" s="115"/>
      <c r="K338" s="115"/>
      <c r="L338" s="115"/>
    </row>
    <row r="339" spans="1:12">
      <c r="A339" s="115"/>
      <c r="B339" s="115"/>
      <c r="C339" s="115"/>
      <c r="D339" s="115"/>
      <c r="E339" s="115"/>
      <c r="F339" s="121"/>
      <c r="G339" s="122"/>
      <c r="H339" s="115"/>
      <c r="I339" s="115"/>
      <c r="J339" s="115"/>
      <c r="K339" s="115"/>
      <c r="L339" s="115"/>
    </row>
    <row r="340" spans="1:12">
      <c r="A340" s="115"/>
      <c r="B340" s="115"/>
      <c r="C340" s="115"/>
      <c r="D340" s="115"/>
      <c r="E340" s="115"/>
      <c r="F340" s="121"/>
      <c r="G340" s="122"/>
      <c r="H340" s="115"/>
      <c r="I340" s="115"/>
      <c r="J340" s="115"/>
      <c r="K340" s="115"/>
      <c r="L340" s="115"/>
    </row>
    <row r="341" spans="1:12">
      <c r="A341" s="115"/>
      <c r="B341" s="115"/>
      <c r="C341" s="115"/>
      <c r="D341" s="115"/>
      <c r="E341" s="115"/>
      <c r="F341" s="121"/>
      <c r="G341" s="122"/>
      <c r="H341" s="115"/>
      <c r="I341" s="115"/>
      <c r="J341" s="115"/>
      <c r="K341" s="115"/>
      <c r="L341" s="115"/>
    </row>
    <row r="342" spans="1:12">
      <c r="A342" s="115"/>
      <c r="B342" s="115"/>
      <c r="C342" s="115"/>
      <c r="D342" s="115"/>
      <c r="E342" s="115"/>
      <c r="F342" s="121"/>
      <c r="G342" s="122"/>
      <c r="H342" s="115"/>
      <c r="I342" s="115"/>
      <c r="J342" s="115"/>
      <c r="K342" s="115"/>
      <c r="L342" s="115"/>
    </row>
    <row r="343" spans="1:12">
      <c r="A343" s="115"/>
      <c r="B343" s="115"/>
      <c r="C343" s="115"/>
      <c r="D343" s="115"/>
      <c r="E343" s="115"/>
      <c r="F343" s="121"/>
      <c r="G343" s="122"/>
      <c r="H343" s="115"/>
      <c r="I343" s="115"/>
      <c r="J343" s="115"/>
      <c r="K343" s="115"/>
      <c r="L343" s="115"/>
    </row>
    <row r="344" spans="1:12">
      <c r="A344" s="115"/>
      <c r="B344" s="115"/>
      <c r="C344" s="115"/>
      <c r="D344" s="115"/>
      <c r="E344" s="115"/>
      <c r="F344" s="121"/>
      <c r="G344" s="122"/>
      <c r="H344" s="115"/>
      <c r="I344" s="115"/>
      <c r="J344" s="115"/>
      <c r="K344" s="115"/>
      <c r="L344" s="115"/>
    </row>
    <row r="345" spans="1:12">
      <c r="A345" s="115"/>
      <c r="B345" s="115"/>
      <c r="C345" s="115"/>
      <c r="D345" s="115"/>
      <c r="E345" s="115"/>
      <c r="F345" s="121"/>
      <c r="G345" s="122"/>
      <c r="H345" s="115"/>
      <c r="I345" s="115"/>
      <c r="J345" s="115"/>
      <c r="K345" s="115"/>
      <c r="L345" s="115"/>
    </row>
    <row r="346" spans="1:12">
      <c r="A346" s="115"/>
      <c r="B346" s="115"/>
      <c r="C346" s="115"/>
      <c r="D346" s="115"/>
      <c r="E346" s="115"/>
      <c r="F346" s="121"/>
      <c r="G346" s="122"/>
      <c r="H346" s="115"/>
      <c r="I346" s="115"/>
      <c r="J346" s="115"/>
      <c r="K346" s="115"/>
      <c r="L346" s="115"/>
    </row>
    <row r="347" spans="1:12">
      <c r="A347" s="115"/>
      <c r="B347" s="115"/>
      <c r="C347" s="115"/>
      <c r="D347" s="115"/>
      <c r="E347" s="115"/>
      <c r="F347" s="121"/>
      <c r="G347" s="122"/>
      <c r="H347" s="115"/>
      <c r="I347" s="115"/>
      <c r="J347" s="115"/>
      <c r="K347" s="115"/>
      <c r="L347" s="115"/>
    </row>
    <row r="348" spans="1:12">
      <c r="A348" s="115"/>
      <c r="B348" s="115"/>
      <c r="C348" s="115"/>
      <c r="D348" s="115"/>
      <c r="E348" s="115"/>
      <c r="F348" s="121"/>
      <c r="G348" s="122"/>
      <c r="H348" s="115"/>
      <c r="I348" s="115"/>
      <c r="J348" s="115"/>
      <c r="K348" s="115"/>
      <c r="L348" s="115"/>
    </row>
    <row r="349" spans="1:12">
      <c r="A349" s="115"/>
      <c r="B349" s="115"/>
      <c r="C349" s="115"/>
      <c r="D349" s="115"/>
      <c r="E349" s="115"/>
      <c r="F349" s="121"/>
      <c r="G349" s="122"/>
      <c r="H349" s="115"/>
      <c r="I349" s="115"/>
      <c r="J349" s="115"/>
      <c r="K349" s="115"/>
      <c r="L349" s="115"/>
    </row>
    <row r="350" spans="1:12">
      <c r="A350" s="115"/>
      <c r="B350" s="115"/>
      <c r="C350" s="115"/>
      <c r="D350" s="115"/>
      <c r="E350" s="115"/>
      <c r="F350" s="121"/>
      <c r="G350" s="122"/>
      <c r="H350" s="115"/>
      <c r="I350" s="115"/>
      <c r="J350" s="115"/>
      <c r="K350" s="115"/>
      <c r="L350" s="115"/>
    </row>
    <row r="351" spans="1:12">
      <c r="A351" s="115"/>
      <c r="B351" s="115"/>
      <c r="C351" s="115"/>
      <c r="D351" s="115"/>
      <c r="E351" s="115"/>
      <c r="F351" s="121"/>
      <c r="G351" s="122"/>
      <c r="H351" s="115"/>
      <c r="I351" s="115"/>
      <c r="J351" s="115"/>
      <c r="K351" s="115"/>
      <c r="L351" s="115"/>
    </row>
    <row r="352" spans="1:12">
      <c r="A352" s="115"/>
      <c r="B352" s="115"/>
      <c r="C352" s="115"/>
      <c r="D352" s="115"/>
      <c r="E352" s="115"/>
      <c r="F352" s="121"/>
      <c r="G352" s="122"/>
      <c r="H352" s="115"/>
      <c r="I352" s="115"/>
      <c r="J352" s="115"/>
      <c r="K352" s="115"/>
      <c r="L352" s="115"/>
    </row>
    <row r="353" spans="1:12">
      <c r="A353" s="115"/>
      <c r="B353" s="115"/>
      <c r="C353" s="115"/>
      <c r="D353" s="115"/>
      <c r="E353" s="115"/>
      <c r="F353" s="121"/>
      <c r="G353" s="122"/>
      <c r="H353" s="115"/>
      <c r="I353" s="115"/>
      <c r="J353" s="115"/>
      <c r="K353" s="115"/>
      <c r="L353" s="115"/>
    </row>
    <row r="354" spans="1:12">
      <c r="A354" s="115"/>
      <c r="B354" s="115"/>
      <c r="C354" s="115"/>
      <c r="D354" s="115"/>
      <c r="E354" s="115"/>
      <c r="F354" s="121"/>
      <c r="G354" s="122"/>
      <c r="H354" s="115"/>
      <c r="I354" s="115"/>
      <c r="J354" s="115"/>
      <c r="K354" s="115"/>
      <c r="L354" s="115"/>
    </row>
    <row r="355" spans="1:12">
      <c r="A355" s="115"/>
      <c r="B355" s="115"/>
      <c r="C355" s="115"/>
      <c r="D355" s="115"/>
      <c r="E355" s="115"/>
      <c r="F355" s="121"/>
      <c r="G355" s="122"/>
      <c r="H355" s="115"/>
      <c r="I355" s="115"/>
      <c r="J355" s="115"/>
      <c r="K355" s="115"/>
      <c r="L355" s="115"/>
    </row>
    <row r="356" spans="1:12">
      <c r="A356" s="115"/>
      <c r="B356" s="115"/>
      <c r="C356" s="115"/>
      <c r="D356" s="115"/>
      <c r="E356" s="115"/>
      <c r="F356" s="121"/>
      <c r="G356" s="122"/>
      <c r="H356" s="115"/>
      <c r="I356" s="115"/>
      <c r="J356" s="115"/>
      <c r="K356" s="115"/>
      <c r="L356" s="115"/>
    </row>
    <row r="357" spans="1:12">
      <c r="A357" s="115"/>
      <c r="B357" s="115"/>
      <c r="C357" s="115"/>
      <c r="D357" s="115"/>
      <c r="E357" s="115"/>
      <c r="F357" s="121"/>
      <c r="G357" s="122"/>
      <c r="H357" s="115"/>
      <c r="I357" s="115"/>
      <c r="J357" s="115"/>
      <c r="K357" s="115"/>
      <c r="L357" s="115"/>
    </row>
    <row r="358" spans="1:12">
      <c r="A358" s="115"/>
      <c r="B358" s="115"/>
      <c r="C358" s="115"/>
      <c r="D358" s="115"/>
      <c r="E358" s="115"/>
      <c r="F358" s="121"/>
      <c r="G358" s="122"/>
      <c r="H358" s="115"/>
      <c r="I358" s="115"/>
      <c r="J358" s="115"/>
      <c r="K358" s="115"/>
      <c r="L358" s="115"/>
    </row>
    <row r="359" spans="1:12">
      <c r="A359" s="115"/>
      <c r="B359" s="115"/>
      <c r="C359" s="115"/>
      <c r="D359" s="115"/>
      <c r="E359" s="115"/>
      <c r="F359" s="121"/>
      <c r="G359" s="122"/>
      <c r="H359" s="115"/>
      <c r="I359" s="115"/>
      <c r="J359" s="115"/>
      <c r="K359" s="115"/>
      <c r="L359" s="115"/>
    </row>
    <row r="360" spans="1:12">
      <c r="A360" s="115"/>
      <c r="B360" s="115"/>
      <c r="C360" s="115"/>
      <c r="D360" s="115"/>
      <c r="E360" s="115"/>
      <c r="F360" s="121"/>
      <c r="G360" s="122"/>
      <c r="H360" s="115"/>
      <c r="I360" s="115"/>
      <c r="J360" s="115"/>
      <c r="K360" s="115"/>
      <c r="L360" s="115"/>
    </row>
    <row r="361" spans="1:12">
      <c r="A361" s="115"/>
      <c r="B361" s="115"/>
      <c r="C361" s="115"/>
      <c r="D361" s="115"/>
      <c r="E361" s="115"/>
      <c r="F361" s="121"/>
      <c r="G361" s="122"/>
      <c r="H361" s="115"/>
      <c r="I361" s="115"/>
      <c r="J361" s="115"/>
      <c r="K361" s="115"/>
      <c r="L361" s="115"/>
    </row>
    <row r="362" spans="1:12">
      <c r="A362" s="115"/>
      <c r="B362" s="115"/>
      <c r="C362" s="115"/>
      <c r="D362" s="115"/>
      <c r="E362" s="115"/>
      <c r="F362" s="121"/>
      <c r="G362" s="122"/>
      <c r="H362" s="115"/>
      <c r="I362" s="115"/>
      <c r="J362" s="115"/>
      <c r="K362" s="115"/>
      <c r="L362" s="115"/>
    </row>
    <row r="363" spans="1:12">
      <c r="A363" s="115"/>
      <c r="B363" s="115"/>
      <c r="C363" s="115"/>
      <c r="D363" s="115"/>
      <c r="E363" s="115"/>
      <c r="F363" s="121"/>
      <c r="G363" s="122"/>
      <c r="H363" s="115"/>
      <c r="I363" s="115"/>
      <c r="J363" s="115"/>
      <c r="K363" s="115"/>
      <c r="L363" s="115"/>
    </row>
    <row r="364" spans="1:12">
      <c r="A364" s="115"/>
      <c r="B364" s="115"/>
      <c r="C364" s="115"/>
      <c r="D364" s="115"/>
      <c r="E364" s="115"/>
      <c r="F364" s="121"/>
      <c r="G364" s="122"/>
      <c r="H364" s="115"/>
      <c r="I364" s="115"/>
      <c r="J364" s="115"/>
      <c r="K364" s="115"/>
      <c r="L364" s="115"/>
    </row>
    <row r="365" spans="1:12">
      <c r="A365" s="115"/>
      <c r="B365" s="115"/>
      <c r="C365" s="115"/>
      <c r="D365" s="115"/>
      <c r="E365" s="115"/>
      <c r="F365" s="121"/>
      <c r="G365" s="122"/>
      <c r="H365" s="115"/>
      <c r="I365" s="115"/>
      <c r="J365" s="115"/>
      <c r="K365" s="115"/>
      <c r="L365" s="115"/>
    </row>
    <row r="366" spans="1:12">
      <c r="A366" s="115"/>
      <c r="B366" s="115"/>
      <c r="C366" s="115"/>
      <c r="D366" s="115"/>
      <c r="E366" s="115"/>
      <c r="F366" s="121"/>
      <c r="G366" s="122"/>
      <c r="H366" s="115"/>
      <c r="I366" s="115"/>
      <c r="J366" s="115"/>
      <c r="K366" s="115"/>
      <c r="L366" s="115"/>
    </row>
    <row r="367" spans="1:12">
      <c r="A367" s="115"/>
      <c r="B367" s="115"/>
      <c r="C367" s="115"/>
      <c r="D367" s="115"/>
      <c r="E367" s="115"/>
      <c r="F367" s="121"/>
      <c r="G367" s="122"/>
      <c r="H367" s="115"/>
      <c r="I367" s="115"/>
      <c r="J367" s="115"/>
      <c r="K367" s="115"/>
      <c r="L367" s="115"/>
    </row>
    <row r="368" spans="1:12">
      <c r="A368" s="115"/>
      <c r="B368" s="115"/>
      <c r="C368" s="115"/>
      <c r="D368" s="115"/>
      <c r="E368" s="115"/>
      <c r="F368" s="121"/>
      <c r="G368" s="122"/>
      <c r="H368" s="115"/>
      <c r="I368" s="115"/>
      <c r="J368" s="115"/>
      <c r="K368" s="115"/>
      <c r="L368" s="115"/>
    </row>
    <row r="369" spans="1:12">
      <c r="A369" s="115"/>
      <c r="B369" s="115"/>
      <c r="C369" s="115"/>
      <c r="D369" s="115"/>
      <c r="E369" s="115"/>
      <c r="F369" s="121"/>
      <c r="G369" s="122"/>
      <c r="H369" s="115"/>
      <c r="I369" s="115"/>
      <c r="J369" s="115"/>
      <c r="K369" s="115"/>
      <c r="L369" s="115"/>
    </row>
    <row r="370" spans="1:12">
      <c r="A370" s="115"/>
      <c r="B370" s="115"/>
      <c r="C370" s="115"/>
      <c r="D370" s="115"/>
      <c r="E370" s="115"/>
      <c r="F370" s="121"/>
      <c r="G370" s="122"/>
      <c r="H370" s="115"/>
      <c r="I370" s="115"/>
      <c r="J370" s="115"/>
      <c r="K370" s="115"/>
      <c r="L370" s="115"/>
    </row>
    <row r="371" spans="1:12">
      <c r="A371" s="115"/>
      <c r="B371" s="115"/>
      <c r="C371" s="115"/>
      <c r="D371" s="115"/>
      <c r="E371" s="115"/>
      <c r="F371" s="121"/>
      <c r="G371" s="122"/>
      <c r="H371" s="115"/>
      <c r="I371" s="115"/>
      <c r="J371" s="115"/>
      <c r="K371" s="115"/>
      <c r="L371" s="115"/>
    </row>
    <row r="372" spans="1:12">
      <c r="A372" s="115"/>
      <c r="B372" s="115"/>
      <c r="C372" s="115"/>
      <c r="D372" s="115"/>
      <c r="E372" s="115"/>
      <c r="F372" s="121"/>
      <c r="G372" s="122"/>
      <c r="H372" s="115"/>
      <c r="I372" s="115"/>
      <c r="J372" s="115"/>
      <c r="K372" s="115"/>
      <c r="L372" s="115"/>
    </row>
    <row r="373" spans="1:12">
      <c r="A373" s="115"/>
      <c r="B373" s="115"/>
      <c r="C373" s="115"/>
      <c r="D373" s="115"/>
      <c r="E373" s="115"/>
      <c r="F373" s="121"/>
      <c r="G373" s="122"/>
      <c r="H373" s="115"/>
      <c r="I373" s="115"/>
      <c r="J373" s="115"/>
      <c r="K373" s="115"/>
      <c r="L373" s="115"/>
    </row>
    <row r="374" spans="1:12">
      <c r="A374" s="115"/>
      <c r="B374" s="115"/>
      <c r="C374" s="115"/>
      <c r="D374" s="115"/>
      <c r="E374" s="115"/>
      <c r="F374" s="121"/>
      <c r="G374" s="122"/>
      <c r="H374" s="115"/>
      <c r="I374" s="115"/>
      <c r="J374" s="115"/>
      <c r="K374" s="115"/>
      <c r="L374" s="115"/>
    </row>
    <row r="375" spans="1:12">
      <c r="A375" s="115"/>
      <c r="B375" s="115"/>
      <c r="C375" s="115"/>
      <c r="D375" s="115"/>
      <c r="E375" s="115"/>
      <c r="F375" s="121"/>
      <c r="G375" s="122"/>
      <c r="H375" s="115"/>
      <c r="I375" s="115"/>
      <c r="J375" s="115"/>
      <c r="K375" s="115"/>
      <c r="L375" s="115"/>
    </row>
    <row r="376" spans="1:12">
      <c r="A376" s="115"/>
      <c r="B376" s="115"/>
      <c r="C376" s="115"/>
      <c r="D376" s="115"/>
      <c r="E376" s="115"/>
      <c r="F376" s="121"/>
      <c r="G376" s="122"/>
      <c r="H376" s="115"/>
      <c r="I376" s="115"/>
      <c r="J376" s="115"/>
      <c r="K376" s="115"/>
      <c r="L376" s="115"/>
    </row>
    <row r="377" spans="1:12">
      <c r="A377" s="115"/>
      <c r="B377" s="115"/>
      <c r="C377" s="115"/>
      <c r="D377" s="115"/>
      <c r="E377" s="115"/>
      <c r="F377" s="121"/>
      <c r="G377" s="122"/>
      <c r="H377" s="115"/>
      <c r="I377" s="115"/>
      <c r="J377" s="115"/>
      <c r="K377" s="115"/>
      <c r="L377" s="115"/>
    </row>
    <row r="378" spans="1:12">
      <c r="A378" s="115"/>
      <c r="B378" s="115"/>
      <c r="C378" s="115"/>
      <c r="D378" s="115"/>
      <c r="E378" s="115"/>
      <c r="F378" s="121"/>
      <c r="G378" s="122"/>
      <c r="H378" s="115"/>
      <c r="I378" s="115"/>
      <c r="J378" s="115"/>
      <c r="K378" s="115"/>
      <c r="L378" s="115"/>
    </row>
    <row r="379" spans="1:12">
      <c r="A379" s="115"/>
      <c r="B379" s="115"/>
      <c r="C379" s="115"/>
      <c r="D379" s="115"/>
      <c r="E379" s="115"/>
      <c r="F379" s="121"/>
      <c r="G379" s="122"/>
      <c r="H379" s="115"/>
      <c r="I379" s="115"/>
      <c r="J379" s="115"/>
      <c r="K379" s="115"/>
      <c r="L379" s="115"/>
    </row>
    <row r="380" spans="1:12">
      <c r="A380" s="115"/>
      <c r="B380" s="115"/>
      <c r="C380" s="115"/>
      <c r="D380" s="115"/>
      <c r="E380" s="115"/>
      <c r="F380" s="121"/>
      <c r="G380" s="122"/>
      <c r="H380" s="115"/>
      <c r="I380" s="115"/>
      <c r="J380" s="115"/>
      <c r="K380" s="115"/>
      <c r="L380" s="115"/>
    </row>
    <row r="381" spans="1:12">
      <c r="A381" s="115"/>
      <c r="B381" s="115"/>
      <c r="C381" s="115"/>
      <c r="D381" s="115"/>
      <c r="E381" s="115"/>
      <c r="F381" s="121"/>
      <c r="G381" s="122"/>
      <c r="H381" s="115"/>
      <c r="I381" s="115"/>
      <c r="J381" s="115"/>
      <c r="K381" s="115"/>
      <c r="L381" s="115"/>
    </row>
    <row r="382" spans="1:12">
      <c r="A382" s="115"/>
      <c r="B382" s="115"/>
      <c r="C382" s="115"/>
      <c r="D382" s="115"/>
      <c r="E382" s="115"/>
      <c r="F382" s="121"/>
      <c r="G382" s="122"/>
      <c r="H382" s="115"/>
      <c r="I382" s="115"/>
      <c r="J382" s="115"/>
      <c r="K382" s="115"/>
      <c r="L382" s="115"/>
    </row>
    <row r="383" spans="1:12">
      <c r="A383" s="115"/>
      <c r="B383" s="115"/>
      <c r="C383" s="115"/>
      <c r="D383" s="115"/>
      <c r="E383" s="115"/>
      <c r="F383" s="121"/>
      <c r="G383" s="122"/>
      <c r="H383" s="115"/>
      <c r="I383" s="115"/>
      <c r="J383" s="115"/>
      <c r="K383" s="115"/>
      <c r="L383" s="115"/>
    </row>
    <row r="384" spans="1:12">
      <c r="A384" s="115"/>
      <c r="B384" s="115"/>
      <c r="C384" s="115"/>
      <c r="D384" s="115"/>
      <c r="E384" s="115"/>
      <c r="F384" s="121"/>
      <c r="G384" s="122"/>
      <c r="H384" s="115"/>
      <c r="I384" s="115"/>
      <c r="J384" s="115"/>
      <c r="K384" s="115"/>
      <c r="L384" s="115"/>
    </row>
    <row r="385" spans="1:12">
      <c r="A385" s="115"/>
      <c r="B385" s="115"/>
      <c r="C385" s="115"/>
      <c r="D385" s="115"/>
      <c r="E385" s="115"/>
      <c r="F385" s="121"/>
      <c r="G385" s="122"/>
      <c r="H385" s="115"/>
      <c r="I385" s="115"/>
      <c r="J385" s="115"/>
      <c r="K385" s="115"/>
      <c r="L385" s="115"/>
    </row>
    <row r="386" spans="1:12">
      <c r="A386" s="115"/>
      <c r="B386" s="115"/>
      <c r="C386" s="115"/>
      <c r="D386" s="115"/>
      <c r="E386" s="115"/>
      <c r="F386" s="121"/>
      <c r="G386" s="122"/>
      <c r="H386" s="115"/>
      <c r="I386" s="115"/>
      <c r="J386" s="115"/>
      <c r="K386" s="115"/>
      <c r="L386" s="115"/>
    </row>
    <row r="387" spans="1:12">
      <c r="A387" s="115"/>
      <c r="B387" s="115"/>
      <c r="C387" s="115"/>
      <c r="D387" s="115"/>
      <c r="E387" s="115"/>
      <c r="F387" s="121"/>
      <c r="G387" s="122"/>
      <c r="H387" s="115"/>
      <c r="I387" s="115"/>
      <c r="J387" s="115"/>
      <c r="K387" s="115"/>
      <c r="L387" s="115"/>
    </row>
    <row r="388" spans="1:12">
      <c r="A388" s="115"/>
      <c r="B388" s="115"/>
      <c r="C388" s="115"/>
      <c r="D388" s="115"/>
      <c r="E388" s="115"/>
      <c r="F388" s="121"/>
      <c r="G388" s="122"/>
      <c r="H388" s="115"/>
      <c r="I388" s="115"/>
      <c r="J388" s="115"/>
      <c r="K388" s="115"/>
      <c r="L388" s="115"/>
    </row>
    <row r="389" spans="1:12">
      <c r="A389" s="115"/>
      <c r="B389" s="115"/>
      <c r="C389" s="115"/>
      <c r="D389" s="115"/>
      <c r="E389" s="115"/>
      <c r="F389" s="121"/>
      <c r="G389" s="122"/>
      <c r="H389" s="115"/>
      <c r="I389" s="115"/>
      <c r="J389" s="115"/>
      <c r="K389" s="115"/>
      <c r="L389" s="115"/>
    </row>
    <row r="390" spans="1:12">
      <c r="A390" s="115"/>
      <c r="B390" s="115"/>
      <c r="C390" s="115"/>
      <c r="D390" s="115"/>
      <c r="E390" s="115"/>
      <c r="F390" s="121"/>
      <c r="G390" s="122"/>
      <c r="H390" s="115"/>
      <c r="I390" s="115"/>
      <c r="J390" s="115"/>
      <c r="K390" s="115"/>
      <c r="L390" s="115"/>
    </row>
    <row r="391" spans="1:12">
      <c r="A391" s="115"/>
      <c r="B391" s="115"/>
      <c r="C391" s="115"/>
      <c r="D391" s="115"/>
      <c r="E391" s="115"/>
      <c r="F391" s="121"/>
      <c r="G391" s="122"/>
      <c r="H391" s="115"/>
      <c r="I391" s="115"/>
      <c r="J391" s="115"/>
      <c r="K391" s="115"/>
      <c r="L391" s="115"/>
    </row>
    <row r="392" spans="1:12">
      <c r="A392" s="115"/>
      <c r="B392" s="115"/>
      <c r="C392" s="115"/>
      <c r="D392" s="115"/>
      <c r="E392" s="115"/>
      <c r="F392" s="121"/>
      <c r="G392" s="122"/>
      <c r="H392" s="115"/>
      <c r="I392" s="115"/>
      <c r="J392" s="115"/>
      <c r="K392" s="115"/>
      <c r="L392" s="115"/>
    </row>
    <row r="393" spans="1:12">
      <c r="A393" s="115"/>
      <c r="B393" s="115"/>
      <c r="C393" s="115"/>
      <c r="D393" s="115"/>
      <c r="E393" s="115"/>
      <c r="F393" s="121"/>
      <c r="G393" s="122"/>
      <c r="H393" s="115"/>
      <c r="I393" s="115"/>
      <c r="J393" s="115"/>
      <c r="K393" s="115"/>
      <c r="L393" s="115"/>
    </row>
    <row r="394" spans="1:12">
      <c r="A394" s="115"/>
      <c r="B394" s="115"/>
      <c r="C394" s="115"/>
      <c r="D394" s="115"/>
      <c r="E394" s="115"/>
      <c r="F394" s="121"/>
      <c r="G394" s="122"/>
      <c r="H394" s="115"/>
      <c r="I394" s="115"/>
      <c r="J394" s="115"/>
      <c r="K394" s="115"/>
      <c r="L394" s="115"/>
    </row>
    <row r="395" spans="1:12">
      <c r="A395" s="115"/>
      <c r="B395" s="115"/>
      <c r="C395" s="115"/>
      <c r="D395" s="115"/>
      <c r="E395" s="115"/>
      <c r="F395" s="121"/>
      <c r="G395" s="122"/>
      <c r="H395" s="115"/>
      <c r="I395" s="115"/>
      <c r="J395" s="115"/>
      <c r="K395" s="115"/>
      <c r="L395" s="115"/>
    </row>
    <row r="396" spans="1:12">
      <c r="A396" s="115"/>
      <c r="B396" s="115"/>
      <c r="C396" s="115"/>
      <c r="D396" s="115"/>
      <c r="E396" s="115"/>
      <c r="F396" s="121"/>
      <c r="G396" s="122"/>
      <c r="H396" s="115"/>
      <c r="I396" s="115"/>
      <c r="J396" s="115"/>
      <c r="K396" s="115"/>
      <c r="L396" s="115"/>
    </row>
    <row r="397" spans="1:12">
      <c r="A397" s="115"/>
      <c r="B397" s="115"/>
      <c r="C397" s="115"/>
      <c r="D397" s="115"/>
      <c r="E397" s="115"/>
      <c r="F397" s="121"/>
      <c r="G397" s="122"/>
      <c r="H397" s="115"/>
      <c r="I397" s="115"/>
      <c r="J397" s="115"/>
      <c r="K397" s="115"/>
      <c r="L397" s="115"/>
    </row>
    <row r="398" spans="1:12">
      <c r="A398" s="115"/>
      <c r="B398" s="115"/>
      <c r="C398" s="115"/>
      <c r="D398" s="115"/>
      <c r="E398" s="115"/>
      <c r="F398" s="121"/>
      <c r="G398" s="122"/>
      <c r="H398" s="115"/>
      <c r="I398" s="115"/>
      <c r="J398" s="115"/>
      <c r="K398" s="115"/>
      <c r="L398" s="115"/>
    </row>
    <row r="399" spans="1:12">
      <c r="A399" s="115"/>
      <c r="B399" s="115"/>
      <c r="C399" s="115"/>
      <c r="D399" s="115"/>
      <c r="E399" s="115"/>
      <c r="F399" s="121"/>
      <c r="G399" s="122"/>
      <c r="H399" s="115"/>
      <c r="I399" s="115"/>
      <c r="J399" s="115"/>
      <c r="K399" s="115"/>
      <c r="L399" s="115"/>
    </row>
    <row r="400" spans="1:12">
      <c r="A400" s="115"/>
      <c r="B400" s="115"/>
      <c r="C400" s="115"/>
      <c r="D400" s="115"/>
      <c r="E400" s="115"/>
      <c r="F400" s="121"/>
      <c r="G400" s="122"/>
      <c r="H400" s="115"/>
      <c r="I400" s="115"/>
      <c r="J400" s="115"/>
      <c r="K400" s="115"/>
      <c r="L400" s="115"/>
    </row>
    <row r="401" spans="1:12">
      <c r="A401" s="115"/>
      <c r="B401" s="115"/>
      <c r="C401" s="115"/>
      <c r="D401" s="115"/>
      <c r="E401" s="115"/>
      <c r="F401" s="121"/>
      <c r="G401" s="122"/>
      <c r="H401" s="115"/>
      <c r="I401" s="115"/>
      <c r="J401" s="115"/>
      <c r="K401" s="115"/>
      <c r="L401" s="115"/>
    </row>
    <row r="402" spans="1:12">
      <c r="A402" s="115"/>
      <c r="B402" s="115"/>
      <c r="C402" s="115"/>
      <c r="D402" s="115"/>
      <c r="E402" s="115"/>
      <c r="F402" s="121"/>
      <c r="G402" s="122"/>
      <c r="H402" s="115"/>
      <c r="I402" s="115"/>
      <c r="J402" s="115"/>
      <c r="K402" s="115"/>
      <c r="L402" s="115"/>
    </row>
    <row r="403" spans="1:12">
      <c r="A403" s="115"/>
      <c r="B403" s="115"/>
      <c r="C403" s="115"/>
      <c r="D403" s="115"/>
      <c r="E403" s="115"/>
      <c r="F403" s="121"/>
      <c r="G403" s="122"/>
      <c r="H403" s="115"/>
      <c r="I403" s="115"/>
      <c r="J403" s="115"/>
      <c r="K403" s="115"/>
      <c r="L403" s="115"/>
    </row>
    <row r="404" spans="1:12">
      <c r="A404" s="115"/>
      <c r="B404" s="115"/>
      <c r="C404" s="115"/>
      <c r="D404" s="115"/>
      <c r="E404" s="115"/>
      <c r="F404" s="121"/>
      <c r="G404" s="122"/>
      <c r="H404" s="115"/>
      <c r="I404" s="115"/>
      <c r="J404" s="115"/>
      <c r="K404" s="115"/>
      <c r="L404" s="115"/>
    </row>
    <row r="405" spans="1:12">
      <c r="A405" s="115"/>
      <c r="B405" s="115"/>
      <c r="C405" s="115"/>
      <c r="D405" s="115"/>
      <c r="E405" s="115"/>
      <c r="F405" s="121"/>
      <c r="G405" s="122"/>
      <c r="H405" s="115"/>
      <c r="I405" s="115"/>
      <c r="J405" s="115"/>
      <c r="K405" s="115"/>
      <c r="L405" s="115"/>
    </row>
    <row r="406" spans="1:12">
      <c r="A406" s="115"/>
      <c r="B406" s="115"/>
      <c r="C406" s="115"/>
      <c r="D406" s="115"/>
      <c r="E406" s="115"/>
      <c r="F406" s="121"/>
      <c r="G406" s="122"/>
      <c r="H406" s="115"/>
      <c r="I406" s="115"/>
      <c r="J406" s="115"/>
      <c r="K406" s="115"/>
      <c r="L406" s="115"/>
    </row>
    <row r="407" spans="1:12">
      <c r="A407" s="115"/>
      <c r="B407" s="115"/>
      <c r="C407" s="115"/>
      <c r="D407" s="115"/>
      <c r="E407" s="115"/>
      <c r="F407" s="121"/>
      <c r="G407" s="122"/>
      <c r="H407" s="115"/>
      <c r="I407" s="115"/>
      <c r="J407" s="115"/>
      <c r="K407" s="115"/>
      <c r="L407" s="115"/>
    </row>
    <row r="408" spans="1:12">
      <c r="A408" s="115"/>
      <c r="B408" s="115"/>
      <c r="C408" s="115"/>
      <c r="D408" s="115"/>
      <c r="E408" s="115"/>
      <c r="F408" s="121"/>
      <c r="G408" s="122"/>
      <c r="H408" s="115"/>
      <c r="I408" s="115"/>
      <c r="J408" s="115"/>
      <c r="K408" s="115"/>
      <c r="L408" s="115"/>
    </row>
    <row r="409" spans="1:12">
      <c r="A409" s="115"/>
      <c r="B409" s="115"/>
      <c r="C409" s="115"/>
      <c r="D409" s="115"/>
      <c r="E409" s="115"/>
      <c r="F409" s="121"/>
      <c r="G409" s="122"/>
      <c r="H409" s="115"/>
      <c r="I409" s="115"/>
      <c r="J409" s="115"/>
      <c r="K409" s="115"/>
      <c r="L409" s="115"/>
    </row>
    <row r="410" spans="1:12">
      <c r="A410" s="115"/>
      <c r="B410" s="115"/>
      <c r="C410" s="115"/>
      <c r="D410" s="115"/>
      <c r="E410" s="115"/>
      <c r="F410" s="121"/>
      <c r="G410" s="122"/>
      <c r="H410" s="115"/>
      <c r="I410" s="115"/>
      <c r="J410" s="115"/>
      <c r="K410" s="115"/>
      <c r="L410" s="115"/>
    </row>
    <row r="411" spans="1:12">
      <c r="A411" s="115"/>
      <c r="B411" s="115"/>
      <c r="C411" s="115"/>
      <c r="D411" s="115"/>
      <c r="E411" s="115"/>
      <c r="F411" s="121"/>
      <c r="G411" s="122"/>
      <c r="H411" s="115"/>
      <c r="I411" s="115"/>
      <c r="J411" s="115"/>
      <c r="K411" s="115"/>
      <c r="L411" s="115"/>
    </row>
    <row r="412" spans="1:12">
      <c r="A412" s="115"/>
      <c r="B412" s="115"/>
      <c r="C412" s="115"/>
      <c r="D412" s="115"/>
      <c r="E412" s="115"/>
      <c r="F412" s="121"/>
      <c r="G412" s="122"/>
      <c r="H412" s="115"/>
      <c r="I412" s="115"/>
      <c r="J412" s="115"/>
      <c r="K412" s="115"/>
      <c r="L412" s="115"/>
    </row>
    <row r="413" spans="1:12">
      <c r="A413" s="115"/>
      <c r="B413" s="115"/>
      <c r="C413" s="115"/>
      <c r="D413" s="115"/>
      <c r="E413" s="115"/>
      <c r="F413" s="121"/>
      <c r="G413" s="122"/>
      <c r="H413" s="115"/>
      <c r="I413" s="115"/>
      <c r="J413" s="115"/>
      <c r="K413" s="115"/>
      <c r="L413" s="115"/>
    </row>
    <row r="414" spans="1:12">
      <c r="A414" s="115"/>
      <c r="B414" s="115"/>
      <c r="C414" s="115"/>
      <c r="D414" s="115"/>
      <c r="E414" s="115"/>
      <c r="F414" s="121"/>
      <c r="G414" s="122"/>
      <c r="H414" s="115"/>
      <c r="I414" s="115"/>
      <c r="J414" s="115"/>
      <c r="K414" s="115"/>
      <c r="L414" s="115"/>
    </row>
    <row r="415" spans="1:12">
      <c r="A415" s="115"/>
      <c r="B415" s="115"/>
      <c r="C415" s="115"/>
      <c r="D415" s="115"/>
      <c r="E415" s="115"/>
      <c r="F415" s="121"/>
      <c r="G415" s="122"/>
      <c r="H415" s="115"/>
      <c r="I415" s="115"/>
      <c r="J415" s="115"/>
      <c r="K415" s="115"/>
      <c r="L415" s="115"/>
    </row>
    <row r="416" spans="1:12">
      <c r="A416" s="115"/>
      <c r="B416" s="115"/>
      <c r="C416" s="115"/>
      <c r="D416" s="115"/>
      <c r="E416" s="115"/>
      <c r="F416" s="121"/>
      <c r="G416" s="122"/>
      <c r="H416" s="115"/>
      <c r="I416" s="115"/>
      <c r="J416" s="115"/>
      <c r="K416" s="115"/>
      <c r="L416" s="115"/>
    </row>
    <row r="417" spans="1:12">
      <c r="A417" s="115"/>
      <c r="B417" s="115"/>
      <c r="C417" s="115"/>
      <c r="D417" s="115"/>
      <c r="E417" s="115"/>
      <c r="F417" s="121"/>
      <c r="G417" s="122"/>
      <c r="H417" s="115"/>
      <c r="I417" s="115"/>
      <c r="J417" s="115"/>
      <c r="K417" s="115"/>
      <c r="L417" s="115"/>
    </row>
    <row r="418" spans="1:12">
      <c r="A418" s="115"/>
      <c r="B418" s="115"/>
      <c r="C418" s="115"/>
      <c r="D418" s="115"/>
      <c r="E418" s="115"/>
      <c r="F418" s="121"/>
      <c r="G418" s="122"/>
      <c r="H418" s="115"/>
      <c r="I418" s="115"/>
      <c r="J418" s="115"/>
      <c r="K418" s="115"/>
      <c r="L418" s="115"/>
    </row>
    <row r="419" spans="1:12">
      <c r="A419" s="115"/>
      <c r="B419" s="115"/>
      <c r="C419" s="115"/>
      <c r="D419" s="115"/>
      <c r="E419" s="115"/>
      <c r="F419" s="121"/>
      <c r="G419" s="122"/>
      <c r="H419" s="115"/>
      <c r="I419" s="115"/>
      <c r="J419" s="115"/>
      <c r="K419" s="115"/>
      <c r="L419" s="115"/>
    </row>
    <row r="420" spans="1:12">
      <c r="A420" s="115"/>
      <c r="B420" s="115"/>
      <c r="C420" s="115"/>
      <c r="D420" s="115"/>
      <c r="E420" s="115"/>
      <c r="F420" s="121"/>
      <c r="G420" s="122"/>
      <c r="H420" s="115"/>
      <c r="I420" s="115"/>
      <c r="J420" s="115"/>
      <c r="K420" s="115"/>
      <c r="L420" s="115"/>
    </row>
    <row r="421" spans="1:12">
      <c r="A421" s="115"/>
      <c r="B421" s="115"/>
      <c r="C421" s="115"/>
      <c r="D421" s="115"/>
      <c r="E421" s="115"/>
      <c r="F421" s="121"/>
      <c r="G421" s="122"/>
      <c r="H421" s="115"/>
      <c r="I421" s="115"/>
      <c r="J421" s="115"/>
      <c r="K421" s="115"/>
      <c r="L421" s="115"/>
    </row>
    <row r="422" spans="1:12">
      <c r="A422" s="115"/>
      <c r="B422" s="115"/>
      <c r="C422" s="115"/>
      <c r="D422" s="115"/>
      <c r="E422" s="115"/>
      <c r="F422" s="121"/>
      <c r="G422" s="122"/>
      <c r="H422" s="115"/>
      <c r="I422" s="115"/>
      <c r="J422" s="115"/>
      <c r="K422" s="115"/>
      <c r="L422" s="115"/>
    </row>
    <row r="423" spans="1:12">
      <c r="A423" s="115"/>
      <c r="B423" s="115"/>
      <c r="C423" s="115"/>
      <c r="D423" s="115"/>
      <c r="E423" s="115"/>
      <c r="F423" s="121"/>
      <c r="G423" s="122"/>
      <c r="H423" s="115"/>
      <c r="I423" s="115"/>
      <c r="J423" s="115"/>
      <c r="K423" s="115"/>
      <c r="L423" s="115"/>
    </row>
    <row r="424" spans="1:12">
      <c r="A424" s="115"/>
      <c r="B424" s="115"/>
      <c r="C424" s="115"/>
      <c r="D424" s="115"/>
      <c r="E424" s="115"/>
      <c r="F424" s="121"/>
      <c r="G424" s="122"/>
      <c r="H424" s="115"/>
      <c r="I424" s="115"/>
      <c r="J424" s="115"/>
      <c r="K424" s="115"/>
      <c r="L424" s="115"/>
    </row>
    <row r="425" spans="1:12">
      <c r="A425" s="115"/>
      <c r="B425" s="115"/>
      <c r="C425" s="115"/>
      <c r="D425" s="115"/>
      <c r="E425" s="115"/>
      <c r="F425" s="121"/>
      <c r="G425" s="122"/>
      <c r="H425" s="115"/>
      <c r="I425" s="115"/>
      <c r="J425" s="115"/>
      <c r="K425" s="115"/>
      <c r="L425" s="115"/>
    </row>
    <row r="426" spans="1:12">
      <c r="A426" s="115"/>
      <c r="B426" s="115"/>
      <c r="C426" s="115"/>
      <c r="D426" s="115"/>
      <c r="E426" s="115"/>
      <c r="F426" s="121"/>
      <c r="G426" s="122"/>
      <c r="H426" s="115"/>
      <c r="I426" s="115"/>
      <c r="J426" s="115"/>
      <c r="K426" s="115"/>
      <c r="L426" s="115"/>
    </row>
    <row r="427" spans="1:12">
      <c r="A427" s="115"/>
      <c r="B427" s="115"/>
      <c r="C427" s="115"/>
      <c r="D427" s="115"/>
      <c r="E427" s="115"/>
      <c r="F427" s="121"/>
      <c r="G427" s="122"/>
      <c r="H427" s="115"/>
      <c r="I427" s="115"/>
      <c r="J427" s="115"/>
      <c r="K427" s="115"/>
      <c r="L427" s="115"/>
    </row>
    <row r="428" spans="1:12">
      <c r="A428" s="115"/>
      <c r="B428" s="115"/>
      <c r="C428" s="115"/>
      <c r="D428" s="115"/>
      <c r="E428" s="115"/>
      <c r="F428" s="121"/>
      <c r="G428" s="122"/>
      <c r="H428" s="115"/>
      <c r="I428" s="115"/>
      <c r="J428" s="115"/>
      <c r="K428" s="115"/>
      <c r="L428" s="115"/>
    </row>
    <row r="429" spans="1:12">
      <c r="A429" s="115"/>
      <c r="B429" s="115"/>
      <c r="C429" s="115"/>
      <c r="D429" s="115"/>
      <c r="E429" s="115"/>
      <c r="F429" s="121"/>
      <c r="G429" s="122"/>
      <c r="H429" s="115"/>
      <c r="I429" s="115"/>
      <c r="J429" s="115"/>
      <c r="K429" s="115"/>
      <c r="L429" s="115"/>
    </row>
    <row r="430" spans="1:12">
      <c r="A430" s="115"/>
      <c r="B430" s="115"/>
      <c r="C430" s="115"/>
      <c r="D430" s="115"/>
      <c r="E430" s="115"/>
      <c r="F430" s="121"/>
      <c r="G430" s="122"/>
      <c r="H430" s="115"/>
      <c r="I430" s="115"/>
      <c r="J430" s="115"/>
      <c r="K430" s="115"/>
      <c r="L430" s="115"/>
    </row>
    <row r="431" spans="1:12">
      <c r="A431" s="115"/>
      <c r="B431" s="115"/>
      <c r="C431" s="115"/>
      <c r="D431" s="115"/>
      <c r="E431" s="115"/>
      <c r="F431" s="121"/>
      <c r="G431" s="122"/>
      <c r="H431" s="115"/>
      <c r="I431" s="115"/>
      <c r="J431" s="115"/>
      <c r="K431" s="115"/>
      <c r="L431" s="115"/>
    </row>
    <row r="432" spans="1:12">
      <c r="A432" s="115"/>
      <c r="B432" s="115"/>
      <c r="C432" s="115"/>
      <c r="D432" s="115"/>
      <c r="E432" s="115"/>
      <c r="F432" s="121"/>
      <c r="G432" s="122"/>
      <c r="H432" s="115"/>
      <c r="I432" s="115"/>
      <c r="J432" s="115"/>
      <c r="K432" s="115"/>
      <c r="L432" s="115"/>
    </row>
    <row r="433" spans="1:12">
      <c r="A433" s="115"/>
      <c r="B433" s="115"/>
      <c r="C433" s="115"/>
      <c r="D433" s="115"/>
      <c r="E433" s="115"/>
      <c r="F433" s="121"/>
      <c r="G433" s="122"/>
      <c r="H433" s="115"/>
      <c r="I433" s="115"/>
      <c r="J433" s="115"/>
      <c r="K433" s="115"/>
      <c r="L433" s="115"/>
    </row>
    <row r="434" spans="1:12">
      <c r="A434" s="115"/>
      <c r="B434" s="115"/>
      <c r="C434" s="115"/>
      <c r="D434" s="115"/>
      <c r="E434" s="115"/>
      <c r="F434" s="121"/>
      <c r="G434" s="122"/>
      <c r="H434" s="115"/>
      <c r="I434" s="115"/>
      <c r="J434" s="115"/>
      <c r="K434" s="115"/>
      <c r="L434" s="115"/>
    </row>
    <row r="435" spans="1:12">
      <c r="A435" s="115"/>
      <c r="B435" s="115"/>
      <c r="C435" s="115"/>
      <c r="D435" s="115"/>
      <c r="E435" s="115"/>
      <c r="F435" s="121"/>
      <c r="G435" s="122"/>
      <c r="H435" s="115"/>
      <c r="I435" s="115"/>
      <c r="J435" s="115"/>
      <c r="K435" s="115"/>
      <c r="L435" s="115"/>
    </row>
    <row r="436" spans="1:12">
      <c r="A436" s="115"/>
      <c r="B436" s="115"/>
      <c r="C436" s="115"/>
      <c r="D436" s="115"/>
      <c r="E436" s="115"/>
      <c r="F436" s="121"/>
      <c r="G436" s="122"/>
      <c r="H436" s="115"/>
      <c r="I436" s="115"/>
      <c r="J436" s="115"/>
      <c r="K436" s="115"/>
      <c r="L436" s="115"/>
    </row>
    <row r="437" spans="1:12">
      <c r="A437" s="115"/>
      <c r="B437" s="115"/>
      <c r="C437" s="115"/>
      <c r="D437" s="115"/>
      <c r="E437" s="115"/>
      <c r="F437" s="121"/>
      <c r="G437" s="122"/>
      <c r="H437" s="115"/>
      <c r="I437" s="115"/>
      <c r="J437" s="115"/>
      <c r="K437" s="115"/>
      <c r="L437" s="115"/>
    </row>
    <row r="438" spans="1:12">
      <c r="A438" s="115"/>
      <c r="B438" s="115"/>
      <c r="C438" s="115"/>
      <c r="D438" s="115"/>
      <c r="E438" s="115"/>
      <c r="F438" s="121"/>
      <c r="G438" s="122"/>
      <c r="H438" s="115"/>
      <c r="I438" s="115"/>
      <c r="J438" s="115"/>
      <c r="K438" s="115"/>
      <c r="L438" s="115"/>
    </row>
    <row r="439" spans="1:12">
      <c r="A439" s="115"/>
      <c r="B439" s="115"/>
      <c r="C439" s="115"/>
      <c r="D439" s="115"/>
      <c r="E439" s="115"/>
      <c r="F439" s="121"/>
      <c r="G439" s="122"/>
      <c r="H439" s="115"/>
      <c r="I439" s="115"/>
      <c r="J439" s="115"/>
      <c r="K439" s="115"/>
      <c r="L439" s="115"/>
    </row>
    <row r="440" spans="1:12">
      <c r="A440" s="115"/>
      <c r="B440" s="115"/>
      <c r="C440" s="115"/>
      <c r="D440" s="115"/>
      <c r="E440" s="115"/>
      <c r="F440" s="121"/>
      <c r="G440" s="122"/>
      <c r="H440" s="115"/>
      <c r="I440" s="115"/>
      <c r="J440" s="115"/>
      <c r="K440" s="115"/>
      <c r="L440" s="115"/>
    </row>
    <row r="441" spans="1:12">
      <c r="A441" s="115"/>
      <c r="B441" s="115"/>
      <c r="C441" s="115"/>
      <c r="D441" s="115"/>
      <c r="E441" s="115"/>
      <c r="F441" s="121"/>
      <c r="G441" s="122"/>
      <c r="H441" s="115"/>
      <c r="I441" s="115"/>
      <c r="J441" s="115"/>
      <c r="K441" s="115"/>
      <c r="L441" s="115"/>
    </row>
    <row r="442" spans="1:12">
      <c r="A442" s="115"/>
      <c r="B442" s="115"/>
      <c r="C442" s="115"/>
      <c r="D442" s="115"/>
      <c r="E442" s="115"/>
      <c r="F442" s="121"/>
      <c r="G442" s="122"/>
      <c r="H442" s="115"/>
      <c r="I442" s="115"/>
      <c r="J442" s="115"/>
      <c r="K442" s="115"/>
      <c r="L442" s="115"/>
    </row>
    <row r="443" spans="1:12">
      <c r="A443" s="115"/>
      <c r="B443" s="115"/>
      <c r="C443" s="115"/>
      <c r="D443" s="115"/>
      <c r="E443" s="115"/>
      <c r="F443" s="121"/>
      <c r="G443" s="122"/>
      <c r="H443" s="115"/>
      <c r="I443" s="115"/>
      <c r="J443" s="115"/>
      <c r="K443" s="115"/>
      <c r="L443" s="115"/>
    </row>
    <row r="444" spans="1:12">
      <c r="A444" s="115"/>
      <c r="B444" s="115"/>
      <c r="C444" s="115"/>
      <c r="D444" s="115"/>
      <c r="E444" s="115"/>
      <c r="F444" s="121"/>
      <c r="G444" s="122"/>
      <c r="H444" s="115"/>
      <c r="I444" s="115"/>
      <c r="J444" s="115"/>
      <c r="K444" s="115"/>
      <c r="L444" s="115"/>
    </row>
    <row r="445" spans="1:12">
      <c r="A445" s="115"/>
      <c r="B445" s="115"/>
      <c r="C445" s="115"/>
      <c r="D445" s="115"/>
      <c r="E445" s="115"/>
      <c r="F445" s="121"/>
      <c r="G445" s="122"/>
      <c r="H445" s="115"/>
      <c r="I445" s="115"/>
      <c r="J445" s="115"/>
      <c r="K445" s="115"/>
      <c r="L445" s="115"/>
    </row>
    <row r="446" spans="1:12">
      <c r="A446" s="115"/>
      <c r="B446" s="115"/>
      <c r="C446" s="115"/>
      <c r="D446" s="115"/>
      <c r="E446" s="115"/>
      <c r="F446" s="121"/>
      <c r="G446" s="122"/>
      <c r="H446" s="115"/>
      <c r="I446" s="115"/>
      <c r="J446" s="115"/>
      <c r="K446" s="115"/>
      <c r="L446" s="115"/>
    </row>
    <row r="447" spans="1:12">
      <c r="A447" s="115"/>
      <c r="B447" s="115"/>
      <c r="C447" s="115"/>
      <c r="D447" s="115"/>
      <c r="E447" s="115"/>
      <c r="F447" s="121"/>
      <c r="G447" s="122"/>
      <c r="H447" s="115"/>
      <c r="I447" s="115"/>
      <c r="J447" s="115"/>
      <c r="K447" s="115"/>
      <c r="L447" s="115"/>
    </row>
    <row r="448" spans="1:12">
      <c r="A448" s="115"/>
      <c r="B448" s="115"/>
      <c r="C448" s="115"/>
      <c r="D448" s="115"/>
      <c r="E448" s="115"/>
      <c r="F448" s="121"/>
      <c r="G448" s="122"/>
      <c r="H448" s="115"/>
      <c r="I448" s="115"/>
      <c r="J448" s="115"/>
      <c r="K448" s="115"/>
      <c r="L448" s="115"/>
    </row>
    <row r="449" spans="1:12">
      <c r="A449" s="115"/>
      <c r="B449" s="115"/>
      <c r="C449" s="115"/>
      <c r="D449" s="115"/>
      <c r="E449" s="115"/>
      <c r="F449" s="121"/>
      <c r="G449" s="122"/>
      <c r="H449" s="115"/>
      <c r="I449" s="115"/>
      <c r="J449" s="115"/>
      <c r="K449" s="115"/>
      <c r="L449" s="115"/>
    </row>
    <row r="450" spans="1:12">
      <c r="A450" s="115"/>
      <c r="B450" s="115"/>
      <c r="C450" s="115"/>
      <c r="D450" s="115"/>
      <c r="E450" s="115"/>
      <c r="F450" s="121"/>
      <c r="G450" s="122"/>
      <c r="H450" s="115"/>
      <c r="I450" s="115"/>
      <c r="J450" s="115"/>
      <c r="K450" s="115"/>
      <c r="L450" s="115"/>
    </row>
    <row r="451" spans="1:12">
      <c r="A451" s="115"/>
      <c r="B451" s="115"/>
      <c r="C451" s="115"/>
      <c r="D451" s="115"/>
      <c r="E451" s="115"/>
      <c r="F451" s="121"/>
      <c r="G451" s="122"/>
      <c r="H451" s="115"/>
      <c r="I451" s="115"/>
      <c r="J451" s="115"/>
      <c r="K451" s="115"/>
      <c r="L451" s="115"/>
    </row>
    <row r="452" spans="1:12">
      <c r="A452" s="115"/>
      <c r="B452" s="115"/>
      <c r="C452" s="115"/>
      <c r="D452" s="115"/>
      <c r="E452" s="115"/>
      <c r="F452" s="121"/>
      <c r="G452" s="122"/>
      <c r="H452" s="115"/>
      <c r="I452" s="115"/>
      <c r="J452" s="115"/>
      <c r="K452" s="115"/>
      <c r="L452" s="115"/>
    </row>
    <row r="453" spans="1:12">
      <c r="A453" s="115"/>
      <c r="B453" s="115"/>
      <c r="C453" s="115"/>
      <c r="D453" s="115"/>
      <c r="E453" s="115"/>
      <c r="F453" s="121"/>
      <c r="G453" s="122"/>
      <c r="H453" s="115"/>
      <c r="I453" s="115"/>
      <c r="J453" s="115"/>
      <c r="K453" s="115"/>
      <c r="L453" s="115"/>
    </row>
    <row r="454" spans="1:12">
      <c r="A454" s="115"/>
      <c r="B454" s="115"/>
      <c r="C454" s="115"/>
      <c r="D454" s="115"/>
      <c r="E454" s="115"/>
      <c r="F454" s="121"/>
      <c r="G454" s="122"/>
      <c r="H454" s="115"/>
      <c r="I454" s="115"/>
      <c r="J454" s="115"/>
      <c r="K454" s="115"/>
      <c r="L454" s="115"/>
    </row>
    <row r="455" spans="1:12">
      <c r="A455" s="115"/>
      <c r="B455" s="115"/>
      <c r="C455" s="115"/>
      <c r="D455" s="115"/>
      <c r="E455" s="115"/>
      <c r="F455" s="121"/>
      <c r="G455" s="122"/>
      <c r="H455" s="115"/>
      <c r="I455" s="115"/>
      <c r="J455" s="115"/>
      <c r="K455" s="115"/>
      <c r="L455" s="115"/>
    </row>
    <row r="456" spans="1:12">
      <c r="A456" s="115"/>
      <c r="B456" s="115"/>
      <c r="C456" s="115"/>
      <c r="D456" s="115"/>
      <c r="E456" s="115"/>
      <c r="F456" s="121"/>
      <c r="G456" s="122"/>
      <c r="H456" s="115"/>
      <c r="I456" s="115"/>
      <c r="J456" s="115"/>
      <c r="K456" s="115"/>
      <c r="L456" s="115"/>
    </row>
    <row r="457" spans="1:12">
      <c r="A457" s="115"/>
      <c r="B457" s="115"/>
      <c r="C457" s="115"/>
      <c r="D457" s="115"/>
      <c r="E457" s="115"/>
      <c r="F457" s="121"/>
      <c r="G457" s="122"/>
      <c r="H457" s="115"/>
      <c r="I457" s="115"/>
      <c r="J457" s="115"/>
      <c r="K457" s="115"/>
      <c r="L457" s="115"/>
    </row>
    <row r="458" spans="1:12">
      <c r="A458" s="115"/>
      <c r="B458" s="115"/>
      <c r="C458" s="115"/>
      <c r="D458" s="115"/>
      <c r="E458" s="115"/>
      <c r="F458" s="121"/>
      <c r="G458" s="122"/>
      <c r="H458" s="115"/>
      <c r="I458" s="115"/>
      <c r="J458" s="115"/>
      <c r="K458" s="115"/>
      <c r="L458" s="115"/>
    </row>
    <row r="459" spans="1:12">
      <c r="A459" s="115"/>
      <c r="B459" s="115"/>
      <c r="C459" s="115"/>
      <c r="D459" s="115"/>
      <c r="E459" s="115"/>
      <c r="F459" s="121"/>
      <c r="G459" s="122"/>
      <c r="H459" s="115"/>
      <c r="I459" s="115"/>
      <c r="J459" s="115"/>
      <c r="K459" s="115"/>
      <c r="L459" s="115"/>
    </row>
    <row r="460" spans="1:12">
      <c r="A460" s="115"/>
      <c r="B460" s="115"/>
      <c r="C460" s="115"/>
      <c r="D460" s="115"/>
      <c r="E460" s="115"/>
      <c r="F460" s="121"/>
      <c r="G460" s="122"/>
      <c r="H460" s="115"/>
      <c r="I460" s="115"/>
      <c r="J460" s="115"/>
      <c r="K460" s="115"/>
      <c r="L460" s="115"/>
    </row>
    <row r="461" spans="1:12">
      <c r="A461" s="115"/>
      <c r="B461" s="115"/>
      <c r="C461" s="115"/>
      <c r="D461" s="115"/>
      <c r="E461" s="115"/>
      <c r="F461" s="121"/>
      <c r="G461" s="122"/>
      <c r="H461" s="115"/>
      <c r="I461" s="115"/>
      <c r="J461" s="115"/>
      <c r="K461" s="115"/>
      <c r="L461" s="115"/>
    </row>
    <row r="462" spans="1:12">
      <c r="A462" s="115"/>
      <c r="B462" s="115"/>
      <c r="C462" s="115"/>
      <c r="D462" s="115"/>
      <c r="E462" s="115"/>
      <c r="F462" s="121"/>
      <c r="G462" s="122"/>
      <c r="H462" s="115"/>
      <c r="I462" s="115"/>
      <c r="J462" s="115"/>
      <c r="K462" s="115"/>
      <c r="L462" s="115"/>
    </row>
    <row r="463" spans="1:12">
      <c r="A463" s="115"/>
      <c r="B463" s="115"/>
      <c r="C463" s="115"/>
      <c r="D463" s="115"/>
      <c r="E463" s="115"/>
      <c r="F463" s="121"/>
      <c r="G463" s="122"/>
      <c r="H463" s="115"/>
      <c r="I463" s="115"/>
      <c r="J463" s="115"/>
      <c r="K463" s="115"/>
      <c r="L463" s="115"/>
    </row>
    <row r="464" spans="1:12">
      <c r="A464" s="115"/>
      <c r="B464" s="115"/>
      <c r="C464" s="115"/>
      <c r="D464" s="115"/>
      <c r="E464" s="115"/>
      <c r="F464" s="121"/>
      <c r="G464" s="122"/>
      <c r="H464" s="115"/>
      <c r="I464" s="115"/>
      <c r="J464" s="115"/>
      <c r="K464" s="115"/>
      <c r="L464" s="115"/>
    </row>
    <row r="465" spans="1:12">
      <c r="A465" s="115"/>
      <c r="B465" s="115"/>
      <c r="C465" s="115"/>
      <c r="D465" s="115"/>
      <c r="E465" s="115"/>
      <c r="F465" s="121"/>
      <c r="G465" s="122"/>
      <c r="H465" s="115"/>
      <c r="I465" s="115"/>
      <c r="J465" s="115"/>
      <c r="K465" s="115"/>
      <c r="L465" s="115"/>
    </row>
    <row r="466" spans="1:12">
      <c r="A466" s="115"/>
      <c r="B466" s="115"/>
      <c r="C466" s="115"/>
      <c r="D466" s="115"/>
      <c r="E466" s="115"/>
      <c r="F466" s="121"/>
      <c r="G466" s="122"/>
      <c r="H466" s="115"/>
      <c r="I466" s="115"/>
      <c r="J466" s="115"/>
      <c r="K466" s="115"/>
      <c r="L466" s="115"/>
    </row>
    <row r="467" spans="1:12">
      <c r="A467" s="115"/>
      <c r="B467" s="115"/>
      <c r="C467" s="115"/>
      <c r="D467" s="115"/>
      <c r="E467" s="115"/>
      <c r="F467" s="121"/>
      <c r="G467" s="122"/>
      <c r="H467" s="115"/>
      <c r="I467" s="115"/>
      <c r="J467" s="115"/>
      <c r="K467" s="115"/>
      <c r="L467" s="115"/>
    </row>
    <row r="468" spans="1:12">
      <c r="A468" s="115"/>
      <c r="B468" s="115"/>
      <c r="C468" s="115"/>
      <c r="D468" s="115"/>
      <c r="E468" s="115"/>
      <c r="F468" s="121"/>
      <c r="G468" s="122"/>
      <c r="H468" s="115"/>
      <c r="I468" s="115"/>
      <c r="J468" s="115"/>
      <c r="K468" s="115"/>
      <c r="L468" s="115"/>
    </row>
    <row r="469" spans="1:12">
      <c r="A469" s="115"/>
      <c r="B469" s="115"/>
      <c r="C469" s="115"/>
      <c r="D469" s="115"/>
      <c r="E469" s="115"/>
      <c r="F469" s="121"/>
      <c r="G469" s="122"/>
      <c r="H469" s="115"/>
      <c r="I469" s="115"/>
      <c r="J469" s="115"/>
      <c r="K469" s="115"/>
      <c r="L469" s="115"/>
    </row>
    <row r="470" spans="1:12">
      <c r="A470" s="115"/>
      <c r="B470" s="115"/>
      <c r="C470" s="115"/>
      <c r="D470" s="115"/>
      <c r="E470" s="115"/>
      <c r="F470" s="121"/>
      <c r="G470" s="122"/>
      <c r="H470" s="115"/>
      <c r="I470" s="115"/>
      <c r="J470" s="115"/>
      <c r="K470" s="115"/>
      <c r="L470" s="115"/>
    </row>
    <row r="471" spans="1:12">
      <c r="A471" s="115"/>
      <c r="B471" s="115"/>
      <c r="C471" s="115"/>
      <c r="D471" s="115"/>
      <c r="E471" s="115"/>
      <c r="F471" s="121"/>
      <c r="G471" s="122"/>
      <c r="H471" s="115"/>
      <c r="I471" s="115"/>
      <c r="J471" s="115"/>
      <c r="K471" s="115"/>
      <c r="L471" s="115"/>
    </row>
    <row r="472" spans="1:12">
      <c r="A472" s="115"/>
      <c r="B472" s="115"/>
      <c r="C472" s="115"/>
      <c r="D472" s="115"/>
      <c r="E472" s="115"/>
      <c r="F472" s="121"/>
      <c r="G472" s="122"/>
      <c r="H472" s="115"/>
      <c r="I472" s="115"/>
      <c r="J472" s="115"/>
      <c r="K472" s="115"/>
      <c r="L472" s="115"/>
    </row>
    <row r="473" spans="1:12">
      <c r="A473" s="115"/>
      <c r="B473" s="115"/>
      <c r="C473" s="115"/>
      <c r="D473" s="115"/>
      <c r="E473" s="115"/>
      <c r="F473" s="121"/>
      <c r="G473" s="122"/>
      <c r="H473" s="115"/>
      <c r="I473" s="115"/>
      <c r="J473" s="115"/>
      <c r="K473" s="115"/>
      <c r="L473" s="115"/>
    </row>
    <row r="474" spans="1:12">
      <c r="A474" s="115"/>
      <c r="B474" s="115"/>
      <c r="C474" s="115"/>
      <c r="D474" s="115"/>
      <c r="E474" s="115"/>
      <c r="F474" s="121"/>
      <c r="G474" s="122"/>
      <c r="H474" s="115"/>
      <c r="I474" s="115"/>
      <c r="J474" s="115"/>
      <c r="K474" s="115"/>
      <c r="L474" s="115"/>
    </row>
    <row r="475" spans="1:12">
      <c r="A475" s="115"/>
      <c r="B475" s="115"/>
      <c r="C475" s="115"/>
      <c r="D475" s="115"/>
      <c r="E475" s="115"/>
      <c r="F475" s="121"/>
      <c r="G475" s="122"/>
      <c r="H475" s="115"/>
      <c r="I475" s="115"/>
      <c r="J475" s="115"/>
      <c r="K475" s="115"/>
      <c r="L475" s="115"/>
    </row>
    <row r="476" spans="1:12">
      <c r="A476" s="115"/>
      <c r="B476" s="115"/>
      <c r="C476" s="115"/>
      <c r="D476" s="115"/>
      <c r="E476" s="115"/>
      <c r="F476" s="121"/>
      <c r="G476" s="122"/>
      <c r="H476" s="115"/>
      <c r="I476" s="115"/>
      <c r="J476" s="115"/>
      <c r="K476" s="115"/>
      <c r="L476" s="115"/>
    </row>
    <row r="477" spans="1:12">
      <c r="A477" s="115"/>
      <c r="B477" s="115"/>
      <c r="C477" s="115"/>
      <c r="D477" s="115"/>
      <c r="E477" s="115"/>
      <c r="F477" s="121"/>
      <c r="G477" s="122"/>
      <c r="H477" s="115"/>
      <c r="I477" s="115"/>
      <c r="J477" s="115"/>
      <c r="K477" s="115"/>
      <c r="L477" s="115"/>
    </row>
    <row r="478" spans="1:12">
      <c r="A478" s="115"/>
      <c r="B478" s="115"/>
      <c r="C478" s="115"/>
      <c r="D478" s="115"/>
      <c r="E478" s="115"/>
      <c r="F478" s="121"/>
      <c r="G478" s="122"/>
      <c r="H478" s="115"/>
      <c r="I478" s="115"/>
      <c r="J478" s="115"/>
      <c r="K478" s="115"/>
      <c r="L478" s="115"/>
    </row>
    <row r="479" spans="1:12">
      <c r="A479" s="115"/>
      <c r="B479" s="115"/>
      <c r="C479" s="115"/>
      <c r="D479" s="115"/>
      <c r="E479" s="115"/>
      <c r="F479" s="121"/>
      <c r="G479" s="122"/>
      <c r="H479" s="115"/>
      <c r="I479" s="115"/>
      <c r="J479" s="115"/>
      <c r="K479" s="115"/>
      <c r="L479" s="115"/>
    </row>
    <row r="480" spans="1:12">
      <c r="A480" s="115"/>
      <c r="B480" s="115"/>
      <c r="C480" s="115"/>
      <c r="D480" s="115"/>
      <c r="E480" s="115"/>
      <c r="F480" s="121"/>
      <c r="G480" s="122"/>
      <c r="H480" s="115"/>
      <c r="I480" s="115"/>
      <c r="J480" s="115"/>
      <c r="K480" s="115"/>
      <c r="L480" s="115"/>
    </row>
    <row r="481" spans="1:12">
      <c r="A481" s="115"/>
      <c r="B481" s="115"/>
      <c r="C481" s="115"/>
      <c r="D481" s="115"/>
      <c r="E481" s="115"/>
      <c r="F481" s="121"/>
      <c r="G481" s="122"/>
      <c r="H481" s="115"/>
      <c r="I481" s="115"/>
      <c r="J481" s="115"/>
      <c r="K481" s="115"/>
      <c r="L481" s="115"/>
    </row>
    <row r="482" spans="1:12">
      <c r="A482" s="115"/>
      <c r="B482" s="115"/>
      <c r="C482" s="115"/>
      <c r="D482" s="115"/>
      <c r="E482" s="115"/>
      <c r="F482" s="121"/>
      <c r="G482" s="122"/>
      <c r="H482" s="115"/>
      <c r="I482" s="115"/>
      <c r="J482" s="115"/>
      <c r="K482" s="115"/>
      <c r="L482" s="115"/>
    </row>
    <row r="483" spans="1:12">
      <c r="A483" s="115"/>
      <c r="B483" s="115"/>
      <c r="C483" s="115"/>
      <c r="D483" s="115"/>
      <c r="E483" s="115"/>
      <c r="F483" s="121"/>
      <c r="G483" s="122"/>
      <c r="H483" s="115"/>
      <c r="I483" s="115"/>
      <c r="J483" s="115"/>
      <c r="K483" s="115"/>
      <c r="L483" s="115"/>
    </row>
    <row r="484" spans="1:12">
      <c r="A484" s="115"/>
      <c r="B484" s="115"/>
      <c r="C484" s="115"/>
      <c r="D484" s="115"/>
      <c r="E484" s="115"/>
      <c r="F484" s="121"/>
      <c r="G484" s="122"/>
      <c r="H484" s="115"/>
      <c r="I484" s="115"/>
      <c r="J484" s="115"/>
      <c r="K484" s="115"/>
      <c r="L484" s="115"/>
    </row>
    <row r="485" spans="1:12">
      <c r="A485" s="115"/>
      <c r="B485" s="115"/>
      <c r="C485" s="115"/>
      <c r="D485" s="115"/>
      <c r="E485" s="115"/>
      <c r="F485" s="121"/>
      <c r="G485" s="122"/>
      <c r="H485" s="115"/>
      <c r="I485" s="115"/>
      <c r="J485" s="115"/>
      <c r="K485" s="115"/>
      <c r="L485" s="115"/>
    </row>
    <row r="486" spans="1:12">
      <c r="A486" s="115"/>
      <c r="B486" s="115"/>
      <c r="C486" s="115"/>
      <c r="D486" s="115"/>
      <c r="E486" s="115"/>
      <c r="F486" s="121"/>
      <c r="G486" s="122"/>
      <c r="H486" s="115"/>
      <c r="I486" s="115"/>
      <c r="J486" s="115"/>
      <c r="K486" s="115"/>
      <c r="L486" s="115"/>
    </row>
    <row r="487" spans="1:12">
      <c r="A487" s="115"/>
      <c r="B487" s="115"/>
      <c r="C487" s="115"/>
      <c r="D487" s="115"/>
      <c r="E487" s="115"/>
      <c r="F487" s="121"/>
      <c r="G487" s="122"/>
      <c r="H487" s="115"/>
      <c r="I487" s="115"/>
      <c r="J487" s="115"/>
      <c r="K487" s="115"/>
      <c r="L487" s="115"/>
    </row>
    <row r="488" spans="1:12">
      <c r="A488" s="115"/>
      <c r="B488" s="115"/>
      <c r="C488" s="115"/>
      <c r="D488" s="115"/>
      <c r="E488" s="115"/>
      <c r="F488" s="121"/>
      <c r="G488" s="122"/>
      <c r="H488" s="115"/>
      <c r="I488" s="115"/>
      <c r="J488" s="115"/>
      <c r="K488" s="115"/>
      <c r="L488" s="115"/>
    </row>
    <row r="489" spans="1:12">
      <c r="A489" s="115"/>
      <c r="B489" s="115"/>
      <c r="C489" s="115"/>
      <c r="D489" s="115"/>
      <c r="E489" s="115"/>
      <c r="F489" s="121"/>
      <c r="G489" s="122"/>
      <c r="H489" s="115"/>
      <c r="I489" s="115"/>
      <c r="J489" s="115"/>
      <c r="K489" s="115"/>
      <c r="L489" s="115"/>
    </row>
    <row r="490" spans="1:12">
      <c r="A490" s="115"/>
      <c r="B490" s="115"/>
      <c r="C490" s="115"/>
      <c r="D490" s="115"/>
      <c r="E490" s="115"/>
      <c r="F490" s="121"/>
      <c r="G490" s="122"/>
      <c r="H490" s="115"/>
      <c r="I490" s="115"/>
      <c r="J490" s="115"/>
      <c r="K490" s="115"/>
      <c r="L490" s="115"/>
    </row>
    <row r="491" spans="1:12">
      <c r="A491" s="115"/>
      <c r="B491" s="115"/>
      <c r="C491" s="115"/>
      <c r="D491" s="115"/>
      <c r="E491" s="115"/>
      <c r="F491" s="121"/>
      <c r="G491" s="122"/>
      <c r="H491" s="115"/>
      <c r="I491" s="115"/>
      <c r="J491" s="115"/>
      <c r="K491" s="115"/>
      <c r="L491" s="115"/>
    </row>
    <row r="492" spans="1:12">
      <c r="A492" s="115"/>
      <c r="B492" s="115"/>
      <c r="C492" s="115"/>
      <c r="D492" s="115"/>
      <c r="E492" s="115"/>
      <c r="F492" s="121"/>
      <c r="G492" s="122"/>
      <c r="H492" s="115"/>
      <c r="I492" s="115"/>
      <c r="J492" s="115"/>
      <c r="K492" s="115"/>
      <c r="L492" s="115"/>
    </row>
    <row r="493" spans="1:12">
      <c r="A493" s="115"/>
      <c r="B493" s="115"/>
      <c r="C493" s="115"/>
      <c r="D493" s="115"/>
      <c r="E493" s="115"/>
      <c r="F493" s="121"/>
      <c r="G493" s="122"/>
      <c r="H493" s="115"/>
      <c r="I493" s="115"/>
      <c r="J493" s="115"/>
      <c r="K493" s="115"/>
      <c r="L493" s="115"/>
    </row>
    <row r="494" spans="1:12">
      <c r="A494" s="115"/>
      <c r="B494" s="115"/>
      <c r="C494" s="115"/>
      <c r="D494" s="115"/>
      <c r="E494" s="115"/>
      <c r="F494" s="121"/>
      <c r="G494" s="122"/>
      <c r="H494" s="115"/>
      <c r="I494" s="115"/>
      <c r="J494" s="115"/>
      <c r="K494" s="115"/>
      <c r="L494" s="115"/>
    </row>
    <row r="495" spans="1:12">
      <c r="A495" s="115"/>
      <c r="B495" s="115"/>
      <c r="C495" s="115"/>
      <c r="D495" s="115"/>
      <c r="E495" s="115"/>
      <c r="F495" s="121"/>
      <c r="G495" s="122"/>
      <c r="H495" s="115"/>
      <c r="I495" s="115"/>
      <c r="J495" s="115"/>
      <c r="K495" s="115"/>
      <c r="L495" s="115"/>
    </row>
    <row r="496" spans="1:12">
      <c r="A496" s="115"/>
      <c r="B496" s="115"/>
      <c r="C496" s="115"/>
      <c r="D496" s="115"/>
      <c r="E496" s="115"/>
      <c r="F496" s="121"/>
      <c r="G496" s="122"/>
      <c r="H496" s="115"/>
      <c r="I496" s="115"/>
      <c r="J496" s="115"/>
      <c r="K496" s="115"/>
      <c r="L496" s="115"/>
    </row>
    <row r="497" spans="1:12">
      <c r="A497" s="115"/>
      <c r="B497" s="115"/>
      <c r="C497" s="115"/>
      <c r="D497" s="115"/>
      <c r="E497" s="115"/>
      <c r="F497" s="121"/>
      <c r="G497" s="122"/>
      <c r="H497" s="115"/>
      <c r="I497" s="115"/>
      <c r="J497" s="115"/>
      <c r="K497" s="115"/>
      <c r="L497" s="115"/>
    </row>
    <row r="498" spans="1:12">
      <c r="A498" s="115"/>
      <c r="B498" s="115"/>
      <c r="C498" s="115"/>
      <c r="D498" s="115"/>
      <c r="E498" s="115"/>
      <c r="F498" s="121"/>
      <c r="G498" s="122"/>
      <c r="H498" s="115"/>
      <c r="I498" s="115"/>
      <c r="J498" s="115"/>
      <c r="K498" s="115"/>
      <c r="L498" s="115"/>
    </row>
    <row r="499" spans="1:12">
      <c r="A499" s="115"/>
      <c r="B499" s="115"/>
      <c r="C499" s="115"/>
      <c r="D499" s="115"/>
      <c r="E499" s="115"/>
      <c r="F499" s="121"/>
      <c r="G499" s="122"/>
      <c r="H499" s="115"/>
      <c r="I499" s="115"/>
      <c r="J499" s="115"/>
      <c r="K499" s="115"/>
      <c r="L499" s="115"/>
    </row>
    <row r="500" spans="1:12">
      <c r="A500" s="115"/>
      <c r="B500" s="115"/>
      <c r="C500" s="115"/>
      <c r="D500" s="115"/>
      <c r="E500" s="115"/>
      <c r="F500" s="121"/>
      <c r="G500" s="122"/>
      <c r="H500" s="115"/>
      <c r="I500" s="115"/>
      <c r="J500" s="115"/>
      <c r="K500" s="115"/>
      <c r="L500" s="115"/>
    </row>
    <row r="501" spans="1:12">
      <c r="A501" s="115"/>
      <c r="B501" s="115"/>
      <c r="C501" s="115"/>
      <c r="D501" s="115"/>
      <c r="E501" s="115"/>
      <c r="F501" s="121"/>
      <c r="G501" s="122"/>
      <c r="H501" s="115"/>
      <c r="I501" s="115"/>
      <c r="J501" s="115"/>
      <c r="K501" s="115"/>
      <c r="L501" s="115"/>
    </row>
    <row r="502" spans="1:12">
      <c r="A502" s="115"/>
      <c r="B502" s="115"/>
      <c r="C502" s="115"/>
      <c r="D502" s="115"/>
      <c r="E502" s="115"/>
      <c r="F502" s="121"/>
      <c r="G502" s="122"/>
      <c r="H502" s="115"/>
      <c r="I502" s="115"/>
      <c r="J502" s="115"/>
      <c r="K502" s="115"/>
      <c r="L502" s="115"/>
    </row>
    <row r="503" spans="1:12">
      <c r="A503" s="115"/>
      <c r="B503" s="115"/>
      <c r="C503" s="115"/>
      <c r="D503" s="115"/>
      <c r="E503" s="115"/>
      <c r="F503" s="121"/>
      <c r="G503" s="122"/>
      <c r="H503" s="115"/>
      <c r="I503" s="115"/>
      <c r="J503" s="115"/>
      <c r="K503" s="115"/>
      <c r="L503" s="115"/>
    </row>
    <row r="504" spans="1:12">
      <c r="A504" s="115"/>
      <c r="B504" s="115"/>
      <c r="C504" s="115"/>
      <c r="D504" s="115"/>
      <c r="E504" s="115"/>
      <c r="F504" s="121"/>
      <c r="G504" s="122"/>
      <c r="H504" s="115"/>
      <c r="I504" s="115"/>
      <c r="J504" s="115"/>
      <c r="K504" s="115"/>
      <c r="L504" s="115"/>
    </row>
    <row r="505" spans="1:12">
      <c r="A505" s="115"/>
      <c r="B505" s="115"/>
      <c r="C505" s="115"/>
      <c r="D505" s="115"/>
      <c r="E505" s="115"/>
      <c r="F505" s="121"/>
      <c r="G505" s="122"/>
      <c r="H505" s="115"/>
      <c r="I505" s="115"/>
      <c r="J505" s="115"/>
      <c r="K505" s="115"/>
      <c r="L505" s="115"/>
    </row>
    <row r="506" spans="1:12">
      <c r="A506" s="115"/>
      <c r="B506" s="115"/>
      <c r="C506" s="115"/>
      <c r="D506" s="115"/>
      <c r="E506" s="115"/>
      <c r="F506" s="121"/>
      <c r="G506" s="122"/>
      <c r="H506" s="115"/>
      <c r="I506" s="115"/>
      <c r="J506" s="115"/>
      <c r="K506" s="115"/>
      <c r="L506" s="115"/>
    </row>
    <row r="507" spans="1:12">
      <c r="A507" s="115"/>
      <c r="B507" s="115"/>
      <c r="C507" s="115"/>
      <c r="D507" s="115"/>
      <c r="E507" s="115"/>
      <c r="F507" s="121"/>
      <c r="G507" s="122"/>
      <c r="H507" s="115"/>
      <c r="I507" s="115"/>
      <c r="J507" s="115"/>
      <c r="K507" s="115"/>
      <c r="L507" s="115"/>
    </row>
    <row r="508" spans="1:12">
      <c r="A508" s="115"/>
      <c r="B508" s="115"/>
      <c r="C508" s="115"/>
      <c r="D508" s="115"/>
      <c r="E508" s="115"/>
      <c r="F508" s="121"/>
      <c r="G508" s="122"/>
      <c r="H508" s="115"/>
      <c r="I508" s="115"/>
      <c r="J508" s="115"/>
      <c r="K508" s="115"/>
      <c r="L508" s="115"/>
    </row>
    <row r="509" spans="1:12">
      <c r="A509" s="115"/>
      <c r="B509" s="115"/>
      <c r="C509" s="115"/>
      <c r="D509" s="115"/>
      <c r="E509" s="115"/>
      <c r="F509" s="121"/>
      <c r="G509" s="122"/>
      <c r="H509" s="115"/>
      <c r="I509" s="115"/>
      <c r="J509" s="115"/>
      <c r="K509" s="115"/>
      <c r="L509" s="115"/>
    </row>
    <row r="510" spans="1:12">
      <c r="A510" s="115"/>
      <c r="B510" s="115"/>
      <c r="C510" s="115"/>
      <c r="D510" s="115"/>
      <c r="E510" s="115"/>
      <c r="F510" s="121"/>
      <c r="G510" s="122"/>
      <c r="H510" s="115"/>
      <c r="I510" s="115"/>
      <c r="J510" s="115"/>
      <c r="K510" s="115"/>
      <c r="L510" s="115"/>
    </row>
    <row r="511" spans="1:12">
      <c r="A511" s="115"/>
      <c r="B511" s="115"/>
      <c r="C511" s="115"/>
      <c r="D511" s="115"/>
      <c r="E511" s="115"/>
      <c r="F511" s="121"/>
      <c r="G511" s="122"/>
      <c r="H511" s="115"/>
      <c r="I511" s="115"/>
      <c r="J511" s="115"/>
      <c r="K511" s="115"/>
      <c r="L511" s="115"/>
    </row>
    <row r="512" spans="1:12">
      <c r="A512" s="115"/>
      <c r="B512" s="115"/>
      <c r="C512" s="115"/>
      <c r="D512" s="115"/>
      <c r="E512" s="115"/>
      <c r="F512" s="121"/>
      <c r="G512" s="122"/>
      <c r="H512" s="115"/>
      <c r="I512" s="115"/>
      <c r="J512" s="115"/>
      <c r="K512" s="115"/>
      <c r="L512" s="115"/>
    </row>
    <row r="513" spans="1:12">
      <c r="A513" s="115"/>
      <c r="B513" s="115"/>
      <c r="C513" s="115"/>
      <c r="D513" s="115"/>
      <c r="E513" s="115"/>
      <c r="F513" s="121"/>
      <c r="G513" s="122"/>
      <c r="H513" s="115"/>
      <c r="I513" s="115"/>
      <c r="J513" s="115"/>
      <c r="K513" s="115"/>
      <c r="L513" s="115"/>
    </row>
    <row r="514" spans="1:12">
      <c r="A514" s="115"/>
      <c r="B514" s="115"/>
      <c r="C514" s="115"/>
      <c r="D514" s="115"/>
      <c r="E514" s="115"/>
      <c r="F514" s="121"/>
      <c r="G514" s="122"/>
      <c r="H514" s="115"/>
      <c r="I514" s="115"/>
      <c r="J514" s="115"/>
      <c r="K514" s="115"/>
      <c r="L514" s="115"/>
    </row>
    <row r="515" spans="1:12">
      <c r="A515" s="115"/>
      <c r="B515" s="115"/>
      <c r="C515" s="115"/>
      <c r="D515" s="115"/>
      <c r="E515" s="115"/>
      <c r="F515" s="121"/>
      <c r="G515" s="122"/>
      <c r="H515" s="115"/>
      <c r="I515" s="115"/>
      <c r="J515" s="115"/>
      <c r="K515" s="115"/>
      <c r="L515" s="115"/>
    </row>
    <row r="516" spans="1:12">
      <c r="A516" s="115"/>
      <c r="B516" s="115"/>
      <c r="C516" s="115"/>
      <c r="D516" s="115"/>
      <c r="E516" s="115"/>
      <c r="F516" s="121"/>
      <c r="G516" s="122"/>
      <c r="H516" s="115"/>
      <c r="I516" s="115"/>
      <c r="J516" s="115"/>
      <c r="K516" s="115"/>
      <c r="L516" s="115"/>
    </row>
    <row r="517" spans="1:12">
      <c r="A517" s="115"/>
      <c r="B517" s="115"/>
      <c r="C517" s="115"/>
      <c r="D517" s="115"/>
      <c r="E517" s="115"/>
      <c r="F517" s="121"/>
      <c r="G517" s="122"/>
      <c r="H517" s="115"/>
      <c r="I517" s="115"/>
      <c r="J517" s="115"/>
      <c r="K517" s="115"/>
      <c r="L517" s="115"/>
    </row>
    <row r="518" spans="1:12">
      <c r="A518" s="115"/>
      <c r="B518" s="115"/>
      <c r="C518" s="115"/>
      <c r="D518" s="115"/>
      <c r="E518" s="115"/>
      <c r="F518" s="121"/>
      <c r="G518" s="122"/>
      <c r="H518" s="115"/>
      <c r="I518" s="115"/>
      <c r="J518" s="115"/>
      <c r="K518" s="115"/>
      <c r="L518" s="115"/>
    </row>
    <row r="519" spans="1:12">
      <c r="A519" s="115"/>
      <c r="B519" s="115"/>
      <c r="C519" s="115"/>
      <c r="D519" s="115"/>
      <c r="E519" s="115"/>
      <c r="F519" s="121"/>
      <c r="G519" s="122"/>
      <c r="H519" s="115"/>
      <c r="I519" s="115"/>
      <c r="J519" s="115"/>
      <c r="K519" s="115"/>
      <c r="L519" s="115"/>
    </row>
    <row r="520" spans="1:12">
      <c r="A520" s="115"/>
      <c r="B520" s="115"/>
      <c r="C520" s="115"/>
      <c r="D520" s="115"/>
      <c r="E520" s="115"/>
      <c r="F520" s="121"/>
      <c r="G520" s="122"/>
      <c r="H520" s="115"/>
      <c r="I520" s="115"/>
      <c r="J520" s="115"/>
      <c r="K520" s="115"/>
      <c r="L520" s="115"/>
    </row>
    <row r="521" spans="1:12">
      <c r="A521" s="115"/>
      <c r="B521" s="115"/>
      <c r="C521" s="115"/>
      <c r="D521" s="115"/>
      <c r="E521" s="115"/>
      <c r="F521" s="121"/>
      <c r="G521" s="122"/>
      <c r="H521" s="115"/>
      <c r="I521" s="115"/>
      <c r="J521" s="115"/>
      <c r="K521" s="115"/>
      <c r="L521" s="115"/>
    </row>
    <row r="522" spans="1:12">
      <c r="A522" s="115"/>
      <c r="B522" s="115"/>
      <c r="C522" s="115"/>
      <c r="D522" s="115"/>
      <c r="E522" s="115"/>
      <c r="F522" s="121"/>
      <c r="G522" s="122"/>
      <c r="H522" s="115"/>
      <c r="I522" s="115"/>
      <c r="J522" s="115"/>
      <c r="K522" s="115"/>
      <c r="L522" s="115"/>
    </row>
    <row r="523" spans="1:12">
      <c r="A523" s="115"/>
      <c r="B523" s="115"/>
      <c r="C523" s="115"/>
      <c r="D523" s="115"/>
      <c r="E523" s="115"/>
      <c r="F523" s="121"/>
      <c r="G523" s="122"/>
      <c r="H523" s="115"/>
      <c r="I523" s="115"/>
      <c r="J523" s="115"/>
      <c r="K523" s="115"/>
      <c r="L523" s="115"/>
    </row>
    <row r="524" spans="1:12">
      <c r="A524" s="115"/>
      <c r="B524" s="115"/>
      <c r="C524" s="115"/>
      <c r="D524" s="115"/>
      <c r="E524" s="115"/>
      <c r="F524" s="121"/>
      <c r="G524" s="122"/>
      <c r="H524" s="115"/>
      <c r="I524" s="115"/>
      <c r="J524" s="115"/>
      <c r="K524" s="115"/>
      <c r="L524" s="115"/>
    </row>
    <row r="525" spans="1:12">
      <c r="A525" s="115"/>
      <c r="B525" s="115"/>
      <c r="C525" s="115"/>
      <c r="D525" s="115"/>
      <c r="E525" s="115"/>
      <c r="F525" s="121"/>
      <c r="G525" s="122"/>
      <c r="H525" s="115"/>
      <c r="I525" s="115"/>
      <c r="J525" s="115"/>
      <c r="K525" s="115"/>
      <c r="L525" s="115"/>
    </row>
    <row r="526" spans="1:12">
      <c r="A526" s="115"/>
      <c r="B526" s="115"/>
      <c r="C526" s="115"/>
      <c r="D526" s="115"/>
      <c r="E526" s="115"/>
      <c r="F526" s="121"/>
      <c r="G526" s="122"/>
      <c r="H526" s="115"/>
      <c r="I526" s="115"/>
      <c r="J526" s="115"/>
      <c r="K526" s="115"/>
      <c r="L526" s="115"/>
    </row>
    <row r="527" spans="1:12">
      <c r="A527" s="115"/>
      <c r="B527" s="115"/>
      <c r="C527" s="115"/>
      <c r="D527" s="115"/>
      <c r="E527" s="115"/>
      <c r="F527" s="121"/>
      <c r="G527" s="122"/>
      <c r="H527" s="115"/>
      <c r="I527" s="115"/>
      <c r="J527" s="115"/>
      <c r="K527" s="115"/>
      <c r="L527" s="115"/>
    </row>
    <row r="528" spans="1:12">
      <c r="A528" s="115"/>
      <c r="B528" s="115"/>
      <c r="C528" s="115"/>
      <c r="D528" s="115"/>
      <c r="E528" s="115"/>
      <c r="F528" s="121"/>
      <c r="G528" s="122"/>
      <c r="H528" s="115"/>
      <c r="I528" s="115"/>
      <c r="J528" s="115"/>
      <c r="K528" s="115"/>
      <c r="L528" s="115"/>
    </row>
    <row r="529" spans="1:12">
      <c r="A529" s="115"/>
      <c r="B529" s="115"/>
      <c r="C529" s="115"/>
      <c r="D529" s="115"/>
      <c r="E529" s="115"/>
      <c r="F529" s="121"/>
      <c r="G529" s="122"/>
      <c r="H529" s="115"/>
      <c r="I529" s="115"/>
      <c r="J529" s="115"/>
      <c r="K529" s="115"/>
      <c r="L529" s="115"/>
    </row>
    <row r="530" spans="1:12">
      <c r="A530" s="115"/>
      <c r="B530" s="115"/>
      <c r="C530" s="115"/>
      <c r="D530" s="115"/>
      <c r="E530" s="115"/>
      <c r="F530" s="121"/>
      <c r="G530" s="122"/>
      <c r="H530" s="115"/>
      <c r="I530" s="115"/>
      <c r="J530" s="115"/>
      <c r="K530" s="115"/>
      <c r="L530" s="115"/>
    </row>
    <row r="531" spans="1:12">
      <c r="A531" s="115"/>
      <c r="B531" s="115"/>
      <c r="C531" s="115"/>
      <c r="D531" s="115"/>
      <c r="E531" s="115"/>
      <c r="F531" s="121"/>
      <c r="G531" s="122"/>
      <c r="H531" s="115"/>
      <c r="I531" s="115"/>
      <c r="J531" s="115"/>
      <c r="K531" s="115"/>
      <c r="L531" s="115"/>
    </row>
    <row r="532" spans="1:12">
      <c r="A532" s="115"/>
      <c r="B532" s="115"/>
      <c r="C532" s="115"/>
      <c r="D532" s="115"/>
      <c r="E532" s="115"/>
      <c r="F532" s="121"/>
      <c r="G532" s="122"/>
      <c r="H532" s="115"/>
      <c r="I532" s="115"/>
      <c r="J532" s="115"/>
      <c r="K532" s="115"/>
      <c r="L532" s="115"/>
    </row>
    <row r="533" spans="1:12">
      <c r="A533" s="115"/>
      <c r="B533" s="115"/>
      <c r="C533" s="115"/>
      <c r="D533" s="115"/>
      <c r="E533" s="115"/>
      <c r="F533" s="121"/>
      <c r="G533" s="122"/>
      <c r="H533" s="115"/>
      <c r="I533" s="115"/>
      <c r="J533" s="115"/>
      <c r="K533" s="115"/>
      <c r="L533" s="115"/>
    </row>
    <row r="534" spans="1:12">
      <c r="A534" s="115"/>
      <c r="B534" s="115"/>
      <c r="C534" s="115"/>
      <c r="D534" s="115"/>
      <c r="E534" s="115"/>
      <c r="F534" s="121"/>
      <c r="G534" s="122"/>
      <c r="H534" s="115"/>
      <c r="I534" s="115"/>
      <c r="J534" s="115"/>
      <c r="K534" s="115"/>
      <c r="L534" s="115"/>
    </row>
    <row r="535" spans="1:12">
      <c r="A535" s="115"/>
      <c r="B535" s="115"/>
      <c r="C535" s="115"/>
      <c r="D535" s="115"/>
      <c r="E535" s="115"/>
      <c r="F535" s="121"/>
      <c r="G535" s="122"/>
      <c r="H535" s="115"/>
      <c r="I535" s="115"/>
      <c r="J535" s="115"/>
      <c r="K535" s="115"/>
      <c r="L535" s="115"/>
    </row>
    <row r="536" spans="1:12">
      <c r="A536" s="115"/>
      <c r="B536" s="115"/>
      <c r="C536" s="115"/>
      <c r="D536" s="115"/>
      <c r="E536" s="115"/>
      <c r="F536" s="121"/>
      <c r="G536" s="122"/>
      <c r="H536" s="115"/>
      <c r="I536" s="115"/>
      <c r="J536" s="115"/>
      <c r="K536" s="115"/>
      <c r="L536" s="115"/>
    </row>
    <row r="537" spans="1:12">
      <c r="A537" s="115"/>
      <c r="B537" s="115"/>
      <c r="C537" s="115"/>
      <c r="D537" s="115"/>
      <c r="E537" s="115"/>
      <c r="F537" s="121"/>
      <c r="G537" s="122"/>
      <c r="H537" s="115"/>
      <c r="I537" s="115"/>
      <c r="J537" s="115"/>
      <c r="K537" s="115"/>
      <c r="L537" s="115"/>
    </row>
    <row r="538" spans="1:12">
      <c r="A538" s="115"/>
      <c r="B538" s="115"/>
      <c r="C538" s="115"/>
      <c r="D538" s="115"/>
      <c r="E538" s="115"/>
      <c r="F538" s="121"/>
      <c r="G538" s="122"/>
      <c r="H538" s="115"/>
      <c r="I538" s="115"/>
      <c r="J538" s="115"/>
      <c r="K538" s="115"/>
      <c r="L538" s="115"/>
    </row>
    <row r="539" spans="1:12">
      <c r="A539" s="115"/>
      <c r="B539" s="115"/>
      <c r="C539" s="115"/>
      <c r="D539" s="115"/>
      <c r="E539" s="115"/>
      <c r="F539" s="121"/>
      <c r="G539" s="122"/>
      <c r="H539" s="115"/>
      <c r="I539" s="115"/>
      <c r="J539" s="115"/>
      <c r="K539" s="115"/>
      <c r="L539" s="115"/>
    </row>
    <row r="540" spans="1:12">
      <c r="A540" s="115"/>
      <c r="B540" s="115"/>
      <c r="C540" s="115"/>
      <c r="D540" s="115"/>
      <c r="E540" s="115"/>
      <c r="F540" s="121"/>
      <c r="G540" s="122"/>
      <c r="H540" s="115"/>
      <c r="I540" s="115"/>
      <c r="J540" s="115"/>
      <c r="K540" s="115"/>
      <c r="L540" s="115"/>
    </row>
    <row r="541" spans="1:12">
      <c r="A541" s="115"/>
      <c r="B541" s="115"/>
      <c r="C541" s="115"/>
      <c r="D541" s="115"/>
      <c r="E541" s="115"/>
      <c r="F541" s="121"/>
      <c r="G541" s="122"/>
      <c r="H541" s="115"/>
      <c r="I541" s="115"/>
      <c r="J541" s="115"/>
      <c r="K541" s="115"/>
      <c r="L541" s="115"/>
    </row>
    <row r="542" spans="1:12">
      <c r="A542" s="115"/>
      <c r="B542" s="115"/>
      <c r="C542" s="115"/>
      <c r="D542" s="115"/>
      <c r="E542" s="115"/>
      <c r="F542" s="121"/>
      <c r="G542" s="122"/>
      <c r="H542" s="115"/>
      <c r="I542" s="115"/>
      <c r="J542" s="115"/>
      <c r="K542" s="115"/>
      <c r="L542" s="115"/>
    </row>
    <row r="543" spans="1:12">
      <c r="A543" s="115"/>
      <c r="B543" s="115"/>
      <c r="C543" s="115"/>
      <c r="D543" s="115"/>
      <c r="E543" s="115"/>
      <c r="F543" s="121"/>
      <c r="G543" s="122"/>
      <c r="H543" s="115"/>
      <c r="I543" s="115"/>
      <c r="J543" s="115"/>
      <c r="K543" s="115"/>
      <c r="L543" s="115"/>
    </row>
    <row r="544" spans="1:12">
      <c r="A544" s="115"/>
      <c r="B544" s="115"/>
      <c r="C544" s="115"/>
      <c r="D544" s="115"/>
      <c r="E544" s="115"/>
      <c r="F544" s="121"/>
      <c r="G544" s="122"/>
      <c r="H544" s="115"/>
      <c r="I544" s="115"/>
      <c r="J544" s="115"/>
      <c r="K544" s="115"/>
      <c r="L544" s="115"/>
    </row>
    <row r="545" spans="1:12">
      <c r="A545" s="115"/>
      <c r="B545" s="115"/>
      <c r="C545" s="115"/>
      <c r="D545" s="115"/>
      <c r="E545" s="115"/>
      <c r="F545" s="121"/>
      <c r="G545" s="122"/>
      <c r="H545" s="115"/>
      <c r="I545" s="115"/>
      <c r="J545" s="115"/>
      <c r="K545" s="115"/>
      <c r="L545" s="115"/>
    </row>
    <row r="546" spans="1:12">
      <c r="A546" s="115"/>
      <c r="B546" s="115"/>
      <c r="C546" s="115"/>
      <c r="D546" s="115"/>
      <c r="E546" s="115"/>
      <c r="F546" s="121"/>
      <c r="G546" s="122"/>
      <c r="H546" s="115"/>
      <c r="I546" s="115"/>
      <c r="J546" s="115"/>
      <c r="K546" s="115"/>
      <c r="L546" s="115"/>
    </row>
    <row r="547" spans="1:12">
      <c r="A547" s="115"/>
      <c r="B547" s="115"/>
      <c r="C547" s="115"/>
      <c r="D547" s="115"/>
      <c r="E547" s="115"/>
      <c r="F547" s="121"/>
      <c r="G547" s="122"/>
      <c r="H547" s="115"/>
      <c r="I547" s="115"/>
      <c r="J547" s="115"/>
      <c r="K547" s="115"/>
      <c r="L547" s="115"/>
    </row>
    <row r="548" spans="1:12">
      <c r="A548" s="115"/>
      <c r="B548" s="115"/>
      <c r="C548" s="115"/>
      <c r="D548" s="115"/>
      <c r="E548" s="115"/>
      <c r="F548" s="121"/>
      <c r="G548" s="122"/>
      <c r="H548" s="115"/>
      <c r="I548" s="115"/>
      <c r="J548" s="115"/>
      <c r="K548" s="115"/>
      <c r="L548" s="115"/>
    </row>
    <row r="549" spans="1:12">
      <c r="A549" s="115"/>
      <c r="B549" s="115"/>
      <c r="C549" s="115"/>
      <c r="D549" s="115"/>
      <c r="E549" s="115"/>
      <c r="F549" s="121"/>
      <c r="G549" s="122"/>
      <c r="H549" s="115"/>
      <c r="I549" s="115"/>
      <c r="J549" s="115"/>
      <c r="K549" s="115"/>
      <c r="L549" s="115"/>
    </row>
    <row r="550" spans="1:12">
      <c r="A550" s="115"/>
      <c r="B550" s="115"/>
      <c r="C550" s="115"/>
      <c r="D550" s="115"/>
      <c r="E550" s="115"/>
      <c r="F550" s="121"/>
      <c r="G550" s="122"/>
      <c r="H550" s="115"/>
      <c r="I550" s="115"/>
      <c r="J550" s="115"/>
      <c r="K550" s="115"/>
      <c r="L550" s="115"/>
    </row>
    <row r="551" spans="1:12">
      <c r="A551" s="115"/>
      <c r="B551" s="115"/>
      <c r="C551" s="115"/>
      <c r="D551" s="115"/>
      <c r="E551" s="115"/>
      <c r="F551" s="121"/>
      <c r="G551" s="122"/>
      <c r="H551" s="115"/>
      <c r="I551" s="115"/>
      <c r="J551" s="115"/>
      <c r="K551" s="115"/>
      <c r="L551" s="115"/>
    </row>
    <row r="552" spans="1:12">
      <c r="A552" s="115"/>
      <c r="B552" s="115"/>
      <c r="C552" s="115"/>
      <c r="D552" s="115"/>
      <c r="E552" s="115"/>
      <c r="F552" s="121"/>
      <c r="G552" s="122"/>
      <c r="H552" s="115"/>
      <c r="I552" s="115"/>
      <c r="J552" s="115"/>
      <c r="K552" s="115"/>
      <c r="L552" s="115"/>
    </row>
    <row r="553" spans="1:12">
      <c r="A553" s="115"/>
      <c r="B553" s="115"/>
      <c r="C553" s="115"/>
      <c r="D553" s="115"/>
      <c r="E553" s="115"/>
      <c r="F553" s="121"/>
      <c r="G553" s="122"/>
      <c r="H553" s="115"/>
      <c r="I553" s="115"/>
      <c r="J553" s="115"/>
      <c r="K553" s="115"/>
      <c r="L553" s="115"/>
    </row>
    <row r="554" spans="1:12">
      <c r="A554" s="115"/>
      <c r="B554" s="115"/>
      <c r="C554" s="115"/>
      <c r="D554" s="115"/>
      <c r="E554" s="115"/>
      <c r="F554" s="121"/>
      <c r="G554" s="122"/>
      <c r="H554" s="115"/>
      <c r="I554" s="115"/>
      <c r="J554" s="115"/>
      <c r="K554" s="115"/>
      <c r="L554" s="115"/>
    </row>
    <row r="555" spans="1:12">
      <c r="A555" s="115"/>
      <c r="B555" s="115"/>
      <c r="C555" s="115"/>
      <c r="D555" s="115"/>
      <c r="E555" s="115"/>
      <c r="F555" s="121"/>
      <c r="G555" s="122"/>
      <c r="H555" s="115"/>
      <c r="I555" s="115"/>
      <c r="J555" s="115"/>
      <c r="K555" s="115"/>
      <c r="L555" s="115"/>
    </row>
    <row r="556" spans="1:12">
      <c r="A556" s="115"/>
      <c r="B556" s="115"/>
      <c r="C556" s="115"/>
      <c r="D556" s="115"/>
      <c r="E556" s="115"/>
      <c r="F556" s="121"/>
      <c r="G556" s="122"/>
      <c r="H556" s="115"/>
      <c r="I556" s="115"/>
      <c r="J556" s="115"/>
      <c r="K556" s="115"/>
      <c r="L556" s="115"/>
    </row>
    <row r="557" spans="1:12">
      <c r="A557" s="115"/>
      <c r="B557" s="115"/>
      <c r="C557" s="115"/>
      <c r="D557" s="115"/>
      <c r="E557" s="115"/>
      <c r="F557" s="121"/>
      <c r="G557" s="122"/>
      <c r="H557" s="115"/>
      <c r="I557" s="115"/>
      <c r="J557" s="115"/>
      <c r="K557" s="115"/>
      <c r="L557" s="115"/>
    </row>
    <row r="558" spans="1:12">
      <c r="A558" s="115"/>
      <c r="B558" s="115"/>
      <c r="C558" s="115"/>
      <c r="D558" s="115"/>
      <c r="E558" s="115"/>
      <c r="F558" s="121"/>
      <c r="G558" s="122"/>
      <c r="H558" s="115"/>
      <c r="I558" s="115"/>
      <c r="J558" s="115"/>
      <c r="K558" s="115"/>
      <c r="L558" s="115"/>
    </row>
    <row r="559" spans="1:12">
      <c r="A559" s="115"/>
      <c r="B559" s="115"/>
      <c r="C559" s="115"/>
      <c r="D559" s="115"/>
      <c r="E559" s="115"/>
      <c r="F559" s="121"/>
      <c r="G559" s="122"/>
      <c r="H559" s="115"/>
      <c r="I559" s="115"/>
      <c r="J559" s="115"/>
      <c r="K559" s="115"/>
      <c r="L559" s="115"/>
    </row>
    <row r="560" spans="1:12">
      <c r="A560" s="115"/>
      <c r="B560" s="115"/>
      <c r="C560" s="115"/>
      <c r="D560" s="115"/>
      <c r="E560" s="115"/>
      <c r="F560" s="121"/>
      <c r="G560" s="122"/>
      <c r="H560" s="115"/>
      <c r="I560" s="115"/>
      <c r="J560" s="115"/>
      <c r="K560" s="115"/>
      <c r="L560" s="115"/>
    </row>
    <row r="561" spans="1:12">
      <c r="A561" s="115"/>
      <c r="B561" s="115"/>
      <c r="C561" s="115"/>
      <c r="D561" s="115"/>
      <c r="E561" s="115"/>
      <c r="F561" s="121"/>
      <c r="G561" s="122"/>
      <c r="H561" s="115"/>
      <c r="I561" s="115"/>
      <c r="J561" s="115"/>
      <c r="K561" s="115"/>
      <c r="L561" s="115"/>
    </row>
    <row r="562" spans="1:12">
      <c r="A562" s="115"/>
      <c r="B562" s="115"/>
      <c r="C562" s="115"/>
      <c r="D562" s="115"/>
      <c r="E562" s="115"/>
      <c r="F562" s="121"/>
      <c r="G562" s="122"/>
      <c r="H562" s="115"/>
      <c r="I562" s="115"/>
      <c r="J562" s="115"/>
      <c r="K562" s="115"/>
      <c r="L562" s="115"/>
    </row>
    <row r="563" spans="1:12">
      <c r="A563" s="115"/>
      <c r="B563" s="115"/>
      <c r="C563" s="115"/>
      <c r="D563" s="115"/>
      <c r="E563" s="115"/>
      <c r="F563" s="121"/>
      <c r="G563" s="122"/>
      <c r="H563" s="115"/>
      <c r="I563" s="115"/>
      <c r="J563" s="115"/>
      <c r="K563" s="115"/>
      <c r="L563" s="115"/>
    </row>
    <row r="564" spans="1:12">
      <c r="A564" s="115"/>
      <c r="B564" s="115"/>
      <c r="C564" s="115"/>
      <c r="D564" s="115"/>
      <c r="E564" s="115"/>
      <c r="F564" s="121"/>
      <c r="G564" s="122"/>
      <c r="H564" s="115"/>
      <c r="I564" s="115"/>
      <c r="J564" s="115"/>
      <c r="K564" s="115"/>
      <c r="L564" s="115"/>
    </row>
    <row r="565" spans="1:12">
      <c r="A565" s="115"/>
      <c r="B565" s="115"/>
      <c r="C565" s="115"/>
      <c r="D565" s="115"/>
      <c r="E565" s="115"/>
      <c r="F565" s="121"/>
      <c r="G565" s="122"/>
      <c r="H565" s="115"/>
      <c r="I565" s="115"/>
      <c r="J565" s="115"/>
      <c r="K565" s="115"/>
      <c r="L565" s="115"/>
    </row>
    <row r="566" spans="1:12">
      <c r="A566" s="115"/>
      <c r="B566" s="115"/>
      <c r="C566" s="115"/>
      <c r="D566" s="115"/>
      <c r="E566" s="115"/>
      <c r="F566" s="121"/>
      <c r="G566" s="122"/>
      <c r="H566" s="115"/>
      <c r="I566" s="115"/>
      <c r="J566" s="115"/>
      <c r="K566" s="115"/>
      <c r="L566" s="115"/>
    </row>
    <row r="567" spans="1:12">
      <c r="A567" s="115"/>
      <c r="B567" s="115"/>
      <c r="C567" s="115"/>
      <c r="D567" s="115"/>
      <c r="E567" s="115"/>
      <c r="F567" s="121"/>
      <c r="G567" s="122"/>
      <c r="H567" s="115"/>
      <c r="I567" s="115"/>
      <c r="J567" s="115"/>
      <c r="K567" s="115"/>
      <c r="L567" s="115"/>
    </row>
    <row r="568" spans="1:12">
      <c r="A568" s="115"/>
      <c r="B568" s="115"/>
      <c r="C568" s="115"/>
      <c r="D568" s="115"/>
      <c r="E568" s="115"/>
      <c r="F568" s="121"/>
      <c r="G568" s="122"/>
      <c r="H568" s="115"/>
      <c r="I568" s="115"/>
      <c r="J568" s="115"/>
      <c r="K568" s="115"/>
      <c r="L568" s="115"/>
    </row>
    <row r="569" spans="1:12">
      <c r="A569" s="115"/>
      <c r="B569" s="115"/>
      <c r="C569" s="115"/>
      <c r="D569" s="115"/>
      <c r="E569" s="115"/>
      <c r="F569" s="121"/>
      <c r="G569" s="122"/>
      <c r="H569" s="115"/>
      <c r="I569" s="115"/>
      <c r="J569" s="115"/>
      <c r="K569" s="115"/>
      <c r="L569" s="115"/>
    </row>
    <row r="570" spans="1:12">
      <c r="A570" s="115"/>
      <c r="B570" s="115"/>
      <c r="C570" s="115"/>
      <c r="D570" s="115"/>
      <c r="E570" s="115"/>
      <c r="F570" s="121"/>
      <c r="G570" s="122"/>
      <c r="H570" s="115"/>
      <c r="I570" s="115"/>
      <c r="J570" s="115"/>
      <c r="K570" s="115"/>
      <c r="L570" s="115"/>
    </row>
    <row r="571" spans="1:12">
      <c r="A571" s="115"/>
      <c r="B571" s="115"/>
      <c r="C571" s="115"/>
      <c r="D571" s="115"/>
      <c r="E571" s="115"/>
      <c r="F571" s="121"/>
      <c r="G571" s="122"/>
      <c r="H571" s="115"/>
      <c r="I571" s="115"/>
      <c r="J571" s="115"/>
      <c r="K571" s="115"/>
      <c r="L571" s="115"/>
    </row>
    <row r="572" spans="1:12">
      <c r="A572" s="115"/>
      <c r="B572" s="115"/>
      <c r="C572" s="115"/>
      <c r="D572" s="115"/>
      <c r="E572" s="115"/>
      <c r="F572" s="121"/>
      <c r="G572" s="122"/>
      <c r="H572" s="115"/>
      <c r="I572" s="115"/>
      <c r="J572" s="115"/>
      <c r="K572" s="115"/>
      <c r="L572" s="115"/>
    </row>
    <row r="573" spans="1:12">
      <c r="A573" s="115"/>
      <c r="B573" s="115"/>
      <c r="C573" s="115"/>
      <c r="D573" s="115"/>
      <c r="E573" s="115"/>
      <c r="F573" s="121"/>
      <c r="G573" s="122"/>
      <c r="H573" s="115"/>
      <c r="I573" s="115"/>
      <c r="J573" s="115"/>
      <c r="K573" s="115"/>
      <c r="L573" s="115"/>
    </row>
    <row r="574" spans="1:12">
      <c r="A574" s="115"/>
      <c r="B574" s="115"/>
      <c r="C574" s="115"/>
      <c r="D574" s="115"/>
      <c r="E574" s="115"/>
      <c r="F574" s="121"/>
      <c r="G574" s="122"/>
      <c r="H574" s="115"/>
      <c r="I574" s="115"/>
      <c r="J574" s="115"/>
      <c r="K574" s="115"/>
      <c r="L574" s="115"/>
    </row>
    <row r="575" spans="1:12">
      <c r="A575" s="115"/>
      <c r="B575" s="115"/>
      <c r="C575" s="115"/>
      <c r="D575" s="115"/>
      <c r="E575" s="115"/>
      <c r="F575" s="121"/>
      <c r="G575" s="122"/>
      <c r="H575" s="115"/>
      <c r="I575" s="115"/>
      <c r="J575" s="115"/>
      <c r="K575" s="115"/>
      <c r="L575" s="115"/>
    </row>
    <row r="576" spans="1:12">
      <c r="A576" s="115"/>
      <c r="B576" s="115"/>
      <c r="C576" s="115"/>
      <c r="D576" s="115"/>
      <c r="E576" s="115"/>
      <c r="F576" s="121"/>
      <c r="G576" s="122"/>
      <c r="H576" s="115"/>
      <c r="I576" s="115"/>
      <c r="J576" s="115"/>
      <c r="K576" s="115"/>
      <c r="L576" s="115"/>
    </row>
    <row r="577" spans="1:12">
      <c r="A577" s="115"/>
      <c r="B577" s="115"/>
      <c r="C577" s="115"/>
      <c r="D577" s="115"/>
      <c r="E577" s="115"/>
      <c r="F577" s="121"/>
      <c r="G577" s="122"/>
      <c r="H577" s="115"/>
      <c r="I577" s="115"/>
      <c r="J577" s="115"/>
      <c r="K577" s="115"/>
      <c r="L577" s="115"/>
    </row>
    <row r="578" spans="1:12">
      <c r="A578" s="115"/>
      <c r="B578" s="115"/>
      <c r="C578" s="115"/>
      <c r="D578" s="115"/>
      <c r="E578" s="115"/>
      <c r="F578" s="121"/>
      <c r="G578" s="122"/>
      <c r="H578" s="115"/>
      <c r="I578" s="115"/>
      <c r="J578" s="115"/>
      <c r="K578" s="115"/>
      <c r="L578" s="115"/>
    </row>
    <row r="579" spans="1:12">
      <c r="A579" s="115"/>
      <c r="B579" s="115"/>
      <c r="C579" s="115"/>
      <c r="D579" s="115"/>
      <c r="E579" s="115"/>
      <c r="F579" s="121"/>
      <c r="G579" s="122"/>
      <c r="H579" s="115"/>
      <c r="I579" s="115"/>
      <c r="J579" s="115"/>
      <c r="K579" s="115"/>
      <c r="L579" s="115"/>
    </row>
    <row r="580" spans="1:12">
      <c r="A580" s="115"/>
      <c r="B580" s="115"/>
      <c r="C580" s="115"/>
      <c r="D580" s="115"/>
      <c r="E580" s="115"/>
      <c r="F580" s="121"/>
      <c r="G580" s="122"/>
      <c r="H580" s="115"/>
      <c r="I580" s="115"/>
      <c r="J580" s="115"/>
      <c r="K580" s="115"/>
      <c r="L580" s="115"/>
    </row>
    <row r="581" spans="1:12">
      <c r="A581" s="115"/>
      <c r="B581" s="115"/>
      <c r="C581" s="115"/>
      <c r="D581" s="115"/>
      <c r="E581" s="115"/>
      <c r="F581" s="121"/>
      <c r="G581" s="122"/>
      <c r="H581" s="115"/>
      <c r="I581" s="115"/>
      <c r="J581" s="115"/>
      <c r="K581" s="115"/>
      <c r="L581" s="115"/>
    </row>
    <row r="582" spans="1:12">
      <c r="A582" s="115"/>
      <c r="B582" s="115"/>
      <c r="C582" s="115"/>
      <c r="D582" s="115"/>
      <c r="E582" s="115"/>
      <c r="F582" s="121"/>
      <c r="G582" s="122"/>
      <c r="H582" s="115"/>
      <c r="I582" s="115"/>
      <c r="J582" s="115"/>
      <c r="K582" s="115"/>
      <c r="L582" s="115"/>
    </row>
    <row r="583" spans="1:12">
      <c r="A583" s="115"/>
      <c r="B583" s="115"/>
      <c r="C583" s="115"/>
      <c r="D583" s="115"/>
      <c r="E583" s="115"/>
      <c r="F583" s="121"/>
      <c r="G583" s="122"/>
      <c r="H583" s="115"/>
      <c r="I583" s="115"/>
      <c r="J583" s="115"/>
      <c r="K583" s="115"/>
      <c r="L583" s="115"/>
    </row>
    <row r="584" spans="1:12">
      <c r="A584" s="115"/>
      <c r="B584" s="115"/>
      <c r="C584" s="115"/>
      <c r="D584" s="115"/>
      <c r="E584" s="115"/>
      <c r="F584" s="121"/>
      <c r="G584" s="122"/>
      <c r="H584" s="115"/>
      <c r="I584" s="115"/>
      <c r="J584" s="115"/>
      <c r="K584" s="115"/>
      <c r="L584" s="115"/>
    </row>
    <row r="585" spans="1:12">
      <c r="A585" s="115"/>
      <c r="B585" s="115"/>
      <c r="C585" s="115"/>
      <c r="D585" s="115"/>
      <c r="E585" s="115"/>
      <c r="F585" s="121"/>
      <c r="G585" s="122"/>
      <c r="H585" s="115"/>
      <c r="I585" s="115"/>
      <c r="J585" s="115"/>
      <c r="K585" s="115"/>
      <c r="L585" s="115"/>
    </row>
    <row r="586" spans="1:12">
      <c r="A586" s="115"/>
      <c r="B586" s="115"/>
      <c r="C586" s="115"/>
      <c r="D586" s="115"/>
      <c r="E586" s="115"/>
      <c r="F586" s="121"/>
      <c r="G586" s="122"/>
      <c r="H586" s="115"/>
      <c r="I586" s="115"/>
      <c r="J586" s="115"/>
      <c r="K586" s="115"/>
      <c r="L586" s="115"/>
    </row>
    <row r="587" spans="1:12">
      <c r="A587" s="115"/>
      <c r="B587" s="115"/>
      <c r="C587" s="115"/>
      <c r="D587" s="115"/>
      <c r="E587" s="115"/>
      <c r="F587" s="121"/>
      <c r="G587" s="122"/>
      <c r="H587" s="115"/>
      <c r="I587" s="115"/>
      <c r="J587" s="115"/>
      <c r="K587" s="115"/>
      <c r="L587" s="115"/>
    </row>
    <row r="588" spans="1:12">
      <c r="A588" s="115"/>
      <c r="B588" s="115"/>
      <c r="C588" s="115"/>
      <c r="D588" s="115"/>
      <c r="E588" s="115"/>
      <c r="F588" s="121"/>
      <c r="G588" s="122"/>
      <c r="H588" s="115"/>
      <c r="I588" s="115"/>
      <c r="J588" s="115"/>
      <c r="K588" s="115"/>
      <c r="L588" s="115"/>
    </row>
    <row r="589" spans="1:12">
      <c r="A589" s="115"/>
      <c r="B589" s="115"/>
      <c r="C589" s="115"/>
      <c r="D589" s="115"/>
      <c r="E589" s="115"/>
      <c r="F589" s="121"/>
      <c r="G589" s="122"/>
      <c r="H589" s="115"/>
      <c r="I589" s="115"/>
      <c r="J589" s="115"/>
      <c r="K589" s="115"/>
      <c r="L589" s="115"/>
    </row>
    <row r="590" spans="1:12">
      <c r="A590" s="115"/>
      <c r="B590" s="115"/>
      <c r="C590" s="115"/>
      <c r="D590" s="115"/>
      <c r="E590" s="115"/>
      <c r="F590" s="121"/>
      <c r="G590" s="122"/>
      <c r="H590" s="115"/>
      <c r="I590" s="115"/>
      <c r="J590" s="115"/>
      <c r="K590" s="115"/>
      <c r="L590" s="115"/>
    </row>
    <row r="591" spans="1:12">
      <c r="A591" s="115"/>
      <c r="B591" s="115"/>
      <c r="C591" s="115"/>
      <c r="D591" s="115"/>
      <c r="E591" s="115"/>
      <c r="F591" s="121"/>
      <c r="G591" s="122"/>
      <c r="H591" s="115"/>
      <c r="I591" s="115"/>
      <c r="J591" s="115"/>
      <c r="K591" s="115"/>
      <c r="L591" s="115"/>
    </row>
    <row r="592" spans="1:12">
      <c r="A592" s="115"/>
      <c r="B592" s="115"/>
      <c r="C592" s="115"/>
      <c r="D592" s="115"/>
      <c r="E592" s="115"/>
      <c r="F592" s="121"/>
      <c r="G592" s="122"/>
      <c r="H592" s="115"/>
      <c r="I592" s="115"/>
      <c r="J592" s="115"/>
      <c r="K592" s="115"/>
      <c r="L592" s="115"/>
    </row>
    <row r="593" spans="1:12">
      <c r="A593" s="115"/>
      <c r="B593" s="115"/>
      <c r="C593" s="115"/>
      <c r="D593" s="115"/>
      <c r="E593" s="115"/>
      <c r="F593" s="121"/>
      <c r="G593" s="122"/>
      <c r="H593" s="115"/>
      <c r="I593" s="115"/>
      <c r="J593" s="115"/>
      <c r="K593" s="115"/>
      <c r="L593" s="115"/>
    </row>
    <row r="594" spans="1:12">
      <c r="A594" s="115"/>
      <c r="B594" s="115"/>
      <c r="C594" s="115"/>
      <c r="D594" s="115"/>
      <c r="E594" s="115"/>
      <c r="F594" s="121"/>
      <c r="G594" s="122"/>
      <c r="H594" s="115"/>
      <c r="I594" s="115"/>
      <c r="J594" s="115"/>
      <c r="K594" s="115"/>
      <c r="L594" s="115"/>
    </row>
    <row r="595" spans="1:12">
      <c r="A595" s="115"/>
      <c r="B595" s="115"/>
      <c r="C595" s="115"/>
      <c r="D595" s="115"/>
      <c r="E595" s="115"/>
      <c r="F595" s="121"/>
      <c r="G595" s="122"/>
      <c r="H595" s="115"/>
      <c r="I595" s="115"/>
      <c r="J595" s="115"/>
      <c r="K595" s="115"/>
      <c r="L595" s="115"/>
    </row>
    <row r="596" spans="1:12">
      <c r="A596" s="115"/>
      <c r="B596" s="115"/>
      <c r="C596" s="115"/>
      <c r="D596" s="115"/>
      <c r="E596" s="115"/>
      <c r="F596" s="121"/>
      <c r="G596" s="122"/>
      <c r="H596" s="115"/>
      <c r="I596" s="115"/>
      <c r="J596" s="115"/>
      <c r="K596" s="115"/>
      <c r="L596" s="115"/>
    </row>
    <row r="597" spans="1:12">
      <c r="A597" s="115"/>
      <c r="B597" s="115"/>
      <c r="C597" s="115"/>
      <c r="D597" s="115"/>
      <c r="E597" s="115"/>
      <c r="F597" s="121"/>
      <c r="G597" s="122"/>
      <c r="H597" s="115"/>
      <c r="I597" s="115"/>
      <c r="J597" s="115"/>
      <c r="K597" s="115"/>
      <c r="L597" s="115"/>
    </row>
    <row r="598" spans="1:12">
      <c r="A598" s="115"/>
      <c r="B598" s="115"/>
      <c r="C598" s="115"/>
      <c r="D598" s="115"/>
      <c r="E598" s="115"/>
      <c r="F598" s="121"/>
      <c r="G598" s="122"/>
      <c r="H598" s="115"/>
      <c r="I598" s="115"/>
      <c r="J598" s="115"/>
      <c r="K598" s="115"/>
      <c r="L598" s="115"/>
    </row>
    <row r="599" spans="1:12">
      <c r="A599" s="115"/>
      <c r="B599" s="115"/>
      <c r="C599" s="115"/>
      <c r="D599" s="115"/>
      <c r="E599" s="115"/>
      <c r="F599" s="121"/>
      <c r="G599" s="122"/>
      <c r="H599" s="115"/>
      <c r="I599" s="115"/>
      <c r="J599" s="115"/>
      <c r="K599" s="115"/>
      <c r="L599" s="115"/>
    </row>
    <row r="600" spans="1:12">
      <c r="A600" s="115"/>
      <c r="B600" s="115"/>
      <c r="C600" s="115"/>
      <c r="D600" s="115"/>
      <c r="E600" s="115"/>
      <c r="F600" s="121"/>
      <c r="G600" s="122"/>
      <c r="H600" s="115"/>
      <c r="I600" s="115"/>
      <c r="J600" s="115"/>
      <c r="K600" s="115"/>
      <c r="L600" s="115"/>
    </row>
    <row r="601" spans="1:12">
      <c r="A601" s="115"/>
      <c r="B601" s="115"/>
      <c r="C601" s="115"/>
      <c r="D601" s="115"/>
      <c r="E601" s="115"/>
      <c r="F601" s="121"/>
      <c r="G601" s="122"/>
      <c r="H601" s="115"/>
      <c r="I601" s="115"/>
      <c r="J601" s="115"/>
      <c r="K601" s="115"/>
      <c r="L601" s="115"/>
    </row>
    <row r="602" spans="1:12">
      <c r="A602" s="115"/>
      <c r="B602" s="115"/>
      <c r="C602" s="115"/>
      <c r="D602" s="115"/>
      <c r="E602" s="115"/>
      <c r="F602" s="121"/>
      <c r="G602" s="122"/>
      <c r="H602" s="115"/>
      <c r="I602" s="115"/>
      <c r="J602" s="115"/>
      <c r="K602" s="115"/>
      <c r="L602" s="115"/>
    </row>
    <row r="603" spans="1:12">
      <c r="A603" s="115"/>
      <c r="B603" s="115"/>
      <c r="C603" s="115"/>
      <c r="D603" s="115"/>
      <c r="E603" s="115"/>
      <c r="F603" s="121"/>
      <c r="G603" s="122"/>
      <c r="H603" s="115"/>
      <c r="I603" s="115"/>
      <c r="J603" s="115"/>
      <c r="K603" s="115"/>
      <c r="L603" s="115"/>
    </row>
    <row r="604" spans="1:12">
      <c r="A604" s="115"/>
      <c r="B604" s="115"/>
      <c r="C604" s="115"/>
      <c r="D604" s="115"/>
      <c r="E604" s="115"/>
      <c r="F604" s="121"/>
      <c r="G604" s="122"/>
      <c r="H604" s="115"/>
      <c r="I604" s="115"/>
      <c r="J604" s="115"/>
      <c r="K604" s="115"/>
      <c r="L604" s="115"/>
    </row>
    <row r="605" spans="1:12">
      <c r="A605" s="115"/>
      <c r="B605" s="115"/>
      <c r="C605" s="115"/>
      <c r="D605" s="115"/>
      <c r="E605" s="115"/>
      <c r="F605" s="121"/>
      <c r="G605" s="122"/>
      <c r="H605" s="115"/>
      <c r="I605" s="115"/>
      <c r="J605" s="115"/>
      <c r="K605" s="115"/>
      <c r="L605" s="115"/>
    </row>
    <row r="606" spans="1:12">
      <c r="A606" s="115"/>
      <c r="B606" s="115"/>
      <c r="C606" s="115"/>
      <c r="D606" s="115"/>
      <c r="E606" s="115"/>
      <c r="F606" s="121"/>
      <c r="G606" s="122"/>
      <c r="H606" s="115"/>
      <c r="I606" s="115"/>
      <c r="J606" s="115"/>
      <c r="K606" s="115"/>
      <c r="L606" s="115"/>
    </row>
    <row r="607" spans="1:12">
      <c r="A607" s="115"/>
      <c r="B607" s="115"/>
      <c r="C607" s="115"/>
      <c r="D607" s="115"/>
      <c r="E607" s="115"/>
      <c r="F607" s="121"/>
      <c r="G607" s="122"/>
      <c r="H607" s="115"/>
      <c r="I607" s="115"/>
      <c r="J607" s="115"/>
      <c r="K607" s="115"/>
      <c r="L607" s="115"/>
    </row>
    <row r="608" spans="1:12">
      <c r="A608" s="115"/>
      <c r="B608" s="115"/>
      <c r="C608" s="115"/>
      <c r="D608" s="115"/>
      <c r="E608" s="115"/>
      <c r="F608" s="121"/>
      <c r="G608" s="122"/>
      <c r="H608" s="115"/>
      <c r="I608" s="115"/>
      <c r="J608" s="115"/>
      <c r="K608" s="115"/>
      <c r="L608" s="115"/>
    </row>
    <row r="609" spans="1:12">
      <c r="A609" s="115"/>
      <c r="B609" s="115"/>
      <c r="C609" s="115"/>
      <c r="D609" s="115"/>
      <c r="E609" s="115"/>
      <c r="F609" s="121"/>
      <c r="G609" s="122"/>
      <c r="H609" s="115"/>
      <c r="I609" s="115"/>
      <c r="J609" s="115"/>
      <c r="K609" s="115"/>
      <c r="L609" s="115"/>
    </row>
    <row r="610" spans="1:12">
      <c r="A610" s="115"/>
      <c r="B610" s="115"/>
      <c r="C610" s="115"/>
      <c r="D610" s="115"/>
      <c r="E610" s="115"/>
      <c r="F610" s="121"/>
      <c r="G610" s="122"/>
      <c r="H610" s="115"/>
      <c r="I610" s="115"/>
      <c r="J610" s="115"/>
      <c r="K610" s="115"/>
      <c r="L610" s="115"/>
    </row>
    <row r="611" spans="1:12">
      <c r="A611" s="115"/>
      <c r="B611" s="115"/>
      <c r="C611" s="115"/>
      <c r="D611" s="115"/>
      <c r="E611" s="115"/>
      <c r="F611" s="121"/>
      <c r="G611" s="122"/>
      <c r="H611" s="115"/>
      <c r="I611" s="115"/>
      <c r="J611" s="115"/>
      <c r="K611" s="115"/>
      <c r="L611" s="115"/>
    </row>
    <row r="612" spans="1:12">
      <c r="A612" s="115"/>
      <c r="B612" s="115"/>
      <c r="C612" s="115"/>
      <c r="D612" s="115"/>
      <c r="E612" s="115"/>
      <c r="F612" s="121"/>
      <c r="G612" s="122"/>
      <c r="H612" s="115"/>
      <c r="I612" s="115"/>
      <c r="J612" s="115"/>
      <c r="K612" s="115"/>
      <c r="L612" s="115"/>
    </row>
    <row r="613" spans="1:12">
      <c r="A613" s="115"/>
      <c r="B613" s="115"/>
      <c r="C613" s="115"/>
      <c r="D613" s="115"/>
      <c r="E613" s="115"/>
      <c r="F613" s="121"/>
      <c r="G613" s="122"/>
      <c r="H613" s="115"/>
      <c r="I613" s="115"/>
      <c r="J613" s="115"/>
      <c r="K613" s="115"/>
      <c r="L613" s="115"/>
    </row>
    <row r="614" spans="1:12">
      <c r="A614" s="115"/>
      <c r="B614" s="115"/>
      <c r="C614" s="115"/>
      <c r="D614" s="115"/>
      <c r="E614" s="115"/>
      <c r="F614" s="121"/>
      <c r="G614" s="122"/>
      <c r="H614" s="115"/>
      <c r="I614" s="115"/>
      <c r="J614" s="115"/>
      <c r="K614" s="115"/>
      <c r="L614" s="115"/>
    </row>
    <row r="615" spans="1:12">
      <c r="A615" s="115"/>
      <c r="B615" s="115"/>
      <c r="C615" s="115"/>
      <c r="D615" s="115"/>
      <c r="E615" s="115"/>
      <c r="F615" s="121"/>
      <c r="G615" s="122"/>
      <c r="H615" s="115"/>
      <c r="I615" s="115"/>
      <c r="J615" s="115"/>
      <c r="K615" s="115"/>
      <c r="L615" s="115"/>
    </row>
    <row r="616" spans="1:12">
      <c r="A616" s="115"/>
      <c r="B616" s="115"/>
      <c r="C616" s="115"/>
      <c r="D616" s="115"/>
      <c r="E616" s="115"/>
      <c r="F616" s="121"/>
      <c r="G616" s="122"/>
      <c r="H616" s="115"/>
      <c r="I616" s="115"/>
      <c r="J616" s="115"/>
      <c r="K616" s="115"/>
      <c r="L616" s="115"/>
    </row>
    <row r="617" spans="1:12">
      <c r="A617" s="115"/>
      <c r="B617" s="115"/>
      <c r="C617" s="115"/>
      <c r="D617" s="115"/>
      <c r="E617" s="115"/>
      <c r="F617" s="121"/>
      <c r="G617" s="122"/>
      <c r="H617" s="115"/>
      <c r="I617" s="115"/>
      <c r="J617" s="115"/>
      <c r="K617" s="115"/>
      <c r="L617" s="115"/>
    </row>
    <row r="618" spans="1:12">
      <c r="A618" s="115"/>
      <c r="B618" s="115"/>
      <c r="C618" s="115"/>
      <c r="D618" s="115"/>
      <c r="E618" s="115"/>
      <c r="F618" s="121"/>
      <c r="G618" s="122"/>
      <c r="H618" s="115"/>
      <c r="I618" s="115"/>
      <c r="J618" s="115"/>
      <c r="K618" s="115"/>
      <c r="L618" s="115"/>
    </row>
    <row r="619" spans="1:12">
      <c r="A619" s="115"/>
      <c r="B619" s="115"/>
      <c r="C619" s="115"/>
      <c r="D619" s="115"/>
      <c r="E619" s="115"/>
      <c r="F619" s="121"/>
      <c r="G619" s="122"/>
      <c r="H619" s="115"/>
      <c r="I619" s="115"/>
      <c r="J619" s="115"/>
      <c r="K619" s="115"/>
      <c r="L619" s="115"/>
    </row>
    <row r="620" spans="1:12">
      <c r="A620" s="115"/>
      <c r="B620" s="115"/>
      <c r="C620" s="115"/>
      <c r="D620" s="115"/>
      <c r="E620" s="115"/>
      <c r="F620" s="121"/>
      <c r="G620" s="122"/>
      <c r="H620" s="115"/>
      <c r="I620" s="115"/>
      <c r="J620" s="115"/>
      <c r="K620" s="115"/>
      <c r="L620" s="115"/>
    </row>
    <row r="621" spans="1:12">
      <c r="A621" s="115"/>
      <c r="B621" s="115"/>
      <c r="C621" s="115"/>
      <c r="D621" s="115"/>
      <c r="E621" s="115"/>
      <c r="F621" s="121"/>
      <c r="G621" s="122"/>
      <c r="H621" s="115"/>
      <c r="I621" s="115"/>
      <c r="J621" s="115"/>
      <c r="K621" s="115"/>
      <c r="L621" s="115"/>
    </row>
    <row r="622" spans="1:12">
      <c r="A622" s="115"/>
      <c r="B622" s="115"/>
      <c r="C622" s="115"/>
      <c r="D622" s="115"/>
      <c r="E622" s="115"/>
      <c r="F622" s="121"/>
      <c r="G622" s="122"/>
      <c r="H622" s="115"/>
      <c r="I622" s="115"/>
      <c r="J622" s="115"/>
      <c r="K622" s="115"/>
      <c r="L622" s="115"/>
    </row>
    <row r="623" spans="1:12">
      <c r="A623" s="115"/>
      <c r="B623" s="115"/>
      <c r="C623" s="115"/>
      <c r="D623" s="115"/>
      <c r="E623" s="115"/>
      <c r="F623" s="121"/>
      <c r="G623" s="122"/>
      <c r="H623" s="115"/>
      <c r="I623" s="115"/>
      <c r="J623" s="115"/>
      <c r="K623" s="115"/>
      <c r="L623" s="115"/>
    </row>
    <row r="624" spans="1:12">
      <c r="A624" s="115"/>
      <c r="B624" s="115"/>
      <c r="C624" s="115"/>
      <c r="D624" s="115"/>
      <c r="E624" s="115"/>
      <c r="F624" s="121"/>
      <c r="G624" s="122"/>
      <c r="H624" s="115"/>
      <c r="I624" s="115"/>
      <c r="J624" s="115"/>
      <c r="K624" s="115"/>
      <c r="L624" s="115"/>
    </row>
    <row r="625" spans="1:12">
      <c r="A625" s="115"/>
      <c r="B625" s="115"/>
      <c r="C625" s="115"/>
      <c r="D625" s="115"/>
      <c r="E625" s="115"/>
      <c r="F625" s="121"/>
      <c r="G625" s="122"/>
      <c r="H625" s="115"/>
      <c r="I625" s="115"/>
      <c r="J625" s="115"/>
      <c r="K625" s="115"/>
      <c r="L625" s="115"/>
    </row>
    <row r="626" spans="1:12">
      <c r="A626" s="115"/>
      <c r="B626" s="115"/>
      <c r="C626" s="115"/>
      <c r="D626" s="115"/>
      <c r="E626" s="115"/>
      <c r="F626" s="121"/>
      <c r="G626" s="122"/>
      <c r="H626" s="115"/>
      <c r="I626" s="115"/>
      <c r="J626" s="115"/>
      <c r="K626" s="115"/>
      <c r="L626" s="115"/>
    </row>
    <row r="627" spans="1:12">
      <c r="A627" s="115"/>
      <c r="B627" s="115"/>
      <c r="C627" s="115"/>
      <c r="D627" s="115"/>
      <c r="E627" s="115"/>
      <c r="F627" s="121"/>
      <c r="G627" s="122"/>
      <c r="H627" s="115"/>
      <c r="I627" s="115"/>
      <c r="J627" s="115"/>
      <c r="K627" s="115"/>
      <c r="L627" s="115"/>
    </row>
    <row r="628" spans="1:12">
      <c r="A628" s="115"/>
      <c r="B628" s="115"/>
      <c r="C628" s="115"/>
      <c r="D628" s="115"/>
      <c r="E628" s="115"/>
      <c r="F628" s="121"/>
      <c r="G628" s="122"/>
      <c r="H628" s="115"/>
      <c r="I628" s="115"/>
      <c r="J628" s="115"/>
      <c r="K628" s="115"/>
      <c r="L628" s="115"/>
    </row>
    <row r="629" spans="1:12">
      <c r="A629" s="115"/>
      <c r="B629" s="115"/>
      <c r="C629" s="115"/>
      <c r="D629" s="115"/>
      <c r="E629" s="115"/>
      <c r="F629" s="121"/>
      <c r="G629" s="122"/>
      <c r="H629" s="115"/>
      <c r="I629" s="115"/>
      <c r="J629" s="115"/>
      <c r="K629" s="115"/>
      <c r="L629" s="115"/>
    </row>
    <row r="630" spans="1:12">
      <c r="A630" s="115"/>
      <c r="B630" s="115"/>
      <c r="C630" s="115"/>
      <c r="D630" s="115"/>
      <c r="E630" s="115"/>
      <c r="F630" s="121"/>
      <c r="G630" s="122"/>
      <c r="H630" s="115"/>
      <c r="I630" s="115"/>
      <c r="J630" s="115"/>
      <c r="K630" s="115"/>
      <c r="L630" s="115"/>
    </row>
    <row r="631" spans="1:12">
      <c r="A631" s="115"/>
      <c r="B631" s="115"/>
      <c r="C631" s="115"/>
      <c r="D631" s="115"/>
      <c r="E631" s="115"/>
      <c r="F631" s="121"/>
      <c r="G631" s="122"/>
      <c r="H631" s="115"/>
      <c r="I631" s="115"/>
      <c r="J631" s="115"/>
      <c r="K631" s="115"/>
      <c r="L631" s="115"/>
    </row>
    <row r="632" spans="1:12">
      <c r="A632" s="115"/>
      <c r="B632" s="115"/>
      <c r="C632" s="115"/>
      <c r="D632" s="115"/>
      <c r="E632" s="115"/>
      <c r="F632" s="121"/>
      <c r="G632" s="122"/>
      <c r="H632" s="115"/>
      <c r="I632" s="115"/>
      <c r="J632" s="115"/>
      <c r="K632" s="115"/>
      <c r="L632" s="115"/>
    </row>
    <row r="633" spans="1:12">
      <c r="A633" s="115"/>
      <c r="B633" s="115"/>
      <c r="C633" s="115"/>
      <c r="D633" s="115"/>
      <c r="E633" s="115"/>
      <c r="F633" s="121"/>
      <c r="G633" s="122"/>
      <c r="H633" s="115"/>
      <c r="I633" s="115"/>
      <c r="J633" s="115"/>
      <c r="K633" s="115"/>
      <c r="L633" s="115"/>
    </row>
    <row r="634" spans="1:12">
      <c r="A634" s="115"/>
      <c r="B634" s="115"/>
      <c r="C634" s="115"/>
      <c r="D634" s="115"/>
      <c r="E634" s="115"/>
      <c r="F634" s="121"/>
      <c r="G634" s="122"/>
      <c r="H634" s="115"/>
      <c r="I634" s="115"/>
      <c r="J634" s="115"/>
      <c r="K634" s="115"/>
      <c r="L634" s="115"/>
    </row>
    <row r="635" spans="1:12">
      <c r="A635" s="115"/>
      <c r="B635" s="115"/>
      <c r="C635" s="115"/>
      <c r="D635" s="115"/>
      <c r="E635" s="115"/>
      <c r="F635" s="121"/>
      <c r="G635" s="122"/>
      <c r="H635" s="115"/>
      <c r="I635" s="115"/>
      <c r="J635" s="115"/>
      <c r="K635" s="115"/>
      <c r="L635" s="115"/>
    </row>
    <row r="636" spans="1:12">
      <c r="A636" s="115"/>
      <c r="B636" s="115"/>
      <c r="C636" s="115"/>
      <c r="D636" s="115"/>
      <c r="E636" s="115"/>
      <c r="F636" s="121"/>
      <c r="G636" s="122"/>
      <c r="H636" s="115"/>
      <c r="I636" s="115"/>
      <c r="J636" s="115"/>
      <c r="K636" s="115"/>
      <c r="L636" s="115"/>
    </row>
    <row r="637" spans="1:12">
      <c r="A637" s="115"/>
      <c r="B637" s="115"/>
      <c r="C637" s="115"/>
      <c r="D637" s="115"/>
      <c r="E637" s="115"/>
      <c r="F637" s="121"/>
      <c r="G637" s="122"/>
      <c r="H637" s="115"/>
      <c r="I637" s="115"/>
      <c r="J637" s="115"/>
      <c r="K637" s="115"/>
      <c r="L637" s="115"/>
    </row>
    <row r="638" spans="1:12">
      <c r="A638" s="115"/>
      <c r="B638" s="115"/>
      <c r="C638" s="115"/>
      <c r="D638" s="115"/>
      <c r="E638" s="115"/>
      <c r="F638" s="121"/>
      <c r="G638" s="122"/>
      <c r="H638" s="115"/>
      <c r="I638" s="115"/>
      <c r="J638" s="115"/>
      <c r="K638" s="115"/>
      <c r="L638" s="115"/>
    </row>
    <row r="639" spans="1:12">
      <c r="A639" s="115"/>
      <c r="B639" s="115"/>
      <c r="C639" s="115"/>
      <c r="D639" s="115"/>
      <c r="E639" s="115"/>
      <c r="F639" s="121"/>
      <c r="G639" s="122"/>
      <c r="H639" s="115"/>
      <c r="I639" s="115"/>
      <c r="J639" s="115"/>
      <c r="K639" s="115"/>
      <c r="L639" s="115"/>
    </row>
    <row r="640" spans="1:12">
      <c r="A640" s="115"/>
      <c r="B640" s="115"/>
      <c r="C640" s="115"/>
      <c r="D640" s="115"/>
      <c r="E640" s="115"/>
      <c r="F640" s="121"/>
      <c r="G640" s="122"/>
      <c r="H640" s="115"/>
      <c r="I640" s="115"/>
      <c r="J640" s="115"/>
      <c r="K640" s="115"/>
      <c r="L640" s="115"/>
    </row>
    <row r="641" spans="1:12">
      <c r="A641" s="115"/>
      <c r="B641" s="115"/>
      <c r="C641" s="115"/>
      <c r="D641" s="115"/>
      <c r="E641" s="115"/>
      <c r="F641" s="121"/>
      <c r="G641" s="122"/>
      <c r="H641" s="115"/>
      <c r="I641" s="115"/>
      <c r="J641" s="115"/>
      <c r="K641" s="115"/>
      <c r="L641" s="115"/>
    </row>
    <row r="642" spans="1:12">
      <c r="A642" s="115"/>
      <c r="B642" s="115"/>
      <c r="C642" s="115"/>
      <c r="D642" s="115"/>
      <c r="E642" s="115"/>
      <c r="F642" s="121"/>
      <c r="G642" s="122"/>
      <c r="H642" s="115"/>
      <c r="I642" s="115"/>
      <c r="J642" s="115"/>
      <c r="K642" s="115"/>
      <c r="L642" s="115"/>
    </row>
    <row r="643" spans="1:12">
      <c r="A643" s="115"/>
      <c r="B643" s="115"/>
      <c r="C643" s="115"/>
      <c r="D643" s="115"/>
      <c r="E643" s="115"/>
      <c r="F643" s="121"/>
      <c r="G643" s="122"/>
      <c r="H643" s="115"/>
      <c r="I643" s="115"/>
      <c r="J643" s="115"/>
      <c r="K643" s="115"/>
      <c r="L643" s="115"/>
    </row>
    <row r="644" spans="1:12">
      <c r="A644" s="115"/>
      <c r="B644" s="115"/>
      <c r="C644" s="115"/>
      <c r="D644" s="115"/>
      <c r="E644" s="115"/>
      <c r="F644" s="121"/>
      <c r="G644" s="122"/>
      <c r="H644" s="115"/>
      <c r="I644" s="115"/>
      <c r="J644" s="115"/>
      <c r="K644" s="115"/>
      <c r="L644" s="115"/>
    </row>
    <row r="645" spans="1:12">
      <c r="A645" s="115"/>
      <c r="B645" s="115"/>
      <c r="C645" s="115"/>
      <c r="D645" s="115"/>
      <c r="E645" s="115"/>
      <c r="F645" s="121"/>
      <c r="G645" s="122"/>
      <c r="H645" s="115"/>
      <c r="I645" s="115"/>
      <c r="J645" s="115"/>
      <c r="K645" s="115"/>
      <c r="L645" s="115"/>
    </row>
    <row r="646" spans="1:12">
      <c r="A646" s="115"/>
      <c r="B646" s="115"/>
      <c r="C646" s="115"/>
      <c r="D646" s="115"/>
      <c r="E646" s="115"/>
      <c r="F646" s="121"/>
      <c r="G646" s="122"/>
      <c r="H646" s="115"/>
      <c r="I646" s="115"/>
      <c r="J646" s="115"/>
      <c r="K646" s="115"/>
      <c r="L646" s="115"/>
    </row>
    <row r="647" spans="1:12">
      <c r="A647" s="115"/>
      <c r="B647" s="115"/>
      <c r="C647" s="115"/>
      <c r="D647" s="115"/>
      <c r="E647" s="115"/>
      <c r="F647" s="121"/>
      <c r="G647" s="122"/>
      <c r="H647" s="115"/>
      <c r="I647" s="115"/>
      <c r="J647" s="115"/>
      <c r="K647" s="115"/>
      <c r="L647" s="115"/>
    </row>
    <row r="648" spans="1:12">
      <c r="A648" s="115"/>
      <c r="B648" s="115"/>
      <c r="C648" s="115"/>
      <c r="D648" s="115"/>
      <c r="E648" s="115"/>
      <c r="F648" s="121"/>
      <c r="G648" s="122"/>
      <c r="H648" s="115"/>
      <c r="I648" s="115"/>
      <c r="J648" s="115"/>
      <c r="K648" s="115"/>
      <c r="L648" s="115"/>
    </row>
    <row r="649" spans="1:12">
      <c r="A649" s="115"/>
      <c r="B649" s="115"/>
      <c r="C649" s="115"/>
      <c r="D649" s="115"/>
      <c r="E649" s="115"/>
      <c r="F649" s="121"/>
      <c r="G649" s="122"/>
      <c r="H649" s="115"/>
      <c r="I649" s="115"/>
      <c r="J649" s="115"/>
      <c r="K649" s="115"/>
      <c r="L649" s="115"/>
    </row>
    <row r="650" spans="1:12">
      <c r="A650" s="115"/>
      <c r="B650" s="115"/>
      <c r="C650" s="115"/>
      <c r="D650" s="115"/>
      <c r="E650" s="115"/>
      <c r="F650" s="121"/>
      <c r="G650" s="122"/>
      <c r="H650" s="115"/>
      <c r="I650" s="115"/>
      <c r="J650" s="115"/>
      <c r="K650" s="115"/>
      <c r="L650" s="115"/>
    </row>
    <row r="651" spans="1:12">
      <c r="A651" s="115"/>
      <c r="B651" s="115"/>
      <c r="C651" s="115"/>
      <c r="D651" s="115"/>
      <c r="E651" s="115"/>
      <c r="F651" s="121"/>
      <c r="G651" s="122"/>
      <c r="H651" s="115"/>
      <c r="I651" s="115"/>
      <c r="J651" s="115"/>
      <c r="K651" s="115"/>
      <c r="L651" s="115"/>
    </row>
    <row r="652" spans="1:12">
      <c r="A652" s="115"/>
      <c r="B652" s="115"/>
      <c r="C652" s="115"/>
      <c r="D652" s="115"/>
      <c r="E652" s="115"/>
      <c r="F652" s="121"/>
      <c r="G652" s="122"/>
      <c r="H652" s="115"/>
      <c r="I652" s="115"/>
      <c r="J652" s="115"/>
      <c r="K652" s="115"/>
      <c r="L652" s="115"/>
    </row>
    <row r="653" spans="1:12">
      <c r="A653" s="115"/>
      <c r="B653" s="115"/>
      <c r="C653" s="115"/>
      <c r="D653" s="115"/>
      <c r="E653" s="115"/>
      <c r="F653" s="121"/>
      <c r="G653" s="122"/>
      <c r="H653" s="115"/>
      <c r="I653" s="115"/>
      <c r="J653" s="115"/>
      <c r="K653" s="115"/>
      <c r="L653" s="115"/>
    </row>
    <row r="654" spans="1:12">
      <c r="A654" s="115"/>
      <c r="B654" s="115"/>
      <c r="C654" s="115"/>
      <c r="D654" s="115"/>
      <c r="E654" s="115"/>
      <c r="F654" s="121"/>
      <c r="G654" s="122"/>
      <c r="H654" s="115"/>
      <c r="I654" s="115"/>
      <c r="J654" s="115"/>
      <c r="K654" s="115"/>
      <c r="L654" s="115"/>
    </row>
    <row r="655" spans="1:12">
      <c r="A655" s="115"/>
      <c r="B655" s="115"/>
      <c r="C655" s="115"/>
      <c r="D655" s="115"/>
      <c r="E655" s="115"/>
      <c r="F655" s="121"/>
      <c r="G655" s="122"/>
      <c r="H655" s="115"/>
      <c r="I655" s="115"/>
      <c r="J655" s="115"/>
      <c r="K655" s="115"/>
      <c r="L655" s="115"/>
    </row>
    <row r="656" spans="1:12">
      <c r="A656" s="115"/>
      <c r="B656" s="115"/>
      <c r="C656" s="115"/>
      <c r="D656" s="115"/>
      <c r="E656" s="115"/>
      <c r="F656" s="121"/>
      <c r="G656" s="122"/>
      <c r="H656" s="115"/>
      <c r="I656" s="115"/>
      <c r="J656" s="115"/>
      <c r="K656" s="115"/>
      <c r="L656" s="115"/>
    </row>
    <row r="657" spans="1:12">
      <c r="A657" s="115"/>
      <c r="B657" s="115"/>
      <c r="C657" s="115"/>
      <c r="D657" s="115"/>
      <c r="E657" s="115"/>
      <c r="F657" s="121"/>
      <c r="G657" s="122"/>
      <c r="H657" s="115"/>
      <c r="I657" s="115"/>
      <c r="J657" s="115"/>
      <c r="K657" s="115"/>
      <c r="L657" s="115"/>
    </row>
    <row r="658" spans="1:12">
      <c r="A658" s="115"/>
      <c r="B658" s="115"/>
      <c r="C658" s="115"/>
      <c r="D658" s="115"/>
      <c r="E658" s="115"/>
      <c r="F658" s="121"/>
      <c r="G658" s="122"/>
      <c r="H658" s="115"/>
      <c r="I658" s="115"/>
      <c r="J658" s="115"/>
      <c r="K658" s="115"/>
      <c r="L658" s="115"/>
    </row>
    <row r="659" spans="1:12">
      <c r="A659" s="115"/>
      <c r="B659" s="115"/>
      <c r="C659" s="115"/>
      <c r="D659" s="115"/>
      <c r="E659" s="115"/>
      <c r="F659" s="121"/>
      <c r="G659" s="122"/>
      <c r="H659" s="115"/>
      <c r="I659" s="115"/>
      <c r="J659" s="115"/>
      <c r="K659" s="115"/>
      <c r="L659" s="115"/>
    </row>
    <row r="660" spans="1:12">
      <c r="A660" s="115"/>
      <c r="B660" s="115"/>
      <c r="C660" s="115"/>
      <c r="D660" s="115"/>
      <c r="E660" s="115"/>
      <c r="F660" s="121"/>
      <c r="G660" s="122"/>
      <c r="H660" s="115"/>
      <c r="I660" s="115"/>
      <c r="J660" s="115"/>
      <c r="K660" s="115"/>
      <c r="L660" s="115"/>
    </row>
    <row r="661" spans="1:12">
      <c r="A661" s="115"/>
      <c r="B661" s="115"/>
      <c r="C661" s="115"/>
      <c r="D661" s="115"/>
      <c r="E661" s="115"/>
      <c r="F661" s="121"/>
      <c r="G661" s="122"/>
      <c r="H661" s="115"/>
      <c r="I661" s="115"/>
      <c r="J661" s="115"/>
      <c r="K661" s="115"/>
      <c r="L661" s="115"/>
    </row>
    <row r="662" spans="1:12">
      <c r="A662" s="115"/>
      <c r="B662" s="115"/>
      <c r="C662" s="115"/>
      <c r="D662" s="115"/>
      <c r="E662" s="115"/>
      <c r="F662" s="121"/>
      <c r="G662" s="122"/>
      <c r="H662" s="115"/>
      <c r="I662" s="115"/>
      <c r="J662" s="115"/>
      <c r="K662" s="115"/>
      <c r="L662" s="115"/>
    </row>
    <row r="663" spans="1:12">
      <c r="A663" s="115"/>
      <c r="B663" s="115"/>
      <c r="C663" s="115"/>
      <c r="D663" s="115"/>
      <c r="E663" s="115"/>
      <c r="F663" s="121"/>
      <c r="G663" s="122"/>
      <c r="H663" s="115"/>
      <c r="I663" s="115"/>
      <c r="J663" s="115"/>
      <c r="K663" s="115"/>
      <c r="L663" s="115"/>
    </row>
    <row r="664" spans="1:12">
      <c r="A664" s="115"/>
      <c r="B664" s="115"/>
      <c r="C664" s="115"/>
      <c r="D664" s="115"/>
      <c r="E664" s="115"/>
      <c r="F664" s="121"/>
      <c r="G664" s="122"/>
      <c r="H664" s="115"/>
      <c r="I664" s="115"/>
      <c r="J664" s="115"/>
      <c r="K664" s="115"/>
      <c r="L664" s="115"/>
    </row>
    <row r="665" spans="1:12">
      <c r="A665" s="115"/>
      <c r="B665" s="115"/>
      <c r="C665" s="115"/>
      <c r="D665" s="115"/>
      <c r="E665" s="115"/>
      <c r="F665" s="121"/>
      <c r="G665" s="122"/>
      <c r="H665" s="115"/>
      <c r="I665" s="115"/>
      <c r="J665" s="115"/>
      <c r="K665" s="115"/>
      <c r="L665" s="115"/>
    </row>
    <row r="666" spans="1:12">
      <c r="A666" s="115"/>
      <c r="B666" s="115"/>
      <c r="C666" s="115"/>
      <c r="D666" s="115"/>
      <c r="E666" s="115"/>
      <c r="F666" s="121"/>
      <c r="G666" s="122"/>
      <c r="H666" s="115"/>
      <c r="I666" s="115"/>
      <c r="J666" s="115"/>
      <c r="K666" s="115"/>
      <c r="L666" s="115"/>
    </row>
    <row r="667" spans="1:12">
      <c r="A667" s="115"/>
      <c r="B667" s="115"/>
      <c r="C667" s="115"/>
      <c r="D667" s="115"/>
      <c r="E667" s="115"/>
      <c r="F667" s="121"/>
      <c r="G667" s="122"/>
      <c r="H667" s="115"/>
      <c r="I667" s="115"/>
      <c r="J667" s="115"/>
      <c r="K667" s="115"/>
      <c r="L667" s="115"/>
    </row>
    <row r="668" spans="1:12">
      <c r="A668" s="115"/>
      <c r="B668" s="115"/>
      <c r="C668" s="115"/>
      <c r="D668" s="115"/>
      <c r="E668" s="115"/>
      <c r="F668" s="121"/>
      <c r="G668" s="122"/>
      <c r="H668" s="115"/>
      <c r="I668" s="115"/>
      <c r="J668" s="115"/>
      <c r="K668" s="115"/>
      <c r="L668" s="115"/>
    </row>
    <row r="669" spans="1:12">
      <c r="A669" s="115"/>
      <c r="B669" s="115"/>
      <c r="C669" s="115"/>
      <c r="D669" s="115"/>
      <c r="E669" s="115"/>
      <c r="F669" s="121"/>
      <c r="G669" s="122"/>
      <c r="H669" s="115"/>
      <c r="I669" s="115"/>
      <c r="J669" s="115"/>
      <c r="K669" s="115"/>
      <c r="L669" s="115"/>
    </row>
    <row r="670" spans="1:12">
      <c r="A670" s="115"/>
      <c r="B670" s="115"/>
      <c r="C670" s="115"/>
      <c r="D670" s="115"/>
      <c r="E670" s="115"/>
      <c r="F670" s="121"/>
      <c r="G670" s="122"/>
      <c r="H670" s="115"/>
      <c r="I670" s="115"/>
      <c r="J670" s="115"/>
      <c r="K670" s="115"/>
      <c r="L670" s="115"/>
    </row>
    <row r="671" spans="1:12">
      <c r="A671" s="115"/>
      <c r="B671" s="115"/>
      <c r="C671" s="115"/>
      <c r="D671" s="115"/>
      <c r="E671" s="115"/>
      <c r="F671" s="121"/>
      <c r="G671" s="122"/>
      <c r="H671" s="115"/>
      <c r="I671" s="115"/>
      <c r="J671" s="115"/>
      <c r="K671" s="115"/>
      <c r="L671" s="115"/>
    </row>
    <row r="672" spans="1:12">
      <c r="A672" s="115"/>
      <c r="B672" s="115"/>
      <c r="C672" s="115"/>
      <c r="D672" s="115"/>
      <c r="E672" s="115"/>
      <c r="F672" s="121"/>
      <c r="G672" s="122"/>
      <c r="H672" s="115"/>
      <c r="I672" s="115"/>
      <c r="J672" s="115"/>
      <c r="K672" s="115"/>
      <c r="L672" s="115"/>
    </row>
    <row r="673" spans="1:12">
      <c r="A673" s="115"/>
      <c r="B673" s="115"/>
      <c r="C673" s="115"/>
      <c r="D673" s="115"/>
      <c r="E673" s="115"/>
      <c r="F673" s="121"/>
      <c r="G673" s="122"/>
      <c r="H673" s="115"/>
      <c r="I673" s="115"/>
      <c r="J673" s="115"/>
      <c r="K673" s="115"/>
      <c r="L673" s="115"/>
    </row>
    <row r="674" spans="1:12">
      <c r="A674" s="115"/>
      <c r="B674" s="115"/>
      <c r="C674" s="115"/>
      <c r="D674" s="115"/>
      <c r="E674" s="115"/>
      <c r="F674" s="121"/>
      <c r="G674" s="122"/>
      <c r="H674" s="115"/>
      <c r="I674" s="115"/>
      <c r="J674" s="115"/>
      <c r="K674" s="115"/>
      <c r="L674" s="115"/>
    </row>
    <row r="675" spans="1:12">
      <c r="A675" s="115"/>
      <c r="B675" s="115"/>
      <c r="C675" s="115"/>
      <c r="D675" s="115"/>
      <c r="E675" s="115"/>
      <c r="F675" s="121"/>
      <c r="G675" s="122"/>
      <c r="H675" s="115"/>
      <c r="I675" s="115"/>
      <c r="J675" s="115"/>
      <c r="K675" s="115"/>
      <c r="L675" s="115"/>
    </row>
    <row r="676" spans="1:12">
      <c r="A676" s="115"/>
      <c r="B676" s="115"/>
      <c r="C676" s="115"/>
      <c r="D676" s="115"/>
      <c r="E676" s="115"/>
      <c r="F676" s="121"/>
      <c r="G676" s="122"/>
      <c r="H676" s="115"/>
      <c r="I676" s="115"/>
      <c r="J676" s="115"/>
      <c r="K676" s="115"/>
      <c r="L676" s="115"/>
    </row>
    <row r="677" spans="1:12">
      <c r="A677" s="115"/>
      <c r="B677" s="115"/>
      <c r="C677" s="115"/>
      <c r="D677" s="115"/>
      <c r="E677" s="115"/>
      <c r="F677" s="121"/>
      <c r="G677" s="122"/>
      <c r="H677" s="115"/>
      <c r="I677" s="115"/>
      <c r="J677" s="115"/>
      <c r="K677" s="115"/>
      <c r="L677" s="115"/>
    </row>
    <row r="678" spans="1:12">
      <c r="A678" s="115"/>
      <c r="B678" s="115"/>
      <c r="C678" s="115"/>
      <c r="D678" s="115"/>
      <c r="E678" s="115"/>
      <c r="F678" s="121"/>
      <c r="G678" s="122"/>
      <c r="H678" s="115"/>
      <c r="I678" s="115"/>
      <c r="J678" s="115"/>
      <c r="K678" s="115"/>
      <c r="L678" s="115"/>
    </row>
    <row r="679" spans="1:12">
      <c r="A679" s="115"/>
      <c r="B679" s="115"/>
      <c r="C679" s="115"/>
      <c r="D679" s="115"/>
      <c r="E679" s="115"/>
      <c r="F679" s="121"/>
      <c r="G679" s="122"/>
      <c r="H679" s="115"/>
      <c r="I679" s="115"/>
      <c r="J679" s="115"/>
      <c r="K679" s="115"/>
      <c r="L679" s="115"/>
    </row>
    <row r="680" spans="1:12">
      <c r="A680" s="115"/>
      <c r="B680" s="115"/>
      <c r="C680" s="115"/>
      <c r="D680" s="115"/>
      <c r="E680" s="115"/>
      <c r="F680" s="121"/>
      <c r="G680" s="122"/>
      <c r="H680" s="115"/>
      <c r="I680" s="115"/>
      <c r="J680" s="115"/>
      <c r="K680" s="115"/>
      <c r="L680" s="115"/>
    </row>
    <row r="681" spans="1:12">
      <c r="A681" s="115"/>
      <c r="B681" s="115"/>
      <c r="C681" s="115"/>
      <c r="D681" s="115"/>
      <c r="E681" s="115"/>
      <c r="F681" s="121"/>
      <c r="G681" s="122"/>
      <c r="H681" s="115"/>
      <c r="I681" s="115"/>
      <c r="J681" s="115"/>
      <c r="K681" s="115"/>
      <c r="L681" s="115"/>
    </row>
    <row r="682" spans="1:12">
      <c r="A682" s="115"/>
      <c r="B682" s="115"/>
      <c r="C682" s="115"/>
      <c r="D682" s="115"/>
      <c r="E682" s="115"/>
      <c r="F682" s="121"/>
      <c r="G682" s="122"/>
      <c r="H682" s="115"/>
      <c r="I682" s="115"/>
      <c r="J682" s="115"/>
      <c r="K682" s="115"/>
      <c r="L682" s="115"/>
    </row>
    <row r="683" spans="1:12">
      <c r="A683" s="115"/>
      <c r="B683" s="115"/>
      <c r="C683" s="115"/>
      <c r="D683" s="115"/>
      <c r="E683" s="115"/>
      <c r="F683" s="121"/>
      <c r="G683" s="122"/>
      <c r="H683" s="115"/>
      <c r="I683" s="115"/>
      <c r="J683" s="115"/>
      <c r="K683" s="115"/>
      <c r="L683" s="115"/>
    </row>
    <row r="684" spans="1:12">
      <c r="A684" s="115"/>
      <c r="B684" s="115"/>
      <c r="C684" s="115"/>
      <c r="D684" s="115"/>
      <c r="E684" s="115"/>
      <c r="F684" s="121"/>
      <c r="G684" s="122"/>
      <c r="H684" s="115"/>
      <c r="I684" s="115"/>
      <c r="J684" s="115"/>
      <c r="K684" s="115"/>
      <c r="L684" s="115"/>
    </row>
    <row r="685" spans="1:12">
      <c r="A685" s="115"/>
      <c r="B685" s="115"/>
      <c r="C685" s="115"/>
      <c r="D685" s="115"/>
      <c r="E685" s="115"/>
      <c r="F685" s="121"/>
      <c r="G685" s="122"/>
      <c r="H685" s="115"/>
      <c r="I685" s="115"/>
      <c r="J685" s="115"/>
      <c r="K685" s="115"/>
      <c r="L685" s="115"/>
    </row>
    <row r="686" spans="1:12">
      <c r="A686" s="115"/>
      <c r="B686" s="115"/>
      <c r="C686" s="115"/>
      <c r="D686" s="115"/>
      <c r="E686" s="115"/>
      <c r="F686" s="121"/>
      <c r="G686" s="122"/>
      <c r="H686" s="115"/>
      <c r="I686" s="115"/>
      <c r="J686" s="115"/>
      <c r="K686" s="115"/>
      <c r="L686" s="115"/>
    </row>
    <row r="687" spans="1:12">
      <c r="A687" s="115"/>
      <c r="B687" s="115"/>
      <c r="C687" s="115"/>
      <c r="D687" s="115"/>
      <c r="E687" s="115"/>
      <c r="F687" s="121"/>
      <c r="G687" s="122"/>
      <c r="H687" s="115"/>
      <c r="I687" s="115"/>
      <c r="J687" s="115"/>
      <c r="K687" s="115"/>
      <c r="L687" s="115"/>
    </row>
    <row r="688" spans="1:12">
      <c r="A688" s="115"/>
      <c r="B688" s="115"/>
      <c r="C688" s="115"/>
      <c r="D688" s="115"/>
      <c r="E688" s="115"/>
      <c r="F688" s="121"/>
      <c r="G688" s="122"/>
      <c r="H688" s="115"/>
      <c r="I688" s="115"/>
      <c r="J688" s="115"/>
      <c r="K688" s="115"/>
      <c r="L688" s="115"/>
    </row>
    <row r="689" spans="1:12">
      <c r="A689" s="115"/>
      <c r="B689" s="115"/>
      <c r="C689" s="115"/>
      <c r="D689" s="115"/>
      <c r="E689" s="115"/>
      <c r="F689" s="121"/>
      <c r="G689" s="122"/>
      <c r="H689" s="115"/>
      <c r="I689" s="115"/>
      <c r="J689" s="115"/>
      <c r="K689" s="115"/>
      <c r="L689" s="115"/>
    </row>
    <row r="690" spans="1:12">
      <c r="A690" s="115"/>
      <c r="B690" s="115"/>
      <c r="C690" s="115"/>
      <c r="D690" s="115"/>
      <c r="E690" s="115"/>
      <c r="F690" s="121"/>
      <c r="G690" s="122"/>
      <c r="H690" s="115"/>
      <c r="I690" s="115"/>
      <c r="J690" s="115"/>
      <c r="K690" s="115"/>
      <c r="L690" s="115"/>
    </row>
    <row r="691" spans="1:12">
      <c r="A691" s="115"/>
      <c r="B691" s="115"/>
      <c r="C691" s="115"/>
      <c r="D691" s="115"/>
      <c r="E691" s="115"/>
      <c r="F691" s="121"/>
      <c r="G691" s="122"/>
      <c r="H691" s="115"/>
      <c r="I691" s="115"/>
      <c r="J691" s="115"/>
      <c r="K691" s="115"/>
      <c r="L691" s="115"/>
    </row>
    <row r="692" spans="1:12">
      <c r="A692" s="115"/>
      <c r="B692" s="115"/>
      <c r="C692" s="115"/>
      <c r="D692" s="115"/>
      <c r="E692" s="115"/>
      <c r="F692" s="121"/>
      <c r="G692" s="122"/>
      <c r="H692" s="115"/>
      <c r="I692" s="115"/>
      <c r="J692" s="115"/>
      <c r="K692" s="115"/>
      <c r="L692" s="115"/>
    </row>
    <row r="693" spans="1:12">
      <c r="A693" s="115"/>
      <c r="B693" s="115"/>
      <c r="C693" s="115"/>
      <c r="D693" s="115"/>
      <c r="E693" s="115"/>
      <c r="F693" s="121"/>
      <c r="G693" s="122"/>
      <c r="H693" s="115"/>
      <c r="I693" s="115"/>
      <c r="J693" s="115"/>
      <c r="K693" s="115"/>
      <c r="L693" s="115"/>
    </row>
    <row r="694" spans="1:12">
      <c r="A694" s="115"/>
      <c r="B694" s="115"/>
      <c r="C694" s="115"/>
      <c r="D694" s="115"/>
      <c r="E694" s="115"/>
      <c r="F694" s="121"/>
      <c r="G694" s="122"/>
      <c r="H694" s="115"/>
      <c r="I694" s="115"/>
      <c r="J694" s="115"/>
      <c r="K694" s="115"/>
      <c r="L694" s="115"/>
    </row>
    <row r="695" spans="1:12">
      <c r="A695" s="115"/>
      <c r="B695" s="115"/>
      <c r="C695" s="115"/>
      <c r="D695" s="115"/>
      <c r="E695" s="115"/>
      <c r="F695" s="121"/>
      <c r="G695" s="122"/>
      <c r="H695" s="115"/>
      <c r="I695" s="115"/>
      <c r="J695" s="115"/>
      <c r="K695" s="115"/>
      <c r="L695" s="115"/>
    </row>
    <row r="696" spans="1:12">
      <c r="A696" s="115"/>
      <c r="B696" s="115"/>
      <c r="C696" s="115"/>
      <c r="D696" s="115"/>
      <c r="E696" s="115"/>
      <c r="F696" s="121"/>
      <c r="G696" s="122"/>
      <c r="H696" s="115"/>
      <c r="I696" s="115"/>
      <c r="J696" s="115"/>
      <c r="K696" s="115"/>
      <c r="L696" s="115"/>
    </row>
    <row r="697" spans="1:12">
      <c r="A697" s="115"/>
      <c r="B697" s="115"/>
      <c r="C697" s="115"/>
      <c r="D697" s="115"/>
      <c r="E697" s="115"/>
      <c r="F697" s="121"/>
      <c r="G697" s="122"/>
      <c r="H697" s="115"/>
      <c r="I697" s="115"/>
      <c r="J697" s="115"/>
      <c r="K697" s="115"/>
      <c r="L697" s="115"/>
    </row>
    <row r="698" spans="1:12">
      <c r="A698" s="115"/>
      <c r="B698" s="115"/>
      <c r="C698" s="115"/>
      <c r="D698" s="115"/>
      <c r="E698" s="115"/>
      <c r="F698" s="121"/>
      <c r="G698" s="122"/>
      <c r="H698" s="115"/>
      <c r="I698" s="115"/>
      <c r="J698" s="115"/>
      <c r="K698" s="115"/>
      <c r="L698" s="115"/>
    </row>
    <row r="699" spans="1:12">
      <c r="A699" s="115"/>
      <c r="B699" s="115"/>
      <c r="C699" s="115"/>
      <c r="D699" s="115"/>
      <c r="E699" s="115"/>
      <c r="F699" s="121"/>
      <c r="G699" s="122"/>
      <c r="H699" s="115"/>
      <c r="I699" s="115"/>
      <c r="J699" s="115"/>
      <c r="K699" s="115"/>
      <c r="L699" s="115"/>
    </row>
    <row r="700" spans="1:12">
      <c r="A700" s="115"/>
      <c r="B700" s="115"/>
      <c r="C700" s="115"/>
      <c r="D700" s="115"/>
      <c r="E700" s="115"/>
      <c r="F700" s="121"/>
      <c r="G700" s="122"/>
      <c r="H700" s="115"/>
      <c r="I700" s="115"/>
      <c r="J700" s="115"/>
      <c r="K700" s="115"/>
      <c r="L700" s="115"/>
    </row>
    <row r="701" spans="1:12">
      <c r="A701" s="115"/>
      <c r="B701" s="115"/>
      <c r="C701" s="115"/>
      <c r="D701" s="115"/>
      <c r="E701" s="115"/>
      <c r="F701" s="121"/>
      <c r="G701" s="122"/>
      <c r="H701" s="115"/>
      <c r="I701" s="115"/>
      <c r="J701" s="115"/>
      <c r="K701" s="115"/>
      <c r="L701" s="115"/>
    </row>
    <row r="702" spans="1:12">
      <c r="A702" s="115"/>
      <c r="B702" s="115"/>
      <c r="C702" s="115"/>
      <c r="D702" s="115"/>
      <c r="E702" s="115"/>
      <c r="F702" s="121"/>
      <c r="G702" s="122"/>
      <c r="H702" s="115"/>
      <c r="I702" s="115"/>
      <c r="J702" s="115"/>
      <c r="K702" s="115"/>
      <c r="L702" s="115"/>
    </row>
    <row r="703" spans="1:12">
      <c r="A703" s="115"/>
      <c r="B703" s="115"/>
      <c r="C703" s="115"/>
      <c r="D703" s="115"/>
      <c r="E703" s="115"/>
      <c r="F703" s="121"/>
      <c r="G703" s="122"/>
      <c r="H703" s="115"/>
      <c r="I703" s="115"/>
      <c r="J703" s="115"/>
      <c r="K703" s="115"/>
      <c r="L703" s="115"/>
    </row>
    <row r="704" spans="1:12">
      <c r="A704" s="115"/>
      <c r="B704" s="115"/>
      <c r="C704" s="115"/>
      <c r="D704" s="115"/>
      <c r="E704" s="115"/>
      <c r="F704" s="121"/>
      <c r="G704" s="122"/>
      <c r="H704" s="115"/>
      <c r="I704" s="115"/>
      <c r="J704" s="115"/>
      <c r="K704" s="115"/>
      <c r="L704" s="115"/>
    </row>
    <row r="705" spans="1:12">
      <c r="A705" s="115"/>
      <c r="B705" s="115"/>
      <c r="C705" s="115"/>
      <c r="D705" s="115"/>
      <c r="E705" s="115"/>
      <c r="F705" s="121"/>
      <c r="G705" s="122"/>
      <c r="H705" s="115"/>
      <c r="I705" s="115"/>
      <c r="J705" s="115"/>
      <c r="K705" s="115"/>
      <c r="L705" s="115"/>
    </row>
    <row r="706" spans="1:12">
      <c r="A706" s="115"/>
      <c r="B706" s="115"/>
      <c r="C706" s="115"/>
      <c r="D706" s="115"/>
      <c r="E706" s="115"/>
      <c r="F706" s="121"/>
      <c r="G706" s="122"/>
      <c r="H706" s="115"/>
      <c r="I706" s="115"/>
      <c r="J706" s="115"/>
      <c r="K706" s="115"/>
      <c r="L706" s="115"/>
    </row>
    <row r="707" spans="1:12">
      <c r="A707" s="115"/>
      <c r="B707" s="115"/>
      <c r="C707" s="115"/>
      <c r="D707" s="115"/>
      <c r="E707" s="115"/>
      <c r="F707" s="121"/>
      <c r="G707" s="122"/>
      <c r="H707" s="115"/>
      <c r="I707" s="115"/>
      <c r="J707" s="115"/>
      <c r="K707" s="115"/>
      <c r="L707" s="115"/>
    </row>
    <row r="708" spans="1:12">
      <c r="A708" s="115"/>
      <c r="B708" s="115"/>
      <c r="C708" s="115"/>
      <c r="D708" s="115"/>
      <c r="E708" s="115"/>
      <c r="F708" s="121"/>
      <c r="G708" s="122"/>
      <c r="H708" s="115"/>
      <c r="I708" s="115"/>
      <c r="J708" s="115"/>
      <c r="K708" s="115"/>
      <c r="L708" s="115"/>
    </row>
    <row r="709" spans="1:12">
      <c r="A709" s="115"/>
      <c r="B709" s="115"/>
      <c r="C709" s="115"/>
      <c r="D709" s="115"/>
      <c r="E709" s="115"/>
      <c r="F709" s="121"/>
      <c r="G709" s="122"/>
      <c r="H709" s="115"/>
      <c r="I709" s="115"/>
      <c r="J709" s="115"/>
      <c r="K709" s="115"/>
      <c r="L709" s="115"/>
    </row>
    <row r="710" spans="1:12">
      <c r="A710" s="115"/>
      <c r="B710" s="115"/>
      <c r="C710" s="115"/>
      <c r="D710" s="115"/>
      <c r="E710" s="115"/>
      <c r="F710" s="121"/>
      <c r="G710" s="122"/>
      <c r="H710" s="115"/>
      <c r="I710" s="115"/>
      <c r="J710" s="115"/>
      <c r="K710" s="115"/>
      <c r="L710" s="115"/>
    </row>
    <row r="711" spans="1:12">
      <c r="A711" s="115"/>
      <c r="B711" s="115"/>
      <c r="C711" s="115"/>
      <c r="D711" s="115"/>
      <c r="E711" s="115"/>
      <c r="F711" s="121"/>
      <c r="G711" s="122"/>
      <c r="H711" s="115"/>
      <c r="I711" s="115"/>
      <c r="J711" s="115"/>
      <c r="K711" s="115"/>
      <c r="L711" s="115"/>
    </row>
    <row r="712" spans="1:12">
      <c r="A712" s="115"/>
      <c r="B712" s="115"/>
      <c r="C712" s="115"/>
      <c r="D712" s="115"/>
      <c r="E712" s="115"/>
      <c r="F712" s="121"/>
      <c r="G712" s="122"/>
      <c r="H712" s="115"/>
      <c r="I712" s="115"/>
      <c r="J712" s="115"/>
      <c r="K712" s="115"/>
      <c r="L712" s="115"/>
    </row>
    <row r="713" spans="1:12">
      <c r="A713" s="115"/>
      <c r="B713" s="115"/>
      <c r="C713" s="115"/>
      <c r="D713" s="115"/>
      <c r="E713" s="115"/>
      <c r="F713" s="121"/>
      <c r="G713" s="122"/>
      <c r="H713" s="115"/>
      <c r="I713" s="115"/>
      <c r="J713" s="115"/>
      <c r="K713" s="115"/>
      <c r="L713" s="115"/>
    </row>
    <row r="714" spans="1:12">
      <c r="A714" s="115"/>
      <c r="B714" s="115"/>
      <c r="C714" s="115"/>
      <c r="D714" s="115"/>
      <c r="E714" s="115"/>
      <c r="F714" s="121"/>
      <c r="G714" s="122"/>
      <c r="H714" s="115"/>
      <c r="I714" s="115"/>
      <c r="J714" s="115"/>
      <c r="K714" s="115"/>
      <c r="L714" s="115"/>
    </row>
    <row r="715" spans="1:12">
      <c r="A715" s="115"/>
      <c r="B715" s="115"/>
      <c r="C715" s="115"/>
      <c r="D715" s="115"/>
      <c r="E715" s="115"/>
      <c r="F715" s="121"/>
      <c r="G715" s="122"/>
      <c r="H715" s="115"/>
      <c r="I715" s="115"/>
      <c r="J715" s="115"/>
      <c r="K715" s="115"/>
      <c r="L715" s="115"/>
    </row>
    <row r="716" spans="1:12">
      <c r="A716" s="115"/>
      <c r="B716" s="115"/>
      <c r="C716" s="115"/>
      <c r="D716" s="115"/>
      <c r="E716" s="115"/>
      <c r="F716" s="121"/>
      <c r="G716" s="122"/>
      <c r="H716" s="115"/>
      <c r="I716" s="115"/>
      <c r="J716" s="115"/>
      <c r="K716" s="115"/>
      <c r="L716" s="115"/>
    </row>
    <row r="717" spans="1:12">
      <c r="A717" s="115"/>
      <c r="B717" s="115"/>
      <c r="C717" s="115"/>
      <c r="D717" s="115"/>
      <c r="E717" s="115"/>
      <c r="F717" s="121"/>
      <c r="G717" s="122"/>
      <c r="H717" s="115"/>
      <c r="I717" s="115"/>
      <c r="J717" s="115"/>
      <c r="K717" s="115"/>
      <c r="L717" s="115"/>
    </row>
    <row r="718" spans="1:12">
      <c r="A718" s="115"/>
      <c r="B718" s="115"/>
      <c r="C718" s="115"/>
      <c r="D718" s="115"/>
      <c r="E718" s="115"/>
      <c r="F718" s="121"/>
      <c r="G718" s="122"/>
      <c r="H718" s="115"/>
      <c r="I718" s="115"/>
      <c r="J718" s="115"/>
      <c r="K718" s="115"/>
      <c r="L718" s="115"/>
    </row>
    <row r="719" spans="1:12">
      <c r="A719" s="115"/>
      <c r="B719" s="115"/>
      <c r="C719" s="115"/>
      <c r="D719" s="115"/>
      <c r="E719" s="115"/>
      <c r="F719" s="121"/>
      <c r="G719" s="122"/>
      <c r="H719" s="115"/>
      <c r="I719" s="115"/>
      <c r="J719" s="115"/>
      <c r="K719" s="115"/>
      <c r="L719" s="115"/>
    </row>
    <row r="720" spans="1:12">
      <c r="A720" s="115"/>
      <c r="B720" s="115"/>
      <c r="C720" s="115"/>
      <c r="D720" s="115"/>
      <c r="E720" s="115"/>
      <c r="F720" s="121"/>
      <c r="G720" s="122"/>
      <c r="H720" s="115"/>
      <c r="I720" s="115"/>
      <c r="J720" s="115"/>
      <c r="K720" s="115"/>
      <c r="L720" s="115"/>
    </row>
    <row r="721" spans="1:12">
      <c r="A721" s="115"/>
      <c r="B721" s="115"/>
      <c r="C721" s="115"/>
      <c r="D721" s="115"/>
      <c r="E721" s="115"/>
      <c r="F721" s="121"/>
      <c r="G721" s="122"/>
      <c r="H721" s="115"/>
      <c r="I721" s="115"/>
      <c r="J721" s="115"/>
      <c r="K721" s="115"/>
      <c r="L721" s="115"/>
    </row>
    <row r="722" spans="1:12">
      <c r="A722" s="115"/>
      <c r="B722" s="115"/>
      <c r="C722" s="115"/>
      <c r="D722" s="115"/>
      <c r="E722" s="115"/>
      <c r="F722" s="121"/>
      <c r="G722" s="122"/>
      <c r="H722" s="115"/>
      <c r="I722" s="115"/>
      <c r="J722" s="115"/>
      <c r="K722" s="115"/>
      <c r="L722" s="115"/>
    </row>
    <row r="723" spans="1:12">
      <c r="A723" s="115"/>
      <c r="B723" s="115"/>
      <c r="C723" s="115"/>
      <c r="D723" s="115"/>
      <c r="E723" s="115"/>
      <c r="F723" s="121"/>
      <c r="G723" s="122"/>
      <c r="H723" s="115"/>
      <c r="I723" s="115"/>
      <c r="J723" s="115"/>
      <c r="K723" s="115"/>
      <c r="L723" s="115"/>
    </row>
    <row r="724" spans="1:12">
      <c r="A724" s="115"/>
      <c r="B724" s="115"/>
      <c r="C724" s="115"/>
      <c r="D724" s="115"/>
      <c r="E724" s="115"/>
      <c r="F724" s="121"/>
      <c r="G724" s="122"/>
      <c r="H724" s="115"/>
      <c r="I724" s="115"/>
      <c r="J724" s="115"/>
      <c r="K724" s="115"/>
      <c r="L724" s="115"/>
    </row>
    <row r="725" spans="1:12">
      <c r="A725" s="115"/>
      <c r="B725" s="115"/>
      <c r="C725" s="115"/>
      <c r="D725" s="115"/>
      <c r="E725" s="115"/>
      <c r="F725" s="121"/>
      <c r="G725" s="122"/>
      <c r="H725" s="115"/>
      <c r="I725" s="115"/>
      <c r="J725" s="115"/>
      <c r="K725" s="115"/>
      <c r="L725" s="115"/>
    </row>
    <row r="726" spans="1:12">
      <c r="A726" s="115"/>
      <c r="B726" s="115"/>
      <c r="C726" s="115"/>
      <c r="D726" s="115"/>
      <c r="E726" s="115"/>
      <c r="F726" s="121"/>
      <c r="G726" s="122"/>
      <c r="H726" s="115"/>
      <c r="I726" s="115"/>
      <c r="J726" s="115"/>
      <c r="K726" s="115"/>
      <c r="L726" s="115"/>
    </row>
    <row r="727" spans="1:12">
      <c r="A727" s="115"/>
      <c r="B727" s="115"/>
      <c r="C727" s="115"/>
      <c r="D727" s="115"/>
      <c r="E727" s="115"/>
      <c r="F727" s="121"/>
      <c r="G727" s="122"/>
      <c r="H727" s="115"/>
      <c r="I727" s="115"/>
      <c r="J727" s="115"/>
      <c r="K727" s="115"/>
      <c r="L727" s="115"/>
    </row>
    <row r="728" spans="1:12">
      <c r="A728" s="115"/>
      <c r="B728" s="115"/>
      <c r="C728" s="115"/>
      <c r="D728" s="115"/>
      <c r="E728" s="115"/>
      <c r="F728" s="121"/>
      <c r="G728" s="122"/>
      <c r="H728" s="115"/>
      <c r="I728" s="115"/>
      <c r="J728" s="115"/>
      <c r="K728" s="115"/>
      <c r="L728" s="115"/>
    </row>
    <row r="729" spans="1:12">
      <c r="A729" s="115"/>
      <c r="B729" s="115"/>
      <c r="C729" s="115"/>
      <c r="D729" s="115"/>
      <c r="E729" s="115"/>
      <c r="F729" s="121"/>
      <c r="G729" s="122"/>
      <c r="H729" s="115"/>
      <c r="I729" s="115"/>
      <c r="J729" s="115"/>
      <c r="K729" s="115"/>
      <c r="L729" s="115"/>
    </row>
    <row r="730" spans="1:12">
      <c r="A730" s="115"/>
      <c r="B730" s="115"/>
      <c r="C730" s="115"/>
      <c r="D730" s="115"/>
      <c r="E730" s="115"/>
      <c r="F730" s="121"/>
      <c r="G730" s="122"/>
      <c r="H730" s="115"/>
      <c r="I730" s="115"/>
      <c r="J730" s="115"/>
      <c r="K730" s="115"/>
      <c r="L730" s="115"/>
    </row>
    <row r="731" spans="1:12">
      <c r="A731" s="115"/>
      <c r="B731" s="115"/>
      <c r="C731" s="115"/>
      <c r="D731" s="115"/>
      <c r="E731" s="115"/>
      <c r="F731" s="121"/>
      <c r="G731" s="122"/>
      <c r="H731" s="115"/>
      <c r="I731" s="115"/>
      <c r="J731" s="115"/>
      <c r="K731" s="115"/>
      <c r="L731" s="115"/>
    </row>
    <row r="732" spans="1:12">
      <c r="A732" s="115"/>
      <c r="B732" s="115"/>
      <c r="C732" s="115"/>
      <c r="D732" s="115"/>
      <c r="E732" s="115"/>
      <c r="F732" s="121"/>
      <c r="G732" s="122"/>
      <c r="H732" s="115"/>
      <c r="I732" s="115"/>
      <c r="J732" s="115"/>
      <c r="K732" s="115"/>
      <c r="L732" s="115"/>
    </row>
    <row r="733" spans="1:12">
      <c r="A733" s="115"/>
      <c r="B733" s="115"/>
      <c r="C733" s="115"/>
      <c r="D733" s="115"/>
      <c r="E733" s="115"/>
      <c r="F733" s="121"/>
      <c r="G733" s="122"/>
      <c r="H733" s="115"/>
      <c r="I733" s="115"/>
      <c r="J733" s="115"/>
      <c r="K733" s="115"/>
      <c r="L733" s="115"/>
    </row>
    <row r="734" spans="1:12">
      <c r="A734" s="115"/>
      <c r="B734" s="115"/>
      <c r="C734" s="115"/>
      <c r="D734" s="115"/>
      <c r="E734" s="115"/>
      <c r="F734" s="121"/>
      <c r="G734" s="122"/>
      <c r="H734" s="115"/>
      <c r="I734" s="115"/>
      <c r="J734" s="115"/>
      <c r="K734" s="115"/>
      <c r="L734" s="115"/>
    </row>
    <row r="735" spans="1:12">
      <c r="A735" s="115"/>
      <c r="B735" s="115"/>
      <c r="C735" s="115"/>
      <c r="D735" s="115"/>
      <c r="E735" s="115"/>
      <c r="F735" s="121"/>
      <c r="G735" s="122"/>
      <c r="H735" s="115"/>
      <c r="I735" s="115"/>
      <c r="J735" s="115"/>
      <c r="K735" s="115"/>
      <c r="L735" s="115"/>
    </row>
    <row r="736" spans="1:12">
      <c r="A736" s="115"/>
      <c r="B736" s="115"/>
      <c r="C736" s="115"/>
      <c r="D736" s="115"/>
      <c r="E736" s="115"/>
      <c r="F736" s="121"/>
      <c r="G736" s="122"/>
      <c r="H736" s="115"/>
      <c r="I736" s="115"/>
      <c r="J736" s="115"/>
      <c r="K736" s="115"/>
      <c r="L736" s="115"/>
    </row>
    <row r="737" spans="1:12">
      <c r="A737" s="115"/>
      <c r="B737" s="115"/>
      <c r="C737" s="115"/>
      <c r="D737" s="115"/>
      <c r="E737" s="115"/>
      <c r="F737" s="121"/>
      <c r="G737" s="122"/>
      <c r="H737" s="115"/>
      <c r="I737" s="115"/>
      <c r="J737" s="115"/>
      <c r="K737" s="115"/>
      <c r="L737" s="115"/>
    </row>
    <row r="738" spans="1:12">
      <c r="A738" s="115"/>
      <c r="B738" s="115"/>
      <c r="C738" s="115"/>
      <c r="D738" s="115"/>
      <c r="E738" s="115"/>
      <c r="F738" s="121"/>
      <c r="G738" s="122"/>
      <c r="H738" s="115"/>
      <c r="I738" s="115"/>
      <c r="J738" s="115"/>
      <c r="K738" s="115"/>
      <c r="L738" s="115"/>
    </row>
    <row r="739" spans="1:12">
      <c r="A739" s="115"/>
      <c r="B739" s="115"/>
      <c r="C739" s="115"/>
      <c r="D739" s="115"/>
      <c r="E739" s="115"/>
      <c r="F739" s="121"/>
      <c r="G739" s="122"/>
      <c r="H739" s="115"/>
      <c r="I739" s="115"/>
      <c r="J739" s="115"/>
      <c r="K739" s="115"/>
      <c r="L739" s="115"/>
    </row>
    <row r="740" spans="1:12">
      <c r="A740" s="115"/>
      <c r="B740" s="115"/>
      <c r="C740" s="115"/>
      <c r="D740" s="115"/>
      <c r="E740" s="115"/>
      <c r="F740" s="121"/>
      <c r="G740" s="122"/>
      <c r="H740" s="115"/>
      <c r="I740" s="115"/>
      <c r="J740" s="115"/>
      <c r="K740" s="115"/>
      <c r="L740" s="115"/>
    </row>
    <row r="741" spans="1:12">
      <c r="A741" s="115"/>
      <c r="B741" s="115"/>
      <c r="C741" s="115"/>
      <c r="D741" s="115"/>
      <c r="E741" s="115"/>
      <c r="F741" s="121"/>
      <c r="G741" s="122"/>
      <c r="H741" s="115"/>
      <c r="I741" s="115"/>
      <c r="J741" s="115"/>
      <c r="K741" s="115"/>
      <c r="L741" s="115"/>
    </row>
    <row r="742" spans="1:12">
      <c r="A742" s="115"/>
      <c r="B742" s="115"/>
      <c r="C742" s="115"/>
      <c r="D742" s="115"/>
      <c r="E742" s="115"/>
      <c r="F742" s="121"/>
      <c r="G742" s="122"/>
      <c r="H742" s="115"/>
      <c r="I742" s="115"/>
      <c r="J742" s="115"/>
      <c r="K742" s="115"/>
      <c r="L742" s="115"/>
    </row>
    <row r="743" spans="1:12">
      <c r="A743" s="115"/>
      <c r="B743" s="115"/>
      <c r="C743" s="115"/>
      <c r="D743" s="115"/>
      <c r="E743" s="115"/>
      <c r="F743" s="121"/>
      <c r="G743" s="122"/>
      <c r="H743" s="115"/>
      <c r="I743" s="115"/>
      <c r="J743" s="115"/>
      <c r="K743" s="115"/>
      <c r="L743" s="115"/>
    </row>
    <row r="744" spans="1:12">
      <c r="A744" s="115"/>
      <c r="B744" s="115"/>
      <c r="C744" s="115"/>
      <c r="D744" s="115"/>
      <c r="E744" s="115"/>
      <c r="F744" s="121"/>
      <c r="G744" s="122"/>
      <c r="H744" s="115"/>
      <c r="I744" s="115"/>
      <c r="J744" s="115"/>
      <c r="K744" s="115"/>
      <c r="L744" s="115"/>
    </row>
    <row r="745" spans="1:12">
      <c r="A745" s="115"/>
      <c r="B745" s="115"/>
      <c r="C745" s="115"/>
      <c r="D745" s="115"/>
      <c r="E745" s="115"/>
      <c r="F745" s="121"/>
      <c r="G745" s="122"/>
      <c r="H745" s="115"/>
      <c r="I745" s="115"/>
      <c r="J745" s="115"/>
      <c r="K745" s="115"/>
      <c r="L745" s="115"/>
    </row>
    <row r="746" spans="1:12">
      <c r="A746" s="115"/>
      <c r="B746" s="115"/>
      <c r="C746" s="115"/>
      <c r="D746" s="115"/>
      <c r="E746" s="115"/>
      <c r="F746" s="121"/>
      <c r="G746" s="122"/>
      <c r="H746" s="115"/>
      <c r="I746" s="115"/>
      <c r="J746" s="115"/>
      <c r="K746" s="115"/>
      <c r="L746" s="115"/>
    </row>
    <row r="747" spans="1:12">
      <c r="A747" s="115"/>
      <c r="B747" s="115"/>
      <c r="C747" s="115"/>
      <c r="D747" s="115"/>
      <c r="E747" s="115"/>
      <c r="F747" s="121"/>
      <c r="G747" s="122"/>
      <c r="H747" s="115"/>
      <c r="I747" s="115"/>
      <c r="J747" s="115"/>
      <c r="K747" s="115"/>
      <c r="L747" s="115"/>
    </row>
    <row r="748" spans="1:12">
      <c r="A748" s="115"/>
      <c r="B748" s="115"/>
      <c r="C748" s="115"/>
      <c r="D748" s="115"/>
      <c r="E748" s="115"/>
      <c r="F748" s="121"/>
      <c r="G748" s="122"/>
      <c r="H748" s="115"/>
      <c r="I748" s="115"/>
      <c r="J748" s="115"/>
      <c r="K748" s="115"/>
      <c r="L748" s="115"/>
    </row>
    <row r="749" spans="1:12">
      <c r="A749" s="115"/>
      <c r="B749" s="115"/>
      <c r="C749" s="115"/>
      <c r="D749" s="115"/>
      <c r="E749" s="115"/>
      <c r="F749" s="121"/>
      <c r="G749" s="122"/>
      <c r="H749" s="115"/>
      <c r="I749" s="115"/>
      <c r="J749" s="115"/>
      <c r="K749" s="115"/>
      <c r="L749" s="115"/>
    </row>
    <row r="750" spans="1:12">
      <c r="A750" s="115"/>
      <c r="B750" s="115"/>
      <c r="C750" s="115"/>
      <c r="D750" s="115"/>
      <c r="E750" s="115"/>
      <c r="F750" s="121"/>
      <c r="G750" s="122"/>
      <c r="H750" s="115"/>
      <c r="I750" s="115"/>
      <c r="J750" s="115"/>
      <c r="K750" s="115"/>
      <c r="L750" s="115"/>
    </row>
    <row r="751" spans="1:12">
      <c r="A751" s="115"/>
      <c r="B751" s="115"/>
      <c r="C751" s="115"/>
      <c r="D751" s="115"/>
      <c r="E751" s="115"/>
      <c r="F751" s="121"/>
      <c r="G751" s="122"/>
      <c r="H751" s="115"/>
      <c r="I751" s="115"/>
      <c r="J751" s="115"/>
      <c r="K751" s="115"/>
      <c r="L751" s="115"/>
    </row>
    <row r="752" spans="1:12">
      <c r="A752" s="115"/>
      <c r="B752" s="115"/>
      <c r="C752" s="115"/>
      <c r="D752" s="115"/>
      <c r="E752" s="115"/>
      <c r="F752" s="121"/>
      <c r="G752" s="122"/>
      <c r="H752" s="115"/>
      <c r="I752" s="115"/>
      <c r="J752" s="115"/>
      <c r="K752" s="115"/>
      <c r="L752" s="115"/>
    </row>
    <row r="753" spans="1:12">
      <c r="A753" s="115"/>
      <c r="B753" s="115"/>
      <c r="C753" s="115"/>
      <c r="D753" s="115"/>
      <c r="E753" s="115"/>
      <c r="F753" s="121"/>
      <c r="G753" s="122"/>
      <c r="H753" s="115"/>
      <c r="I753" s="115"/>
      <c r="J753" s="115"/>
      <c r="K753" s="115"/>
      <c r="L753" s="115"/>
    </row>
    <row r="754" spans="1:12">
      <c r="A754" s="115"/>
      <c r="B754" s="115"/>
      <c r="C754" s="115"/>
      <c r="D754" s="115"/>
      <c r="E754" s="115"/>
      <c r="F754" s="121"/>
      <c r="G754" s="122"/>
      <c r="H754" s="115"/>
      <c r="I754" s="115"/>
      <c r="J754" s="115"/>
      <c r="K754" s="115"/>
      <c r="L754" s="115"/>
    </row>
    <row r="755" spans="1:12">
      <c r="A755" s="115"/>
      <c r="B755" s="115"/>
      <c r="C755" s="115"/>
      <c r="D755" s="115"/>
      <c r="E755" s="115"/>
      <c r="F755" s="121"/>
      <c r="G755" s="122"/>
      <c r="H755" s="115"/>
      <c r="I755" s="115"/>
      <c r="J755" s="115"/>
      <c r="K755" s="115"/>
      <c r="L755" s="115"/>
    </row>
    <row r="756" spans="1:12">
      <c r="A756" s="115"/>
      <c r="B756" s="115"/>
      <c r="C756" s="115"/>
      <c r="D756" s="115"/>
      <c r="E756" s="115"/>
      <c r="F756" s="121"/>
      <c r="G756" s="122"/>
      <c r="H756" s="115"/>
      <c r="I756" s="115"/>
      <c r="J756" s="115"/>
      <c r="K756" s="115"/>
      <c r="L756" s="115"/>
    </row>
    <row r="757" spans="1:12">
      <c r="A757" s="115"/>
      <c r="B757" s="115"/>
      <c r="C757" s="115"/>
      <c r="D757" s="115"/>
      <c r="E757" s="115"/>
      <c r="F757" s="121"/>
      <c r="G757" s="122"/>
      <c r="H757" s="115"/>
      <c r="I757" s="115"/>
      <c r="J757" s="115"/>
      <c r="K757" s="115"/>
      <c r="L757" s="115"/>
    </row>
    <row r="758" spans="1:12">
      <c r="A758" s="115"/>
      <c r="B758" s="115"/>
      <c r="C758" s="115"/>
      <c r="D758" s="115"/>
      <c r="E758" s="115"/>
      <c r="F758" s="121"/>
      <c r="G758" s="122"/>
      <c r="H758" s="115"/>
      <c r="I758" s="115"/>
      <c r="J758" s="115"/>
      <c r="K758" s="115"/>
      <c r="L758" s="115"/>
    </row>
    <row r="759" spans="1:12">
      <c r="A759" s="115"/>
      <c r="B759" s="115"/>
      <c r="C759" s="115"/>
      <c r="D759" s="115"/>
      <c r="E759" s="115"/>
      <c r="F759" s="121"/>
      <c r="G759" s="122"/>
      <c r="H759" s="115"/>
      <c r="I759" s="115"/>
      <c r="J759" s="115"/>
      <c r="K759" s="115"/>
      <c r="L759" s="115"/>
    </row>
    <row r="760" spans="1:12">
      <c r="A760" s="115"/>
      <c r="B760" s="115"/>
      <c r="C760" s="115"/>
      <c r="D760" s="115"/>
      <c r="E760" s="115"/>
      <c r="F760" s="121"/>
      <c r="G760" s="122"/>
      <c r="H760" s="115"/>
      <c r="I760" s="115"/>
      <c r="J760" s="115"/>
      <c r="K760" s="115"/>
      <c r="L760" s="115"/>
    </row>
    <row r="761" spans="1:12">
      <c r="A761" s="115"/>
      <c r="B761" s="115"/>
      <c r="C761" s="115"/>
      <c r="D761" s="115"/>
      <c r="E761" s="115"/>
      <c r="F761" s="121"/>
      <c r="G761" s="122"/>
      <c r="H761" s="115"/>
      <c r="I761" s="115"/>
      <c r="J761" s="115"/>
      <c r="K761" s="115"/>
      <c r="L761" s="115"/>
    </row>
    <row r="762" spans="1:12">
      <c r="A762" s="115"/>
      <c r="B762" s="115"/>
      <c r="C762" s="115"/>
      <c r="D762" s="115"/>
      <c r="E762" s="115"/>
      <c r="F762" s="121"/>
      <c r="G762" s="122"/>
      <c r="H762" s="115"/>
      <c r="I762" s="115"/>
      <c r="J762" s="115"/>
      <c r="K762" s="115"/>
      <c r="L762" s="115"/>
    </row>
    <row r="763" spans="1:12">
      <c r="A763" s="115"/>
      <c r="B763" s="115"/>
      <c r="C763" s="115"/>
      <c r="D763" s="115"/>
      <c r="E763" s="115"/>
      <c r="F763" s="121"/>
      <c r="G763" s="122"/>
      <c r="H763" s="115"/>
      <c r="I763" s="115"/>
      <c r="J763" s="115"/>
      <c r="K763" s="115"/>
      <c r="L763" s="115"/>
    </row>
    <row r="764" spans="1:12">
      <c r="A764" s="115"/>
      <c r="B764" s="115"/>
      <c r="C764" s="115"/>
      <c r="D764" s="115"/>
      <c r="E764" s="115"/>
      <c r="F764" s="121"/>
      <c r="G764" s="122"/>
      <c r="H764" s="115"/>
      <c r="I764" s="115"/>
      <c r="J764" s="115"/>
      <c r="K764" s="115"/>
      <c r="L764" s="115"/>
    </row>
    <row r="765" spans="1:12">
      <c r="A765" s="115"/>
      <c r="B765" s="115"/>
      <c r="C765" s="115"/>
      <c r="D765" s="115"/>
      <c r="E765" s="115"/>
      <c r="F765" s="121"/>
      <c r="G765" s="122"/>
      <c r="H765" s="115"/>
      <c r="I765" s="115"/>
      <c r="J765" s="115"/>
      <c r="K765" s="115"/>
      <c r="L765" s="115"/>
    </row>
    <row r="766" spans="1:12">
      <c r="A766" s="115"/>
      <c r="B766" s="115"/>
      <c r="C766" s="115"/>
      <c r="D766" s="115"/>
      <c r="E766" s="115"/>
      <c r="F766" s="121"/>
      <c r="G766" s="122"/>
      <c r="H766" s="115"/>
      <c r="I766" s="115"/>
      <c r="J766" s="115"/>
      <c r="K766" s="115"/>
      <c r="L766" s="115"/>
    </row>
    <row r="767" spans="1:12">
      <c r="A767" s="115"/>
      <c r="B767" s="115"/>
      <c r="C767" s="115"/>
      <c r="D767" s="115"/>
      <c r="E767" s="115"/>
      <c r="F767" s="121"/>
      <c r="G767" s="122"/>
      <c r="H767" s="115"/>
      <c r="I767" s="115"/>
      <c r="J767" s="115"/>
      <c r="K767" s="115"/>
      <c r="L767" s="115"/>
    </row>
    <row r="768" spans="1:12">
      <c r="A768" s="115"/>
      <c r="B768" s="115"/>
      <c r="C768" s="115"/>
      <c r="D768" s="115"/>
      <c r="E768" s="115"/>
      <c r="F768" s="121"/>
      <c r="G768" s="122"/>
      <c r="H768" s="115"/>
      <c r="I768" s="115"/>
      <c r="J768" s="115"/>
      <c r="K768" s="115"/>
      <c r="L768" s="115"/>
    </row>
    <row r="769" spans="1:12">
      <c r="A769" s="115"/>
      <c r="B769" s="115"/>
      <c r="C769" s="115"/>
      <c r="D769" s="115"/>
      <c r="E769" s="115"/>
      <c r="F769" s="121"/>
      <c r="G769" s="122"/>
      <c r="H769" s="115"/>
      <c r="I769" s="115"/>
      <c r="J769" s="115"/>
      <c r="K769" s="115"/>
      <c r="L769" s="115"/>
    </row>
    <row r="770" spans="1:12">
      <c r="A770" s="115"/>
      <c r="B770" s="115"/>
      <c r="C770" s="115"/>
      <c r="D770" s="115"/>
      <c r="E770" s="115"/>
      <c r="F770" s="121"/>
      <c r="G770" s="122"/>
      <c r="H770" s="115"/>
      <c r="I770" s="115"/>
      <c r="J770" s="115"/>
      <c r="K770" s="115"/>
      <c r="L770" s="115"/>
    </row>
    <row r="771" spans="1:12">
      <c r="A771" s="115"/>
      <c r="B771" s="115"/>
      <c r="C771" s="115"/>
      <c r="D771" s="115"/>
      <c r="E771" s="115"/>
      <c r="F771" s="121"/>
      <c r="G771" s="122"/>
      <c r="H771" s="115"/>
      <c r="I771" s="115"/>
      <c r="J771" s="115"/>
      <c r="K771" s="115"/>
      <c r="L771" s="115"/>
    </row>
    <row r="772" spans="1:12">
      <c r="A772" s="115"/>
      <c r="B772" s="115"/>
      <c r="C772" s="115"/>
      <c r="D772" s="115"/>
      <c r="E772" s="115"/>
      <c r="F772" s="121"/>
      <c r="G772" s="122"/>
      <c r="H772" s="115"/>
      <c r="I772" s="115"/>
      <c r="J772" s="115"/>
      <c r="K772" s="115"/>
      <c r="L772" s="115"/>
    </row>
    <row r="773" spans="1:12">
      <c r="A773" s="115"/>
      <c r="B773" s="115"/>
      <c r="C773" s="115"/>
      <c r="D773" s="115"/>
      <c r="E773" s="115"/>
      <c r="F773" s="121"/>
      <c r="G773" s="122"/>
      <c r="H773" s="115"/>
      <c r="I773" s="115"/>
      <c r="J773" s="115"/>
      <c r="K773" s="115"/>
      <c r="L773" s="115"/>
    </row>
    <row r="774" spans="1:12">
      <c r="A774" s="115"/>
      <c r="B774" s="115"/>
      <c r="C774" s="115"/>
      <c r="D774" s="115"/>
      <c r="E774" s="115"/>
      <c r="F774" s="121"/>
      <c r="G774" s="122"/>
      <c r="H774" s="115"/>
      <c r="I774" s="115"/>
      <c r="J774" s="115"/>
      <c r="K774" s="115"/>
      <c r="L774" s="115"/>
    </row>
    <row r="775" spans="1:12">
      <c r="A775" s="115"/>
      <c r="B775" s="115"/>
      <c r="C775" s="115"/>
      <c r="D775" s="115"/>
      <c r="E775" s="115"/>
      <c r="F775" s="121"/>
      <c r="G775" s="122"/>
      <c r="H775" s="115"/>
      <c r="I775" s="115"/>
      <c r="J775" s="115"/>
      <c r="K775" s="115"/>
      <c r="L775" s="115"/>
    </row>
    <row r="776" spans="1:12">
      <c r="A776" s="115"/>
      <c r="B776" s="115"/>
      <c r="C776" s="115"/>
      <c r="D776" s="115"/>
      <c r="E776" s="115"/>
      <c r="F776" s="121"/>
      <c r="G776" s="122"/>
      <c r="H776" s="115"/>
      <c r="I776" s="115"/>
      <c r="J776" s="115"/>
      <c r="K776" s="115"/>
      <c r="L776" s="115"/>
    </row>
    <row r="777" spans="1:12">
      <c r="A777" s="115"/>
      <c r="B777" s="115"/>
      <c r="C777" s="115"/>
      <c r="D777" s="115"/>
      <c r="E777" s="115"/>
      <c r="F777" s="121"/>
      <c r="G777" s="122"/>
      <c r="H777" s="115"/>
      <c r="I777" s="115"/>
      <c r="J777" s="115"/>
      <c r="K777" s="115"/>
      <c r="L777" s="115"/>
    </row>
    <row r="778" spans="1:12">
      <c r="A778" s="115"/>
      <c r="B778" s="115"/>
      <c r="C778" s="115"/>
      <c r="D778" s="115"/>
      <c r="E778" s="115"/>
      <c r="F778" s="121"/>
      <c r="G778" s="122"/>
      <c r="H778" s="115"/>
      <c r="I778" s="115"/>
      <c r="J778" s="115"/>
      <c r="K778" s="115"/>
      <c r="L778" s="115"/>
    </row>
    <row r="779" spans="1:12">
      <c r="A779" s="115"/>
      <c r="B779" s="115"/>
      <c r="C779" s="115"/>
      <c r="D779" s="115"/>
      <c r="E779" s="115"/>
      <c r="F779" s="121"/>
      <c r="G779" s="122"/>
      <c r="H779" s="115"/>
      <c r="I779" s="115"/>
      <c r="J779" s="115"/>
      <c r="K779" s="115"/>
      <c r="L779" s="115"/>
    </row>
    <row r="780" spans="1:12">
      <c r="A780" s="115"/>
      <c r="B780" s="115"/>
      <c r="C780" s="115"/>
      <c r="D780" s="115"/>
      <c r="E780" s="115"/>
      <c r="F780" s="121"/>
      <c r="G780" s="122"/>
      <c r="H780" s="115"/>
      <c r="I780" s="115"/>
      <c r="J780" s="115"/>
      <c r="K780" s="115"/>
      <c r="L780" s="115"/>
    </row>
    <row r="781" spans="1:12">
      <c r="A781" s="115"/>
      <c r="B781" s="115"/>
      <c r="C781" s="115"/>
      <c r="D781" s="115"/>
      <c r="E781" s="115"/>
      <c r="F781" s="121"/>
      <c r="G781" s="122"/>
      <c r="H781" s="115"/>
      <c r="I781" s="115"/>
      <c r="J781" s="115"/>
      <c r="K781" s="115"/>
      <c r="L781" s="115"/>
    </row>
    <row r="782" spans="1:12">
      <c r="A782" s="115"/>
      <c r="B782" s="115"/>
      <c r="C782" s="115"/>
      <c r="D782" s="115"/>
      <c r="E782" s="115"/>
      <c r="F782" s="121"/>
      <c r="G782" s="122"/>
      <c r="H782" s="115"/>
      <c r="I782" s="115"/>
      <c r="J782" s="115"/>
      <c r="K782" s="115"/>
      <c r="L782" s="115"/>
    </row>
    <row r="783" spans="1:12">
      <c r="A783" s="115"/>
      <c r="B783" s="115"/>
      <c r="C783" s="115"/>
      <c r="D783" s="115"/>
      <c r="E783" s="115"/>
      <c r="F783" s="121"/>
      <c r="G783" s="122"/>
      <c r="H783" s="115"/>
      <c r="I783" s="115"/>
      <c r="J783" s="115"/>
      <c r="K783" s="115"/>
      <c r="L783" s="115"/>
    </row>
    <row r="784" spans="1:12">
      <c r="A784" s="115"/>
      <c r="B784" s="115"/>
      <c r="C784" s="115"/>
      <c r="D784" s="115"/>
      <c r="E784" s="115"/>
      <c r="F784" s="121"/>
      <c r="G784" s="122"/>
      <c r="H784" s="115"/>
      <c r="I784" s="115"/>
      <c r="J784" s="115"/>
      <c r="K784" s="115"/>
      <c r="L784" s="115"/>
    </row>
    <row r="785" spans="1:12">
      <c r="A785" s="115"/>
      <c r="B785" s="115"/>
      <c r="C785" s="115"/>
      <c r="D785" s="115"/>
      <c r="E785" s="115"/>
      <c r="F785" s="121"/>
      <c r="G785" s="122"/>
      <c r="H785" s="115"/>
      <c r="I785" s="115"/>
      <c r="J785" s="115"/>
      <c r="K785" s="115"/>
      <c r="L785" s="115"/>
    </row>
    <row r="786" spans="1:12">
      <c r="A786" s="115"/>
      <c r="B786" s="115"/>
      <c r="C786" s="115"/>
      <c r="D786" s="115"/>
      <c r="E786" s="115"/>
      <c r="F786" s="121"/>
      <c r="G786" s="122"/>
      <c r="H786" s="115"/>
      <c r="I786" s="115"/>
      <c r="J786" s="115"/>
      <c r="K786" s="115"/>
      <c r="L786" s="115"/>
    </row>
    <row r="787" spans="1:12">
      <c r="A787" s="115"/>
      <c r="B787" s="115"/>
      <c r="C787" s="115"/>
      <c r="D787" s="115"/>
      <c r="E787" s="115"/>
      <c r="F787" s="121"/>
      <c r="G787" s="122"/>
      <c r="H787" s="115"/>
      <c r="I787" s="115"/>
      <c r="J787" s="115"/>
      <c r="K787" s="115"/>
      <c r="L787" s="115"/>
    </row>
    <row r="788" spans="1:12">
      <c r="A788" s="115"/>
      <c r="B788" s="115"/>
      <c r="C788" s="115"/>
      <c r="D788" s="115"/>
      <c r="E788" s="115"/>
      <c r="F788" s="121"/>
      <c r="G788" s="122"/>
      <c r="H788" s="115"/>
      <c r="I788" s="115"/>
      <c r="J788" s="115"/>
      <c r="K788" s="115"/>
      <c r="L788" s="115"/>
    </row>
    <row r="789" spans="1:12">
      <c r="A789" s="115"/>
      <c r="B789" s="115"/>
      <c r="C789" s="115"/>
      <c r="D789" s="115"/>
      <c r="E789" s="115"/>
      <c r="F789" s="121"/>
      <c r="G789" s="122"/>
      <c r="H789" s="115"/>
      <c r="I789" s="115"/>
      <c r="J789" s="115"/>
      <c r="K789" s="115"/>
      <c r="L789" s="115"/>
    </row>
    <row r="790" spans="1:12">
      <c r="A790" s="115"/>
      <c r="B790" s="115"/>
      <c r="C790" s="115"/>
      <c r="D790" s="115"/>
      <c r="E790" s="115"/>
      <c r="F790" s="121"/>
      <c r="G790" s="122"/>
      <c r="H790" s="115"/>
      <c r="I790" s="115"/>
      <c r="J790" s="115"/>
      <c r="K790" s="115"/>
      <c r="L790" s="115"/>
    </row>
    <row r="791" spans="1:12">
      <c r="A791" s="115"/>
      <c r="B791" s="115"/>
      <c r="C791" s="115"/>
      <c r="D791" s="115"/>
      <c r="E791" s="115"/>
      <c r="F791" s="121"/>
      <c r="G791" s="122"/>
      <c r="H791" s="115"/>
      <c r="I791" s="115"/>
      <c r="J791" s="115"/>
      <c r="K791" s="115"/>
      <c r="L791" s="115"/>
    </row>
    <row r="792" spans="1:12">
      <c r="A792" s="115"/>
      <c r="B792" s="115"/>
      <c r="C792" s="115"/>
      <c r="D792" s="115"/>
      <c r="E792" s="115"/>
      <c r="F792" s="121"/>
      <c r="G792" s="122"/>
      <c r="H792" s="115"/>
      <c r="I792" s="115"/>
      <c r="J792" s="115"/>
      <c r="K792" s="115"/>
      <c r="L792" s="115"/>
    </row>
    <row r="793" spans="1:12">
      <c r="A793" s="115"/>
      <c r="B793" s="115"/>
      <c r="C793" s="115"/>
      <c r="D793" s="115"/>
      <c r="E793" s="115"/>
      <c r="F793" s="121"/>
      <c r="G793" s="122"/>
      <c r="H793" s="115"/>
      <c r="I793" s="115"/>
      <c r="J793" s="115"/>
      <c r="K793" s="115"/>
      <c r="L793" s="115"/>
    </row>
    <row r="794" spans="1:12">
      <c r="A794" s="115"/>
      <c r="B794" s="115"/>
      <c r="C794" s="115"/>
      <c r="D794" s="115"/>
      <c r="E794" s="115"/>
      <c r="F794" s="121"/>
      <c r="G794" s="122"/>
      <c r="H794" s="115"/>
      <c r="I794" s="115"/>
      <c r="J794" s="115"/>
      <c r="K794" s="115"/>
      <c r="L794" s="115"/>
    </row>
    <row r="795" spans="1:12">
      <c r="A795" s="115"/>
      <c r="B795" s="115"/>
      <c r="C795" s="115"/>
      <c r="D795" s="115"/>
      <c r="E795" s="115"/>
      <c r="F795" s="121"/>
      <c r="G795" s="122"/>
      <c r="H795" s="115"/>
      <c r="I795" s="115"/>
      <c r="J795" s="115"/>
      <c r="K795" s="115"/>
      <c r="L795" s="115"/>
    </row>
    <row r="796" spans="1:12">
      <c r="A796" s="115"/>
      <c r="B796" s="115"/>
      <c r="C796" s="115"/>
      <c r="D796" s="115"/>
      <c r="E796" s="115"/>
      <c r="F796" s="121"/>
      <c r="G796" s="122"/>
      <c r="H796" s="115"/>
      <c r="I796" s="115"/>
      <c r="J796" s="115"/>
      <c r="K796" s="115"/>
      <c r="L796" s="115"/>
    </row>
    <row r="797" spans="1:12">
      <c r="A797" s="115"/>
      <c r="B797" s="115"/>
      <c r="C797" s="115"/>
      <c r="D797" s="115"/>
      <c r="E797" s="115"/>
      <c r="F797" s="121"/>
      <c r="G797" s="122"/>
      <c r="H797" s="115"/>
      <c r="I797" s="115"/>
      <c r="J797" s="115"/>
      <c r="K797" s="115"/>
      <c r="L797" s="115"/>
    </row>
    <row r="798" spans="1:12">
      <c r="A798" s="115"/>
      <c r="B798" s="115"/>
      <c r="C798" s="115"/>
      <c r="D798" s="115"/>
      <c r="E798" s="115"/>
      <c r="F798" s="121"/>
      <c r="G798" s="122"/>
      <c r="H798" s="115"/>
      <c r="I798" s="115"/>
      <c r="J798" s="115"/>
      <c r="K798" s="115"/>
      <c r="L798" s="115"/>
    </row>
    <row r="799" spans="1:12">
      <c r="A799" s="115"/>
      <c r="B799" s="115"/>
      <c r="C799" s="115"/>
      <c r="D799" s="115"/>
      <c r="E799" s="115"/>
      <c r="F799" s="121"/>
      <c r="G799" s="122"/>
      <c r="H799" s="115"/>
      <c r="I799" s="115"/>
      <c r="J799" s="115"/>
      <c r="K799" s="115"/>
      <c r="L799" s="115"/>
    </row>
    <row r="800" spans="1:12">
      <c r="A800" s="115"/>
      <c r="B800" s="115"/>
      <c r="C800" s="115"/>
      <c r="D800" s="115"/>
      <c r="E800" s="115"/>
      <c r="F800" s="121"/>
      <c r="G800" s="122"/>
      <c r="H800" s="115"/>
      <c r="I800" s="115"/>
      <c r="J800" s="115"/>
      <c r="K800" s="115"/>
      <c r="L800" s="115"/>
    </row>
    <row r="801" spans="1:12">
      <c r="A801" s="115"/>
      <c r="B801" s="115"/>
      <c r="C801" s="115"/>
      <c r="D801" s="115"/>
      <c r="E801" s="115"/>
      <c r="F801" s="121"/>
      <c r="G801" s="122"/>
      <c r="H801" s="115"/>
      <c r="I801" s="115"/>
      <c r="J801" s="115"/>
      <c r="K801" s="115"/>
      <c r="L801" s="115"/>
    </row>
    <row r="802" spans="1:12">
      <c r="A802" s="115"/>
      <c r="B802" s="115"/>
      <c r="C802" s="115"/>
      <c r="D802" s="115"/>
      <c r="E802" s="115"/>
      <c r="F802" s="121"/>
      <c r="G802" s="122"/>
      <c r="H802" s="115"/>
      <c r="I802" s="115"/>
      <c r="J802" s="115"/>
      <c r="K802" s="115"/>
      <c r="L802" s="115"/>
    </row>
    <row r="803" spans="1:12">
      <c r="A803" s="115"/>
      <c r="B803" s="115"/>
      <c r="C803" s="115"/>
      <c r="D803" s="115"/>
      <c r="E803" s="115"/>
      <c r="F803" s="121"/>
      <c r="G803" s="122"/>
      <c r="H803" s="115"/>
      <c r="I803" s="115"/>
      <c r="J803" s="115"/>
      <c r="K803" s="115"/>
      <c r="L803" s="115"/>
    </row>
    <row r="804" spans="1:12">
      <c r="A804" s="115"/>
      <c r="B804" s="115"/>
      <c r="C804" s="115"/>
      <c r="D804" s="115"/>
      <c r="E804" s="115"/>
      <c r="F804" s="121"/>
      <c r="G804" s="122"/>
      <c r="H804" s="115"/>
      <c r="I804" s="115"/>
      <c r="J804" s="115"/>
      <c r="K804" s="115"/>
      <c r="L804" s="115"/>
    </row>
    <row r="805" spans="1:12">
      <c r="A805" s="115"/>
      <c r="B805" s="115"/>
      <c r="C805" s="115"/>
      <c r="D805" s="115"/>
      <c r="E805" s="115"/>
      <c r="F805" s="121"/>
      <c r="G805" s="122"/>
      <c r="H805" s="115"/>
      <c r="I805" s="115"/>
      <c r="J805" s="115"/>
      <c r="K805" s="115"/>
      <c r="L805" s="115"/>
    </row>
    <row r="806" spans="1:12">
      <c r="A806" s="115"/>
      <c r="B806" s="115"/>
      <c r="C806" s="115"/>
      <c r="D806" s="115"/>
      <c r="E806" s="115"/>
      <c r="F806" s="121"/>
      <c r="G806" s="122"/>
      <c r="H806" s="115"/>
      <c r="I806" s="115"/>
      <c r="J806" s="115"/>
      <c r="K806" s="115"/>
      <c r="L806" s="115"/>
    </row>
    <row r="807" spans="1:12">
      <c r="A807" s="115"/>
      <c r="B807" s="115"/>
      <c r="C807" s="115"/>
      <c r="D807" s="115"/>
      <c r="E807" s="115"/>
      <c r="F807" s="121"/>
      <c r="G807" s="122"/>
      <c r="H807" s="115"/>
      <c r="I807" s="115"/>
      <c r="J807" s="115"/>
      <c r="K807" s="115"/>
      <c r="L807" s="115"/>
    </row>
    <row r="808" spans="1:12">
      <c r="A808" s="115"/>
      <c r="B808" s="115"/>
      <c r="C808" s="115"/>
      <c r="D808" s="115"/>
      <c r="E808" s="115"/>
      <c r="F808" s="121"/>
      <c r="G808" s="122"/>
      <c r="H808" s="115"/>
      <c r="I808" s="115"/>
      <c r="J808" s="115"/>
      <c r="K808" s="115"/>
      <c r="L808" s="115"/>
    </row>
    <row r="809" spans="1:12">
      <c r="A809" s="115"/>
      <c r="B809" s="115"/>
      <c r="C809" s="115"/>
      <c r="D809" s="115"/>
      <c r="E809" s="115"/>
      <c r="F809" s="121"/>
      <c r="G809" s="122"/>
      <c r="H809" s="115"/>
      <c r="I809" s="115"/>
      <c r="J809" s="115"/>
      <c r="K809" s="115"/>
      <c r="L809" s="115"/>
    </row>
    <row r="810" spans="1:12">
      <c r="A810" s="115"/>
      <c r="B810" s="115"/>
      <c r="C810" s="115"/>
      <c r="D810" s="115"/>
      <c r="E810" s="115"/>
      <c r="F810" s="121"/>
      <c r="G810" s="122"/>
      <c r="H810" s="115"/>
      <c r="I810" s="115"/>
      <c r="J810" s="115"/>
      <c r="K810" s="115"/>
      <c r="L810" s="115"/>
    </row>
    <row r="811" spans="1:12">
      <c r="A811" s="115"/>
      <c r="B811" s="115"/>
      <c r="C811" s="115"/>
      <c r="D811" s="115"/>
      <c r="E811" s="115"/>
      <c r="F811" s="121"/>
      <c r="G811" s="122"/>
      <c r="H811" s="115"/>
      <c r="I811" s="115"/>
      <c r="J811" s="115"/>
      <c r="K811" s="115"/>
      <c r="L811" s="115"/>
    </row>
    <row r="812" spans="1:12">
      <c r="A812" s="115"/>
      <c r="B812" s="115"/>
      <c r="C812" s="115"/>
      <c r="D812" s="115"/>
      <c r="E812" s="115"/>
      <c r="F812" s="121"/>
      <c r="G812" s="122"/>
      <c r="H812" s="115"/>
      <c r="I812" s="115"/>
      <c r="J812" s="115"/>
      <c r="K812" s="115"/>
      <c r="L812" s="115"/>
    </row>
    <row r="813" spans="1:12">
      <c r="A813" s="115"/>
      <c r="B813" s="115"/>
      <c r="C813" s="115"/>
      <c r="D813" s="115"/>
      <c r="E813" s="115"/>
      <c r="F813" s="121"/>
      <c r="G813" s="122"/>
      <c r="H813" s="115"/>
      <c r="I813" s="115"/>
      <c r="J813" s="115"/>
      <c r="K813" s="115"/>
      <c r="L813" s="115"/>
    </row>
    <row r="814" spans="1:12">
      <c r="A814" s="115"/>
      <c r="B814" s="115"/>
      <c r="C814" s="115"/>
      <c r="D814" s="115"/>
      <c r="E814" s="115"/>
      <c r="F814" s="121"/>
      <c r="G814" s="122"/>
      <c r="H814" s="115"/>
      <c r="I814" s="115"/>
      <c r="J814" s="115"/>
      <c r="K814" s="115"/>
      <c r="L814" s="115"/>
    </row>
    <row r="815" spans="1:12">
      <c r="A815" s="115"/>
      <c r="B815" s="115"/>
      <c r="C815" s="115"/>
      <c r="D815" s="115"/>
      <c r="E815" s="115"/>
      <c r="F815" s="121"/>
      <c r="G815" s="122"/>
      <c r="H815" s="115"/>
      <c r="I815" s="115"/>
      <c r="J815" s="115"/>
      <c r="K815" s="115"/>
      <c r="L815" s="115"/>
    </row>
    <row r="816" spans="1:12">
      <c r="A816" s="115"/>
      <c r="B816" s="115"/>
      <c r="C816" s="115"/>
      <c r="D816" s="115"/>
      <c r="E816" s="115"/>
      <c r="F816" s="121"/>
      <c r="G816" s="122"/>
      <c r="H816" s="115"/>
      <c r="I816" s="115"/>
      <c r="J816" s="115"/>
      <c r="K816" s="115"/>
      <c r="L816" s="115"/>
    </row>
    <row r="817" spans="1:12">
      <c r="A817" s="115"/>
      <c r="B817" s="115"/>
      <c r="C817" s="115"/>
      <c r="D817" s="115"/>
      <c r="E817" s="115"/>
      <c r="F817" s="121"/>
      <c r="G817" s="122"/>
      <c r="H817" s="115"/>
      <c r="I817" s="115"/>
      <c r="J817" s="115"/>
      <c r="K817" s="115"/>
      <c r="L817" s="115"/>
    </row>
    <row r="818" spans="1:12">
      <c r="A818" s="115"/>
      <c r="B818" s="115"/>
      <c r="C818" s="115"/>
      <c r="D818" s="115"/>
      <c r="E818" s="115"/>
      <c r="F818" s="121"/>
      <c r="G818" s="122"/>
      <c r="H818" s="115"/>
      <c r="I818" s="115"/>
      <c r="J818" s="115"/>
      <c r="K818" s="115"/>
      <c r="L818" s="115"/>
    </row>
    <row r="819" spans="1:12">
      <c r="A819" s="115"/>
      <c r="B819" s="115"/>
      <c r="C819" s="115"/>
      <c r="D819" s="115"/>
      <c r="E819" s="115"/>
      <c r="F819" s="121"/>
      <c r="G819" s="122"/>
      <c r="H819" s="115"/>
      <c r="I819" s="115"/>
      <c r="J819" s="115"/>
      <c r="K819" s="115"/>
      <c r="L819" s="115"/>
    </row>
    <row r="820" spans="1:12">
      <c r="A820" s="115"/>
      <c r="B820" s="115"/>
      <c r="C820" s="115"/>
      <c r="D820" s="115"/>
      <c r="E820" s="115"/>
      <c r="F820" s="121"/>
      <c r="G820" s="122"/>
      <c r="H820" s="115"/>
      <c r="I820" s="115"/>
      <c r="J820" s="115"/>
      <c r="K820" s="115"/>
      <c r="L820" s="115"/>
    </row>
    <row r="821" spans="1:12">
      <c r="A821" s="115"/>
      <c r="B821" s="115"/>
      <c r="C821" s="115"/>
      <c r="D821" s="115"/>
      <c r="E821" s="115"/>
      <c r="F821" s="121"/>
      <c r="G821" s="122"/>
      <c r="H821" s="115"/>
      <c r="I821" s="115"/>
      <c r="J821" s="115"/>
      <c r="K821" s="115"/>
      <c r="L821" s="115"/>
    </row>
    <row r="822" spans="1:12">
      <c r="A822" s="115"/>
      <c r="B822" s="115"/>
      <c r="C822" s="115"/>
      <c r="D822" s="115"/>
      <c r="E822" s="115"/>
      <c r="F822" s="121"/>
      <c r="G822" s="122"/>
      <c r="H822" s="115"/>
      <c r="I822" s="115"/>
      <c r="J822" s="115"/>
      <c r="K822" s="115"/>
      <c r="L822" s="115"/>
    </row>
    <row r="823" spans="1:12">
      <c r="A823" s="115"/>
      <c r="B823" s="115"/>
      <c r="C823" s="115"/>
      <c r="D823" s="115"/>
      <c r="E823" s="115"/>
      <c r="F823" s="121"/>
      <c r="G823" s="122"/>
      <c r="H823" s="115"/>
      <c r="I823" s="115"/>
      <c r="J823" s="115"/>
      <c r="K823" s="115"/>
      <c r="L823" s="115"/>
    </row>
    <row r="824" spans="1:12">
      <c r="A824" s="115"/>
      <c r="B824" s="115"/>
      <c r="C824" s="115"/>
      <c r="D824" s="115"/>
      <c r="E824" s="115"/>
      <c r="F824" s="121"/>
      <c r="G824" s="122"/>
      <c r="H824" s="115"/>
      <c r="I824" s="115"/>
      <c r="J824" s="115"/>
      <c r="K824" s="115"/>
      <c r="L824" s="115"/>
    </row>
    <row r="825" spans="1:12">
      <c r="A825" s="115"/>
      <c r="B825" s="115"/>
      <c r="C825" s="115"/>
      <c r="D825" s="115"/>
      <c r="E825" s="115"/>
      <c r="F825" s="121"/>
      <c r="G825" s="122"/>
      <c r="H825" s="115"/>
      <c r="I825" s="115"/>
      <c r="J825" s="115"/>
      <c r="K825" s="115"/>
      <c r="L825" s="115"/>
    </row>
    <row r="826" spans="1:12">
      <c r="A826" s="115"/>
      <c r="B826" s="115"/>
      <c r="C826" s="115"/>
      <c r="D826" s="115"/>
      <c r="E826" s="115"/>
      <c r="F826" s="121"/>
      <c r="G826" s="122"/>
      <c r="H826" s="115"/>
      <c r="I826" s="115"/>
      <c r="J826" s="115"/>
      <c r="K826" s="115"/>
      <c r="L826" s="115"/>
    </row>
    <row r="827" spans="1:12">
      <c r="A827" s="115"/>
      <c r="B827" s="115"/>
      <c r="C827" s="115"/>
      <c r="D827" s="115"/>
      <c r="E827" s="115"/>
      <c r="F827" s="121"/>
      <c r="G827" s="122"/>
      <c r="H827" s="115"/>
      <c r="I827" s="115"/>
      <c r="J827" s="115"/>
      <c r="K827" s="115"/>
      <c r="L827" s="115"/>
    </row>
    <row r="828" spans="1:12">
      <c r="A828" s="115"/>
      <c r="B828" s="115"/>
      <c r="C828" s="115"/>
      <c r="D828" s="115"/>
      <c r="E828" s="115"/>
      <c r="F828" s="121"/>
      <c r="G828" s="122"/>
      <c r="H828" s="115"/>
      <c r="I828" s="115"/>
      <c r="J828" s="115"/>
      <c r="K828" s="115"/>
      <c r="L828" s="115"/>
    </row>
    <row r="829" spans="1:12">
      <c r="A829" s="115"/>
      <c r="B829" s="115"/>
      <c r="C829" s="115"/>
      <c r="D829" s="115"/>
      <c r="E829" s="115"/>
      <c r="F829" s="121"/>
      <c r="G829" s="122"/>
      <c r="H829" s="115"/>
      <c r="I829" s="115"/>
      <c r="J829" s="115"/>
      <c r="K829" s="115"/>
      <c r="L829" s="115"/>
    </row>
    <row r="830" spans="1:12">
      <c r="A830" s="115"/>
      <c r="B830" s="115"/>
      <c r="C830" s="115"/>
      <c r="D830" s="115"/>
      <c r="E830" s="115"/>
      <c r="F830" s="121"/>
      <c r="G830" s="122"/>
      <c r="H830" s="115"/>
      <c r="I830" s="115"/>
      <c r="J830" s="115"/>
      <c r="K830" s="115"/>
      <c r="L830" s="115"/>
    </row>
    <row r="831" spans="1:12">
      <c r="A831" s="115"/>
      <c r="B831" s="115"/>
      <c r="C831" s="115"/>
      <c r="D831" s="115"/>
      <c r="E831" s="115"/>
      <c r="F831" s="121"/>
      <c r="G831" s="122"/>
      <c r="H831" s="115"/>
      <c r="I831" s="115"/>
      <c r="J831" s="115"/>
      <c r="K831" s="115"/>
      <c r="L831" s="115"/>
    </row>
    <row r="832" spans="1:12">
      <c r="A832" s="115"/>
      <c r="B832" s="115"/>
      <c r="C832" s="115"/>
      <c r="D832" s="115"/>
      <c r="E832" s="115"/>
      <c r="F832" s="121"/>
      <c r="G832" s="122"/>
      <c r="H832" s="115"/>
      <c r="I832" s="115"/>
      <c r="J832" s="115"/>
      <c r="K832" s="115"/>
      <c r="L832" s="115"/>
    </row>
    <row r="833" spans="1:12">
      <c r="A833" s="115"/>
      <c r="B833" s="115"/>
      <c r="C833" s="115"/>
      <c r="D833" s="115"/>
      <c r="E833" s="115"/>
      <c r="F833" s="121"/>
      <c r="G833" s="122"/>
      <c r="H833" s="115"/>
      <c r="I833" s="115"/>
      <c r="J833" s="115"/>
      <c r="K833" s="115"/>
      <c r="L833" s="115"/>
    </row>
    <row r="834" spans="1:12">
      <c r="A834" s="115"/>
      <c r="B834" s="115"/>
      <c r="C834" s="115"/>
      <c r="D834" s="115"/>
      <c r="E834" s="115"/>
      <c r="F834" s="121"/>
      <c r="G834" s="122"/>
      <c r="H834" s="115"/>
      <c r="I834" s="115"/>
      <c r="J834" s="115"/>
      <c r="K834" s="115"/>
      <c r="L834" s="115"/>
    </row>
    <row r="835" spans="1:12">
      <c r="A835" s="115"/>
      <c r="B835" s="115"/>
      <c r="C835" s="115"/>
      <c r="D835" s="115"/>
      <c r="E835" s="115"/>
      <c r="F835" s="121"/>
      <c r="G835" s="122"/>
      <c r="H835" s="115"/>
      <c r="I835" s="115"/>
      <c r="J835" s="115"/>
      <c r="K835" s="115"/>
      <c r="L835" s="115"/>
    </row>
    <row r="836" spans="1:12">
      <c r="A836" s="115"/>
      <c r="B836" s="115"/>
      <c r="C836" s="115"/>
      <c r="D836" s="115"/>
      <c r="E836" s="115"/>
      <c r="F836" s="121"/>
      <c r="G836" s="122"/>
      <c r="H836" s="115"/>
      <c r="I836" s="115"/>
      <c r="J836" s="115"/>
      <c r="K836" s="115"/>
      <c r="L836" s="115"/>
    </row>
    <row r="837" spans="1:12">
      <c r="A837" s="115"/>
      <c r="B837" s="115"/>
      <c r="C837" s="115"/>
      <c r="D837" s="115"/>
      <c r="E837" s="115"/>
      <c r="F837" s="121"/>
      <c r="G837" s="122"/>
      <c r="H837" s="115"/>
      <c r="I837" s="115"/>
      <c r="J837" s="115"/>
      <c r="K837" s="115"/>
      <c r="L837" s="115"/>
    </row>
    <row r="838" spans="1:12">
      <c r="A838" s="115"/>
      <c r="B838" s="115"/>
      <c r="C838" s="115"/>
      <c r="D838" s="115"/>
      <c r="E838" s="115"/>
      <c r="F838" s="121"/>
      <c r="G838" s="122"/>
      <c r="H838" s="115"/>
      <c r="I838" s="115"/>
      <c r="J838" s="115"/>
      <c r="K838" s="115"/>
      <c r="L838" s="115"/>
    </row>
    <row r="839" spans="1:12">
      <c r="A839" s="115"/>
      <c r="B839" s="115"/>
      <c r="C839" s="115"/>
      <c r="D839" s="115"/>
      <c r="E839" s="115"/>
      <c r="F839" s="121"/>
      <c r="G839" s="122"/>
      <c r="H839" s="115"/>
      <c r="I839" s="115"/>
      <c r="J839" s="115"/>
      <c r="K839" s="115"/>
      <c r="L839" s="115"/>
    </row>
    <row r="840" spans="1:12">
      <c r="A840" s="115"/>
      <c r="B840" s="115"/>
      <c r="C840" s="115"/>
      <c r="D840" s="115"/>
      <c r="E840" s="115"/>
      <c r="F840" s="121"/>
      <c r="G840" s="122"/>
      <c r="H840" s="115"/>
      <c r="I840" s="115"/>
      <c r="J840" s="115"/>
      <c r="K840" s="115"/>
      <c r="L840" s="115"/>
    </row>
    <row r="841" spans="1:12">
      <c r="A841" s="115"/>
      <c r="B841" s="115"/>
      <c r="C841" s="115"/>
      <c r="D841" s="115"/>
      <c r="E841" s="115"/>
      <c r="F841" s="121"/>
      <c r="G841" s="122"/>
      <c r="H841" s="115"/>
      <c r="I841" s="115"/>
      <c r="J841" s="115"/>
      <c r="K841" s="115"/>
      <c r="L841" s="115"/>
    </row>
    <row r="842" spans="1:12">
      <c r="A842" s="115"/>
      <c r="B842" s="115"/>
      <c r="C842" s="115"/>
      <c r="D842" s="115"/>
      <c r="E842" s="115"/>
      <c r="F842" s="121"/>
      <c r="G842" s="122"/>
      <c r="H842" s="115"/>
      <c r="I842" s="115"/>
      <c r="J842" s="115"/>
      <c r="K842" s="115"/>
      <c r="L842" s="115"/>
    </row>
    <row r="843" spans="1:12">
      <c r="A843" s="115"/>
      <c r="B843" s="115"/>
      <c r="C843" s="115"/>
      <c r="D843" s="115"/>
      <c r="E843" s="115"/>
      <c r="F843" s="121"/>
      <c r="G843" s="122"/>
      <c r="H843" s="115"/>
      <c r="I843" s="115"/>
      <c r="J843" s="115"/>
      <c r="K843" s="115"/>
      <c r="L843" s="115"/>
    </row>
    <row r="844" spans="1:12">
      <c r="A844" s="115"/>
      <c r="B844" s="115"/>
      <c r="C844" s="115"/>
      <c r="D844" s="115"/>
      <c r="E844" s="115"/>
      <c r="F844" s="121"/>
      <c r="G844" s="122"/>
      <c r="H844" s="115"/>
      <c r="I844" s="115"/>
      <c r="J844" s="115"/>
      <c r="K844" s="115"/>
      <c r="L844" s="115"/>
    </row>
    <row r="845" spans="1:12">
      <c r="A845" s="115"/>
      <c r="B845" s="115"/>
      <c r="C845" s="115"/>
      <c r="D845" s="115"/>
      <c r="E845" s="115"/>
      <c r="F845" s="121"/>
      <c r="G845" s="122"/>
      <c r="H845" s="115"/>
      <c r="I845" s="115"/>
      <c r="J845" s="115"/>
      <c r="K845" s="115"/>
      <c r="L845" s="115"/>
    </row>
    <row r="846" spans="1:12">
      <c r="A846" s="115"/>
      <c r="B846" s="115"/>
      <c r="C846" s="115"/>
      <c r="D846" s="115"/>
      <c r="E846" s="115"/>
      <c r="F846" s="121"/>
      <c r="G846" s="122"/>
      <c r="H846" s="115"/>
      <c r="I846" s="115"/>
      <c r="J846" s="115"/>
      <c r="K846" s="115"/>
      <c r="L846" s="115"/>
    </row>
    <row r="847" spans="1:12">
      <c r="A847" s="115"/>
      <c r="B847" s="115"/>
      <c r="C847" s="115"/>
      <c r="D847" s="115"/>
      <c r="E847" s="115"/>
      <c r="F847" s="121"/>
      <c r="G847" s="122"/>
      <c r="H847" s="115"/>
      <c r="I847" s="115"/>
      <c r="J847" s="115"/>
      <c r="K847" s="115"/>
      <c r="L847" s="115"/>
    </row>
    <row r="848" spans="1:12">
      <c r="A848" s="115"/>
      <c r="B848" s="115"/>
      <c r="C848" s="115"/>
      <c r="D848" s="115"/>
      <c r="E848" s="115"/>
      <c r="F848" s="121"/>
      <c r="G848" s="122"/>
      <c r="H848" s="115"/>
      <c r="I848" s="115"/>
      <c r="J848" s="115"/>
      <c r="K848" s="115"/>
      <c r="L848" s="115"/>
    </row>
    <row r="849" spans="1:12">
      <c r="A849" s="115"/>
      <c r="B849" s="115"/>
      <c r="C849" s="115"/>
      <c r="D849" s="115"/>
      <c r="E849" s="115"/>
      <c r="F849" s="121"/>
      <c r="G849" s="122"/>
      <c r="H849" s="115"/>
      <c r="I849" s="115"/>
      <c r="J849" s="115"/>
      <c r="K849" s="115"/>
      <c r="L849" s="115"/>
    </row>
    <row r="850" spans="1:12">
      <c r="A850" s="115"/>
      <c r="B850" s="115"/>
      <c r="C850" s="115"/>
      <c r="D850" s="115"/>
      <c r="E850" s="115"/>
      <c r="F850" s="121"/>
      <c r="G850" s="122"/>
      <c r="H850" s="115"/>
      <c r="I850" s="115"/>
      <c r="J850" s="115"/>
      <c r="K850" s="115"/>
      <c r="L850" s="115"/>
    </row>
    <row r="851" spans="1:12">
      <c r="A851" s="115"/>
      <c r="B851" s="115"/>
      <c r="C851" s="115"/>
      <c r="D851" s="115"/>
      <c r="E851" s="115"/>
      <c r="F851" s="121"/>
      <c r="G851" s="122"/>
      <c r="H851" s="115"/>
      <c r="I851" s="115"/>
      <c r="J851" s="115"/>
      <c r="K851" s="115"/>
      <c r="L851" s="115"/>
    </row>
    <row r="852" spans="1:12">
      <c r="A852" s="115"/>
      <c r="B852" s="115"/>
      <c r="C852" s="115"/>
      <c r="D852" s="115"/>
      <c r="E852" s="115"/>
      <c r="F852" s="121"/>
      <c r="G852" s="122"/>
      <c r="H852" s="115"/>
      <c r="I852" s="115"/>
      <c r="J852" s="115"/>
      <c r="K852" s="115"/>
      <c r="L852" s="115"/>
    </row>
    <row r="853" spans="1:12">
      <c r="A853" s="115"/>
      <c r="B853" s="115"/>
      <c r="C853" s="115"/>
      <c r="D853" s="115"/>
      <c r="E853" s="115"/>
      <c r="F853" s="121"/>
      <c r="G853" s="122"/>
      <c r="H853" s="115"/>
      <c r="I853" s="115"/>
      <c r="J853" s="115"/>
      <c r="K853" s="115"/>
      <c r="L853" s="115"/>
    </row>
    <row r="854" spans="1:12">
      <c r="A854" s="115"/>
      <c r="B854" s="115"/>
      <c r="C854" s="115"/>
      <c r="D854" s="115"/>
      <c r="E854" s="115"/>
      <c r="F854" s="121"/>
      <c r="G854" s="122"/>
      <c r="H854" s="115"/>
      <c r="I854" s="115"/>
      <c r="J854" s="115"/>
      <c r="K854" s="115"/>
      <c r="L854" s="115"/>
    </row>
    <row r="855" spans="1:12">
      <c r="A855" s="115"/>
      <c r="B855" s="115"/>
      <c r="C855" s="115"/>
      <c r="D855" s="115"/>
      <c r="E855" s="115"/>
      <c r="F855" s="121"/>
      <c r="G855" s="122"/>
      <c r="H855" s="115"/>
      <c r="I855" s="115"/>
      <c r="J855" s="115"/>
      <c r="K855" s="115"/>
      <c r="L855" s="115"/>
    </row>
    <row r="856" spans="1:12">
      <c r="A856" s="115"/>
      <c r="B856" s="115"/>
      <c r="C856" s="115"/>
      <c r="D856" s="115"/>
      <c r="E856" s="115"/>
      <c r="F856" s="121"/>
      <c r="G856" s="122"/>
      <c r="H856" s="115"/>
      <c r="I856" s="115"/>
      <c r="J856" s="115"/>
      <c r="K856" s="115"/>
      <c r="L856" s="115"/>
    </row>
    <row r="857" spans="1:12">
      <c r="A857" s="115"/>
      <c r="B857" s="115"/>
      <c r="C857" s="115"/>
      <c r="D857" s="115"/>
      <c r="E857" s="115"/>
      <c r="F857" s="121"/>
      <c r="G857" s="122"/>
      <c r="H857" s="115"/>
      <c r="I857" s="115"/>
      <c r="J857" s="115"/>
      <c r="K857" s="115"/>
      <c r="L857" s="115"/>
    </row>
    <row r="858" spans="1:12">
      <c r="A858" s="115"/>
      <c r="B858" s="115"/>
      <c r="C858" s="115"/>
      <c r="D858" s="115"/>
      <c r="E858" s="115"/>
      <c r="F858" s="121"/>
      <c r="G858" s="122"/>
      <c r="H858" s="115"/>
      <c r="I858" s="115"/>
      <c r="J858" s="115"/>
      <c r="K858" s="115"/>
      <c r="L858" s="115"/>
    </row>
    <row r="859" spans="1:12">
      <c r="A859" s="115"/>
      <c r="B859" s="115"/>
      <c r="C859" s="115"/>
      <c r="D859" s="115"/>
      <c r="E859" s="115"/>
      <c r="F859" s="121"/>
      <c r="G859" s="122"/>
      <c r="H859" s="115"/>
      <c r="I859" s="115"/>
      <c r="J859" s="115"/>
      <c r="K859" s="115"/>
      <c r="L859" s="115"/>
    </row>
    <row r="860" spans="1:12">
      <c r="A860" s="115"/>
      <c r="B860" s="115"/>
      <c r="C860" s="115"/>
      <c r="D860" s="115"/>
      <c r="E860" s="115"/>
      <c r="F860" s="121"/>
      <c r="G860" s="122"/>
      <c r="H860" s="115"/>
      <c r="I860" s="115"/>
      <c r="J860" s="115"/>
      <c r="K860" s="115"/>
      <c r="L860" s="115"/>
    </row>
    <row r="861" spans="1:12">
      <c r="A861" s="115"/>
      <c r="B861" s="115"/>
      <c r="C861" s="115"/>
      <c r="D861" s="115"/>
      <c r="E861" s="115"/>
      <c r="F861" s="121"/>
      <c r="G861" s="122"/>
      <c r="H861" s="115"/>
      <c r="I861" s="115"/>
      <c r="J861" s="115"/>
      <c r="K861" s="115"/>
      <c r="L861" s="115"/>
    </row>
    <row r="862" spans="1:12">
      <c r="A862" s="115"/>
      <c r="B862" s="115"/>
      <c r="C862" s="115"/>
      <c r="D862" s="115"/>
      <c r="E862" s="115"/>
      <c r="F862" s="121"/>
      <c r="G862" s="122"/>
      <c r="H862" s="115"/>
      <c r="I862" s="115"/>
      <c r="J862" s="115"/>
      <c r="K862" s="115"/>
      <c r="L862" s="115"/>
    </row>
    <row r="863" spans="1:12">
      <c r="A863" s="115"/>
      <c r="B863" s="115"/>
      <c r="C863" s="115"/>
      <c r="D863" s="115"/>
      <c r="E863" s="115"/>
      <c r="F863" s="121"/>
      <c r="G863" s="122"/>
      <c r="H863" s="115"/>
      <c r="I863" s="115"/>
      <c r="J863" s="115"/>
      <c r="K863" s="115"/>
      <c r="L863" s="115"/>
    </row>
    <row r="864" spans="1:12">
      <c r="A864" s="115"/>
      <c r="B864" s="115"/>
      <c r="C864" s="115"/>
      <c r="D864" s="115"/>
      <c r="E864" s="115"/>
      <c r="F864" s="121"/>
      <c r="G864" s="122"/>
      <c r="H864" s="115"/>
      <c r="I864" s="115"/>
      <c r="J864" s="115"/>
      <c r="K864" s="115"/>
      <c r="L864" s="115"/>
    </row>
    <row r="865" spans="1:12">
      <c r="A865" s="115"/>
      <c r="B865" s="115"/>
      <c r="C865" s="115"/>
      <c r="D865" s="115"/>
      <c r="E865" s="115"/>
      <c r="F865" s="121"/>
      <c r="G865" s="122"/>
      <c r="H865" s="115"/>
      <c r="I865" s="115"/>
      <c r="J865" s="115"/>
      <c r="K865" s="115"/>
      <c r="L865" s="115"/>
    </row>
    <row r="866" spans="1:12">
      <c r="A866" s="115"/>
      <c r="B866" s="115"/>
      <c r="C866" s="115"/>
      <c r="D866" s="115"/>
      <c r="E866" s="115"/>
      <c r="F866" s="121"/>
      <c r="G866" s="122"/>
      <c r="H866" s="115"/>
      <c r="I866" s="115"/>
      <c r="J866" s="115"/>
      <c r="K866" s="115"/>
      <c r="L866" s="115"/>
    </row>
    <row r="867" spans="1:12">
      <c r="A867" s="115"/>
      <c r="B867" s="115"/>
      <c r="C867" s="115"/>
      <c r="D867" s="115"/>
      <c r="E867" s="115"/>
      <c r="F867" s="121"/>
      <c r="G867" s="122"/>
      <c r="H867" s="115"/>
      <c r="I867" s="115"/>
      <c r="J867" s="115"/>
      <c r="K867" s="115"/>
      <c r="L867" s="115"/>
    </row>
    <row r="868" spans="1:12">
      <c r="A868" s="115"/>
      <c r="B868" s="115"/>
      <c r="C868" s="115"/>
      <c r="D868" s="115"/>
      <c r="E868" s="115"/>
      <c r="F868" s="121"/>
      <c r="G868" s="122"/>
      <c r="H868" s="115"/>
      <c r="I868" s="115"/>
      <c r="J868" s="115"/>
      <c r="K868" s="115"/>
      <c r="L868" s="115"/>
    </row>
    <row r="869" spans="1:12">
      <c r="A869" s="115"/>
      <c r="B869" s="115"/>
      <c r="C869" s="115"/>
      <c r="D869" s="115"/>
      <c r="E869" s="115"/>
      <c r="F869" s="121"/>
      <c r="G869" s="122"/>
      <c r="H869" s="115"/>
      <c r="I869" s="115"/>
      <c r="J869" s="115"/>
      <c r="K869" s="115"/>
      <c r="L869" s="115"/>
    </row>
    <row r="870" spans="1:12">
      <c r="A870" s="115"/>
      <c r="B870" s="115"/>
      <c r="C870" s="115"/>
      <c r="D870" s="115"/>
      <c r="E870" s="115"/>
      <c r="F870" s="121"/>
      <c r="G870" s="122"/>
      <c r="H870" s="115"/>
      <c r="I870" s="115"/>
      <c r="J870" s="115"/>
      <c r="K870" s="115"/>
      <c r="L870" s="115"/>
    </row>
    <row r="871" spans="1:12">
      <c r="A871" s="115"/>
      <c r="B871" s="115"/>
      <c r="C871" s="115"/>
      <c r="D871" s="115"/>
      <c r="E871" s="115"/>
      <c r="F871" s="121"/>
      <c r="G871" s="122"/>
      <c r="H871" s="115"/>
      <c r="I871" s="115"/>
      <c r="J871" s="115"/>
      <c r="K871" s="115"/>
      <c r="L871" s="115"/>
    </row>
    <row r="872" spans="1:12">
      <c r="A872" s="115"/>
      <c r="B872" s="115"/>
      <c r="C872" s="115"/>
      <c r="D872" s="115"/>
      <c r="E872" s="115"/>
      <c r="F872" s="121"/>
      <c r="G872" s="122"/>
      <c r="H872" s="115"/>
      <c r="I872" s="115"/>
      <c r="J872" s="115"/>
      <c r="K872" s="115"/>
      <c r="L872" s="115"/>
    </row>
    <row r="873" spans="1:12">
      <c r="A873" s="115"/>
      <c r="B873" s="115"/>
      <c r="C873" s="115"/>
      <c r="D873" s="115"/>
      <c r="E873" s="115"/>
      <c r="F873" s="121"/>
      <c r="G873" s="122"/>
      <c r="H873" s="115"/>
      <c r="I873" s="115"/>
      <c r="J873" s="115"/>
      <c r="K873" s="115"/>
      <c r="L873" s="115"/>
    </row>
    <row r="874" spans="1:12">
      <c r="A874" s="115"/>
      <c r="B874" s="115"/>
      <c r="C874" s="115"/>
      <c r="D874" s="115"/>
      <c r="E874" s="115"/>
      <c r="F874" s="121"/>
      <c r="G874" s="122"/>
      <c r="H874" s="115"/>
      <c r="I874" s="115"/>
      <c r="J874" s="115"/>
      <c r="K874" s="115"/>
      <c r="L874" s="115"/>
    </row>
    <row r="875" spans="1:12">
      <c r="A875" s="115"/>
      <c r="B875" s="115"/>
      <c r="C875" s="115"/>
      <c r="D875" s="115"/>
      <c r="E875" s="115"/>
      <c r="F875" s="121"/>
      <c r="G875" s="122"/>
      <c r="H875" s="115"/>
      <c r="I875" s="115"/>
      <c r="J875" s="115"/>
      <c r="K875" s="115"/>
      <c r="L875" s="115"/>
    </row>
    <row r="876" spans="1:12">
      <c r="A876" s="115"/>
      <c r="B876" s="115"/>
      <c r="C876" s="115"/>
      <c r="D876" s="115"/>
      <c r="E876" s="115"/>
      <c r="F876" s="121"/>
      <c r="G876" s="122"/>
      <c r="H876" s="115"/>
      <c r="I876" s="115"/>
      <c r="J876" s="115"/>
      <c r="K876" s="115"/>
      <c r="L876" s="115"/>
    </row>
    <row r="877" spans="1:12">
      <c r="A877" s="115"/>
      <c r="B877" s="115"/>
      <c r="C877" s="115"/>
      <c r="D877" s="115"/>
      <c r="E877" s="115"/>
      <c r="F877" s="121"/>
      <c r="G877" s="122"/>
      <c r="H877" s="115"/>
      <c r="I877" s="115"/>
      <c r="J877" s="115"/>
      <c r="K877" s="115"/>
      <c r="L877" s="115"/>
    </row>
    <row r="878" spans="1:12">
      <c r="A878" s="115"/>
      <c r="B878" s="115"/>
      <c r="C878" s="115"/>
      <c r="D878" s="115"/>
      <c r="E878" s="115"/>
      <c r="F878" s="121"/>
      <c r="G878" s="122"/>
      <c r="H878" s="115"/>
      <c r="I878" s="115"/>
      <c r="J878" s="115"/>
      <c r="K878" s="115"/>
      <c r="L878" s="115"/>
    </row>
    <row r="879" spans="1:12">
      <c r="A879" s="115"/>
      <c r="B879" s="115"/>
      <c r="C879" s="115"/>
      <c r="D879" s="115"/>
      <c r="E879" s="115"/>
      <c r="F879" s="121"/>
      <c r="G879" s="122"/>
      <c r="H879" s="115"/>
      <c r="I879" s="115"/>
      <c r="J879" s="115"/>
      <c r="K879" s="115"/>
      <c r="L879" s="115"/>
    </row>
    <row r="880" spans="1:12">
      <c r="A880" s="115"/>
      <c r="B880" s="115"/>
      <c r="C880" s="115"/>
      <c r="D880" s="115"/>
      <c r="E880" s="115"/>
      <c r="F880" s="121"/>
      <c r="G880" s="122"/>
      <c r="H880" s="115"/>
      <c r="I880" s="115"/>
      <c r="J880" s="115"/>
      <c r="K880" s="115"/>
      <c r="L880" s="115"/>
    </row>
    <row r="881" spans="1:12">
      <c r="A881" s="115"/>
      <c r="B881" s="115"/>
      <c r="C881" s="115"/>
      <c r="D881" s="115"/>
      <c r="E881" s="115"/>
      <c r="F881" s="121"/>
      <c r="G881" s="122"/>
      <c r="H881" s="115"/>
      <c r="I881" s="115"/>
      <c r="J881" s="115"/>
      <c r="K881" s="115"/>
      <c r="L881" s="115"/>
    </row>
    <row r="882" spans="1:12">
      <c r="A882" s="115"/>
      <c r="B882" s="115"/>
      <c r="C882" s="115"/>
      <c r="D882" s="115"/>
      <c r="E882" s="115"/>
      <c r="F882" s="121"/>
      <c r="G882" s="122"/>
      <c r="H882" s="115"/>
      <c r="I882" s="115"/>
      <c r="J882" s="115"/>
      <c r="K882" s="115"/>
      <c r="L882" s="115"/>
    </row>
    <row r="883" spans="1:12">
      <c r="A883" s="115"/>
      <c r="B883" s="115"/>
      <c r="C883" s="115"/>
      <c r="D883" s="115"/>
      <c r="E883" s="115"/>
      <c r="F883" s="121"/>
      <c r="G883" s="122"/>
      <c r="H883" s="115"/>
      <c r="I883" s="115"/>
      <c r="J883" s="115"/>
      <c r="K883" s="115"/>
      <c r="L883" s="115"/>
    </row>
    <row r="884" spans="1:12">
      <c r="A884" s="115"/>
      <c r="B884" s="115"/>
      <c r="C884" s="115"/>
      <c r="D884" s="115"/>
      <c r="E884" s="115"/>
      <c r="F884" s="121"/>
      <c r="G884" s="122"/>
      <c r="H884" s="115"/>
      <c r="I884" s="115"/>
      <c r="J884" s="115"/>
      <c r="K884" s="115"/>
      <c r="L884" s="115"/>
    </row>
    <row r="885" spans="1:12">
      <c r="A885" s="115"/>
      <c r="B885" s="115"/>
      <c r="C885" s="115"/>
      <c r="D885" s="115"/>
      <c r="E885" s="115"/>
      <c r="F885" s="121"/>
      <c r="G885" s="122"/>
      <c r="H885" s="115"/>
      <c r="I885" s="115"/>
      <c r="J885" s="115"/>
      <c r="K885" s="115"/>
      <c r="L885" s="115"/>
    </row>
    <row r="886" spans="1:12">
      <c r="A886" s="115"/>
      <c r="B886" s="115"/>
      <c r="C886" s="115"/>
      <c r="D886" s="115"/>
      <c r="E886" s="115"/>
      <c r="F886" s="121"/>
      <c r="G886" s="122"/>
      <c r="H886" s="115"/>
      <c r="I886" s="115"/>
      <c r="J886" s="115"/>
      <c r="K886" s="115"/>
      <c r="L886" s="115"/>
    </row>
    <row r="887" spans="1:12">
      <c r="A887" s="115"/>
      <c r="B887" s="115"/>
      <c r="C887" s="115"/>
      <c r="D887" s="115"/>
      <c r="E887" s="115"/>
      <c r="F887" s="121"/>
      <c r="G887" s="122"/>
      <c r="H887" s="115"/>
      <c r="I887" s="115"/>
      <c r="J887" s="115"/>
      <c r="K887" s="115"/>
      <c r="L887" s="115"/>
    </row>
    <row r="888" spans="1:12">
      <c r="A888" s="115"/>
      <c r="B888" s="115"/>
      <c r="C888" s="115"/>
      <c r="D888" s="115"/>
      <c r="E888" s="115"/>
      <c r="F888" s="121"/>
      <c r="G888" s="122"/>
      <c r="H888" s="115"/>
      <c r="I888" s="115"/>
      <c r="J888" s="115"/>
      <c r="K888" s="115"/>
      <c r="L888" s="115"/>
    </row>
    <row r="889" spans="1:12">
      <c r="A889" s="115"/>
      <c r="B889" s="115"/>
      <c r="C889" s="115"/>
      <c r="D889" s="115"/>
      <c r="E889" s="115"/>
      <c r="F889" s="121"/>
      <c r="G889" s="122"/>
      <c r="H889" s="115"/>
      <c r="I889" s="115"/>
      <c r="J889" s="115"/>
      <c r="K889" s="115"/>
      <c r="L889" s="115"/>
    </row>
    <row r="890" spans="1:12">
      <c r="A890" s="115"/>
      <c r="B890" s="115"/>
      <c r="C890" s="115"/>
      <c r="D890" s="115"/>
      <c r="E890" s="115"/>
      <c r="F890" s="121"/>
      <c r="G890" s="122"/>
      <c r="H890" s="115"/>
      <c r="I890" s="115"/>
      <c r="J890" s="115"/>
      <c r="K890" s="115"/>
      <c r="L890" s="115"/>
    </row>
    <row r="891" spans="1:12">
      <c r="A891" s="115"/>
      <c r="B891" s="115"/>
      <c r="C891" s="115"/>
      <c r="D891" s="115"/>
      <c r="E891" s="115"/>
      <c r="F891" s="121"/>
      <c r="G891" s="122"/>
      <c r="H891" s="115"/>
      <c r="I891" s="115"/>
      <c r="J891" s="115"/>
      <c r="K891" s="115"/>
      <c r="L891" s="115"/>
    </row>
    <row r="892" spans="1:12">
      <c r="A892" s="115"/>
      <c r="B892" s="115"/>
      <c r="C892" s="115"/>
      <c r="D892" s="115"/>
      <c r="E892" s="115"/>
      <c r="F892" s="121"/>
      <c r="G892" s="122"/>
      <c r="H892" s="115"/>
      <c r="I892" s="115"/>
      <c r="J892" s="115"/>
      <c r="K892" s="115"/>
      <c r="L892" s="115"/>
    </row>
    <row r="893" spans="1:12">
      <c r="A893" s="115"/>
      <c r="B893" s="115"/>
      <c r="C893" s="115"/>
      <c r="D893" s="115"/>
      <c r="E893" s="115"/>
      <c r="F893" s="121"/>
      <c r="G893" s="122"/>
      <c r="H893" s="115"/>
      <c r="I893" s="115"/>
      <c r="J893" s="115"/>
      <c r="K893" s="115"/>
      <c r="L893" s="115"/>
    </row>
    <row r="894" spans="1:12">
      <c r="A894" s="115"/>
      <c r="B894" s="115"/>
      <c r="C894" s="115"/>
      <c r="D894" s="115"/>
      <c r="E894" s="115"/>
      <c r="F894" s="121"/>
      <c r="G894" s="122"/>
      <c r="H894" s="115"/>
      <c r="I894" s="115"/>
      <c r="J894" s="115"/>
      <c r="K894" s="115"/>
      <c r="L894" s="115"/>
    </row>
    <row r="895" spans="1:12">
      <c r="A895" s="115"/>
      <c r="B895" s="115"/>
      <c r="C895" s="115"/>
      <c r="D895" s="115"/>
      <c r="E895" s="115"/>
      <c r="F895" s="121"/>
      <c r="G895" s="122"/>
      <c r="H895" s="115"/>
      <c r="I895" s="115"/>
      <c r="J895" s="115"/>
      <c r="K895" s="115"/>
      <c r="L895" s="115"/>
    </row>
    <row r="896" spans="1:12">
      <c r="A896" s="115"/>
      <c r="B896" s="115"/>
      <c r="C896" s="115"/>
      <c r="D896" s="115"/>
      <c r="E896" s="115"/>
      <c r="F896" s="121"/>
      <c r="G896" s="122"/>
      <c r="H896" s="115"/>
      <c r="I896" s="115"/>
      <c r="J896" s="115"/>
      <c r="K896" s="115"/>
      <c r="L896" s="115"/>
    </row>
    <row r="897" spans="1:12">
      <c r="A897" s="115"/>
      <c r="B897" s="115"/>
      <c r="C897" s="115"/>
      <c r="D897" s="115"/>
      <c r="E897" s="115"/>
      <c r="F897" s="121"/>
      <c r="G897" s="122"/>
      <c r="H897" s="115"/>
      <c r="I897" s="115"/>
      <c r="J897" s="115"/>
      <c r="K897" s="115"/>
      <c r="L897" s="115"/>
    </row>
    <row r="898" spans="1:12">
      <c r="A898" s="115"/>
      <c r="B898" s="115"/>
      <c r="C898" s="115"/>
      <c r="D898" s="115"/>
      <c r="E898" s="115"/>
      <c r="F898" s="121"/>
      <c r="G898" s="122"/>
      <c r="H898" s="115"/>
      <c r="I898" s="115"/>
      <c r="J898" s="115"/>
      <c r="K898" s="115"/>
      <c r="L898" s="115"/>
    </row>
    <row r="899" spans="1:12">
      <c r="A899" s="115"/>
      <c r="B899" s="115"/>
      <c r="C899" s="115"/>
      <c r="D899" s="115"/>
      <c r="E899" s="115"/>
      <c r="F899" s="121"/>
      <c r="G899" s="122"/>
      <c r="H899" s="115"/>
      <c r="I899" s="115"/>
      <c r="J899" s="115"/>
      <c r="K899" s="115"/>
      <c r="L899" s="115"/>
    </row>
    <row r="900" spans="1:12">
      <c r="A900" s="115"/>
      <c r="B900" s="115"/>
      <c r="C900" s="115"/>
      <c r="D900" s="115"/>
      <c r="E900" s="115"/>
      <c r="F900" s="121"/>
      <c r="G900" s="122"/>
      <c r="H900" s="115"/>
      <c r="I900" s="115"/>
      <c r="J900" s="115"/>
      <c r="K900" s="115"/>
      <c r="L900" s="115"/>
    </row>
    <row r="901" spans="1:12">
      <c r="A901" s="115"/>
      <c r="B901" s="115"/>
      <c r="C901" s="115"/>
      <c r="D901" s="115"/>
      <c r="E901" s="115"/>
      <c r="F901" s="121"/>
      <c r="G901" s="122"/>
      <c r="H901" s="115"/>
      <c r="I901" s="115"/>
      <c r="J901" s="115"/>
      <c r="K901" s="115"/>
      <c r="L901" s="115"/>
    </row>
    <row r="902" spans="1:12">
      <c r="A902" s="115"/>
      <c r="B902" s="115"/>
      <c r="C902" s="115"/>
      <c r="D902" s="115"/>
      <c r="E902" s="115"/>
      <c r="F902" s="121"/>
      <c r="G902" s="122"/>
      <c r="H902" s="115"/>
      <c r="I902" s="115"/>
      <c r="J902" s="115"/>
      <c r="K902" s="115"/>
      <c r="L902" s="115"/>
    </row>
    <row r="903" spans="1:12">
      <c r="A903" s="115"/>
      <c r="B903" s="115"/>
      <c r="C903" s="115"/>
      <c r="D903" s="115"/>
      <c r="E903" s="115"/>
      <c r="F903" s="121"/>
      <c r="G903" s="122"/>
      <c r="H903" s="115"/>
      <c r="I903" s="115"/>
      <c r="J903" s="115"/>
      <c r="K903" s="115"/>
      <c r="L903" s="115"/>
    </row>
    <row r="904" spans="1:12">
      <c r="A904" s="115"/>
      <c r="B904" s="115"/>
      <c r="C904" s="115"/>
      <c r="D904" s="115"/>
      <c r="E904" s="115"/>
      <c r="F904" s="121"/>
      <c r="G904" s="122"/>
      <c r="H904" s="115"/>
      <c r="I904" s="115"/>
      <c r="J904" s="115"/>
      <c r="K904" s="115"/>
      <c r="L904" s="115"/>
    </row>
    <row r="905" spans="1:12">
      <c r="A905" s="115"/>
      <c r="B905" s="115"/>
      <c r="C905" s="115"/>
      <c r="D905" s="115"/>
      <c r="E905" s="115"/>
      <c r="F905" s="121"/>
      <c r="G905" s="122"/>
      <c r="H905" s="115"/>
      <c r="I905" s="115"/>
      <c r="J905" s="115"/>
      <c r="K905" s="115"/>
      <c r="L905" s="115"/>
    </row>
    <row r="906" spans="1:12">
      <c r="A906" s="115"/>
      <c r="B906" s="115"/>
      <c r="C906" s="115"/>
      <c r="D906" s="115"/>
      <c r="E906" s="115"/>
      <c r="F906" s="121"/>
      <c r="G906" s="122"/>
      <c r="H906" s="115"/>
      <c r="I906" s="115"/>
      <c r="J906" s="115"/>
      <c r="K906" s="115"/>
      <c r="L906" s="115"/>
    </row>
    <row r="907" spans="1:12">
      <c r="A907" s="115"/>
      <c r="B907" s="115"/>
      <c r="C907" s="115"/>
      <c r="D907" s="115"/>
      <c r="E907" s="115"/>
      <c r="F907" s="121"/>
      <c r="G907" s="122"/>
      <c r="H907" s="115"/>
      <c r="I907" s="115"/>
      <c r="J907" s="115"/>
      <c r="K907" s="115"/>
      <c r="L907" s="115"/>
    </row>
    <row r="908" spans="1:12">
      <c r="A908" s="115"/>
      <c r="B908" s="115"/>
      <c r="C908" s="115"/>
      <c r="D908" s="115"/>
      <c r="E908" s="115"/>
      <c r="F908" s="121"/>
      <c r="G908" s="122"/>
      <c r="H908" s="115"/>
      <c r="I908" s="115"/>
      <c r="J908" s="115"/>
      <c r="K908" s="115"/>
      <c r="L908" s="115"/>
    </row>
    <row r="909" spans="1:12">
      <c r="A909" s="115"/>
      <c r="B909" s="115"/>
      <c r="C909" s="115"/>
      <c r="D909" s="115"/>
      <c r="E909" s="115"/>
      <c r="F909" s="121"/>
      <c r="G909" s="122"/>
      <c r="H909" s="115"/>
      <c r="I909" s="115"/>
      <c r="J909" s="115"/>
      <c r="K909" s="115"/>
      <c r="L909" s="115"/>
    </row>
    <row r="910" spans="1:12">
      <c r="A910" s="115"/>
      <c r="B910" s="115"/>
      <c r="C910" s="115"/>
      <c r="D910" s="115"/>
      <c r="E910" s="115"/>
      <c r="F910" s="121"/>
      <c r="G910" s="122"/>
      <c r="H910" s="115"/>
      <c r="I910" s="115"/>
      <c r="J910" s="115"/>
      <c r="K910" s="115"/>
      <c r="L910" s="115"/>
    </row>
    <row r="911" spans="1:12">
      <c r="A911" s="115"/>
      <c r="B911" s="115"/>
      <c r="C911" s="115"/>
      <c r="D911" s="115"/>
      <c r="E911" s="115"/>
      <c r="F911" s="121"/>
      <c r="G911" s="122"/>
      <c r="H911" s="115"/>
      <c r="I911" s="115"/>
      <c r="J911" s="115"/>
      <c r="K911" s="115"/>
      <c r="L911" s="115"/>
    </row>
    <row r="912" spans="1:12">
      <c r="A912" s="115"/>
      <c r="B912" s="115"/>
      <c r="C912" s="115"/>
      <c r="D912" s="115"/>
      <c r="E912" s="115"/>
      <c r="F912" s="121"/>
      <c r="G912" s="122"/>
      <c r="H912" s="115"/>
      <c r="I912" s="115"/>
      <c r="J912" s="115"/>
      <c r="K912" s="115"/>
      <c r="L912" s="115"/>
    </row>
    <row r="913" spans="1:12">
      <c r="A913" s="115"/>
      <c r="B913" s="115"/>
      <c r="C913" s="115"/>
      <c r="D913" s="115"/>
      <c r="E913" s="115"/>
      <c r="F913" s="121"/>
      <c r="G913" s="122"/>
      <c r="H913" s="115"/>
      <c r="I913" s="115"/>
      <c r="J913" s="115"/>
      <c r="K913" s="115"/>
      <c r="L913" s="115"/>
    </row>
    <row r="914" spans="1:12">
      <c r="A914" s="115"/>
      <c r="B914" s="115"/>
      <c r="C914" s="115"/>
      <c r="D914" s="115"/>
      <c r="E914" s="115"/>
      <c r="F914" s="121"/>
      <c r="G914" s="122"/>
      <c r="H914" s="115"/>
      <c r="I914" s="115"/>
      <c r="J914" s="115"/>
      <c r="K914" s="115"/>
      <c r="L914" s="115"/>
    </row>
    <row r="915" spans="1:12">
      <c r="A915" s="115"/>
      <c r="B915" s="115"/>
      <c r="C915" s="115"/>
      <c r="D915" s="115"/>
      <c r="E915" s="115"/>
      <c r="F915" s="121"/>
      <c r="G915" s="122"/>
      <c r="H915" s="115"/>
      <c r="I915" s="115"/>
      <c r="J915" s="115"/>
      <c r="K915" s="115"/>
      <c r="L915" s="115"/>
    </row>
    <row r="916" spans="1:12">
      <c r="A916" s="115"/>
      <c r="B916" s="115"/>
      <c r="C916" s="115"/>
      <c r="D916" s="115"/>
      <c r="E916" s="115"/>
      <c r="F916" s="121"/>
      <c r="G916" s="122"/>
      <c r="H916" s="115"/>
      <c r="I916" s="115"/>
      <c r="J916" s="115"/>
      <c r="K916" s="115"/>
      <c r="L916" s="115"/>
    </row>
    <row r="917" spans="1:12">
      <c r="A917" s="115"/>
      <c r="B917" s="115"/>
      <c r="C917" s="115"/>
      <c r="D917" s="115"/>
      <c r="E917" s="115"/>
      <c r="F917" s="121"/>
      <c r="G917" s="122"/>
      <c r="H917" s="115"/>
      <c r="I917" s="115"/>
      <c r="J917" s="115"/>
      <c r="K917" s="115"/>
      <c r="L917" s="115"/>
    </row>
    <row r="918" spans="1:12">
      <c r="A918" s="115"/>
      <c r="B918" s="115"/>
      <c r="C918" s="115"/>
      <c r="D918" s="115"/>
      <c r="E918" s="115"/>
      <c r="F918" s="121"/>
      <c r="G918" s="122"/>
      <c r="H918" s="115"/>
      <c r="I918" s="115"/>
      <c r="J918" s="115"/>
      <c r="K918" s="115"/>
      <c r="L918" s="115"/>
    </row>
    <row r="919" spans="1:12">
      <c r="A919" s="115"/>
      <c r="B919" s="115"/>
      <c r="C919" s="115"/>
      <c r="D919" s="115"/>
      <c r="E919" s="115"/>
      <c r="F919" s="121"/>
      <c r="G919" s="122"/>
      <c r="H919" s="115"/>
      <c r="I919" s="115"/>
      <c r="J919" s="115"/>
      <c r="K919" s="115"/>
      <c r="L919" s="115"/>
    </row>
    <row r="920" spans="1:12">
      <c r="A920" s="115"/>
      <c r="B920" s="115"/>
      <c r="C920" s="115"/>
      <c r="D920" s="115"/>
      <c r="E920" s="115"/>
      <c r="F920" s="121"/>
      <c r="G920" s="122"/>
      <c r="H920" s="115"/>
      <c r="I920" s="115"/>
      <c r="J920" s="115"/>
      <c r="K920" s="115"/>
      <c r="L920" s="115"/>
    </row>
    <row r="921" spans="1:12">
      <c r="A921" s="115"/>
      <c r="B921" s="115"/>
      <c r="C921" s="115"/>
      <c r="D921" s="115"/>
      <c r="E921" s="115"/>
      <c r="F921" s="121"/>
      <c r="G921" s="122"/>
      <c r="H921" s="115"/>
      <c r="I921" s="115"/>
      <c r="J921" s="115"/>
      <c r="K921" s="115"/>
      <c r="L921" s="115"/>
    </row>
    <row r="922" spans="1:12">
      <c r="A922" s="115"/>
      <c r="B922" s="115"/>
      <c r="C922" s="115"/>
      <c r="D922" s="115"/>
      <c r="E922" s="115"/>
      <c r="F922" s="121"/>
      <c r="G922" s="122"/>
      <c r="H922" s="115"/>
      <c r="I922" s="115"/>
      <c r="J922" s="115"/>
      <c r="K922" s="115"/>
      <c r="L922" s="115"/>
    </row>
    <row r="923" spans="1:12">
      <c r="A923" s="115"/>
      <c r="B923" s="115"/>
      <c r="C923" s="115"/>
      <c r="D923" s="115"/>
      <c r="E923" s="115"/>
      <c r="F923" s="121"/>
      <c r="G923" s="122"/>
      <c r="H923" s="115"/>
      <c r="I923" s="115"/>
      <c r="J923" s="115"/>
      <c r="K923" s="115"/>
      <c r="L923" s="115"/>
    </row>
    <row r="924" spans="1:12">
      <c r="A924" s="115"/>
      <c r="B924" s="115"/>
      <c r="C924" s="115"/>
      <c r="D924" s="115"/>
      <c r="E924" s="115"/>
      <c r="F924" s="121"/>
      <c r="G924" s="122"/>
      <c r="H924" s="115"/>
      <c r="I924" s="115"/>
      <c r="J924" s="115"/>
      <c r="K924" s="115"/>
      <c r="L924" s="115"/>
    </row>
    <row r="925" spans="1:12">
      <c r="A925" s="115"/>
      <c r="B925" s="115"/>
      <c r="C925" s="115"/>
      <c r="D925" s="115"/>
      <c r="E925" s="115"/>
      <c r="F925" s="121"/>
      <c r="G925" s="122"/>
      <c r="H925" s="115"/>
      <c r="I925" s="115"/>
      <c r="J925" s="115"/>
      <c r="K925" s="115"/>
      <c r="L925" s="115"/>
    </row>
    <row r="926" spans="1:12">
      <c r="A926" s="115"/>
      <c r="B926" s="115"/>
      <c r="C926" s="115"/>
      <c r="D926" s="115"/>
      <c r="E926" s="115"/>
      <c r="F926" s="121"/>
      <c r="G926" s="122"/>
      <c r="H926" s="115"/>
      <c r="I926" s="115"/>
      <c r="J926" s="115"/>
      <c r="K926" s="115"/>
      <c r="L926" s="115"/>
    </row>
    <row r="927" spans="1:12">
      <c r="A927" s="115"/>
      <c r="B927" s="115"/>
      <c r="C927" s="115"/>
      <c r="D927" s="115"/>
      <c r="E927" s="115"/>
      <c r="F927" s="121"/>
      <c r="G927" s="122"/>
      <c r="H927" s="115"/>
      <c r="I927" s="115"/>
      <c r="J927" s="115"/>
      <c r="K927" s="115"/>
      <c r="L927" s="115"/>
    </row>
    <row r="928" spans="1:12">
      <c r="A928" s="115"/>
      <c r="B928" s="115"/>
      <c r="C928" s="115"/>
      <c r="D928" s="115"/>
      <c r="E928" s="115"/>
      <c r="F928" s="121"/>
      <c r="G928" s="122"/>
      <c r="H928" s="115"/>
      <c r="I928" s="115"/>
      <c r="J928" s="115"/>
      <c r="K928" s="115"/>
      <c r="L928" s="115"/>
    </row>
    <row r="929" spans="1:12">
      <c r="A929" s="115"/>
      <c r="B929" s="115"/>
      <c r="C929" s="115"/>
      <c r="D929" s="115"/>
      <c r="E929" s="115"/>
      <c r="F929" s="121"/>
      <c r="G929" s="122"/>
      <c r="H929" s="115"/>
      <c r="I929" s="115"/>
      <c r="J929" s="115"/>
      <c r="K929" s="115"/>
      <c r="L929" s="115"/>
    </row>
    <row r="930" spans="1:12">
      <c r="A930" s="115"/>
      <c r="B930" s="115"/>
      <c r="C930" s="115"/>
      <c r="D930" s="115"/>
      <c r="E930" s="115"/>
      <c r="F930" s="121"/>
      <c r="G930" s="122"/>
      <c r="H930" s="115"/>
      <c r="I930" s="115"/>
      <c r="J930" s="115"/>
      <c r="K930" s="115"/>
      <c r="L930" s="115"/>
    </row>
    <row r="931" spans="1:12">
      <c r="A931" s="115"/>
      <c r="B931" s="115"/>
      <c r="C931" s="115"/>
      <c r="D931" s="115"/>
      <c r="E931" s="115"/>
      <c r="F931" s="121"/>
      <c r="G931" s="122"/>
      <c r="H931" s="115"/>
      <c r="I931" s="115"/>
      <c r="J931" s="115"/>
      <c r="K931" s="115"/>
      <c r="L931" s="115"/>
    </row>
    <row r="932" spans="1:12">
      <c r="A932" s="115"/>
      <c r="B932" s="115"/>
      <c r="C932" s="115"/>
      <c r="D932" s="115"/>
      <c r="E932" s="115"/>
      <c r="F932" s="121"/>
      <c r="G932" s="122"/>
      <c r="H932" s="115"/>
      <c r="I932" s="115"/>
      <c r="J932" s="115"/>
      <c r="K932" s="115"/>
      <c r="L932" s="115"/>
    </row>
    <row r="933" spans="1:12">
      <c r="A933" s="115"/>
      <c r="B933" s="115"/>
      <c r="C933" s="115"/>
      <c r="D933" s="115"/>
      <c r="E933" s="115"/>
      <c r="F933" s="121"/>
      <c r="G933" s="122"/>
      <c r="H933" s="115"/>
      <c r="I933" s="115"/>
      <c r="J933" s="115"/>
      <c r="K933" s="115"/>
      <c r="L933" s="115"/>
    </row>
    <row r="934" spans="1:12">
      <c r="A934" s="115"/>
      <c r="B934" s="115"/>
      <c r="C934" s="115"/>
      <c r="D934" s="115"/>
      <c r="E934" s="115"/>
      <c r="F934" s="121"/>
      <c r="G934" s="122"/>
      <c r="H934" s="115"/>
      <c r="I934" s="115"/>
      <c r="J934" s="115"/>
      <c r="K934" s="115"/>
      <c r="L934" s="115"/>
    </row>
    <row r="935" spans="1:12">
      <c r="A935" s="115"/>
      <c r="B935" s="115"/>
      <c r="C935" s="115"/>
      <c r="D935" s="115"/>
      <c r="E935" s="115"/>
      <c r="F935" s="121"/>
      <c r="G935" s="122"/>
      <c r="H935" s="115"/>
      <c r="I935" s="115"/>
      <c r="J935" s="115"/>
      <c r="K935" s="115"/>
      <c r="L935" s="115"/>
    </row>
    <row r="936" spans="1:12">
      <c r="A936" s="115"/>
      <c r="B936" s="115"/>
      <c r="C936" s="115"/>
      <c r="D936" s="115"/>
      <c r="E936" s="115"/>
      <c r="F936" s="121"/>
      <c r="G936" s="122"/>
      <c r="H936" s="115"/>
      <c r="I936" s="115"/>
      <c r="J936" s="115"/>
      <c r="K936" s="115"/>
      <c r="L936" s="115"/>
    </row>
    <row r="937" spans="1:12">
      <c r="A937" s="115"/>
      <c r="B937" s="115"/>
      <c r="C937" s="115"/>
      <c r="D937" s="115"/>
      <c r="E937" s="115"/>
      <c r="F937" s="121"/>
      <c r="G937" s="122"/>
      <c r="H937" s="115"/>
      <c r="I937" s="115"/>
      <c r="J937" s="115"/>
      <c r="K937" s="115"/>
      <c r="L937" s="115"/>
    </row>
    <row r="938" spans="1:12">
      <c r="A938" s="115"/>
      <c r="B938" s="115"/>
      <c r="C938" s="115"/>
      <c r="D938" s="115"/>
      <c r="E938" s="115"/>
      <c r="F938" s="121"/>
      <c r="G938" s="122"/>
      <c r="H938" s="115"/>
      <c r="I938" s="115"/>
      <c r="J938" s="115"/>
      <c r="K938" s="115"/>
      <c r="L938" s="115"/>
    </row>
    <row r="939" spans="1:12">
      <c r="A939" s="115"/>
      <c r="B939" s="115"/>
      <c r="C939" s="115"/>
      <c r="D939" s="115"/>
      <c r="E939" s="115"/>
      <c r="F939" s="121"/>
      <c r="G939" s="122"/>
      <c r="H939" s="115"/>
      <c r="I939" s="115"/>
      <c r="J939" s="115"/>
      <c r="K939" s="115"/>
      <c r="L939" s="115"/>
    </row>
    <row r="940" spans="1:12">
      <c r="A940" s="115"/>
      <c r="B940" s="115"/>
      <c r="C940" s="115"/>
      <c r="D940" s="115"/>
      <c r="E940" s="115"/>
      <c r="F940" s="121"/>
      <c r="G940" s="122"/>
      <c r="H940" s="115"/>
      <c r="I940" s="115"/>
      <c r="J940" s="115"/>
      <c r="K940" s="115"/>
      <c r="L940" s="115"/>
    </row>
    <row r="941" spans="1:12">
      <c r="A941" s="115"/>
      <c r="B941" s="115"/>
      <c r="C941" s="115"/>
      <c r="D941" s="115"/>
      <c r="E941" s="115"/>
      <c r="F941" s="121"/>
      <c r="G941" s="122"/>
      <c r="H941" s="115"/>
      <c r="I941" s="115"/>
      <c r="J941" s="115"/>
      <c r="K941" s="115"/>
      <c r="L941" s="115"/>
    </row>
    <row r="942" spans="1:12">
      <c r="A942" s="115"/>
      <c r="B942" s="115"/>
      <c r="C942" s="115"/>
      <c r="D942" s="115"/>
      <c r="E942" s="115"/>
      <c r="F942" s="121"/>
      <c r="G942" s="122"/>
      <c r="H942" s="115"/>
      <c r="I942" s="115"/>
      <c r="J942" s="115"/>
      <c r="K942" s="115"/>
      <c r="L942" s="115"/>
    </row>
    <row r="943" spans="1:12">
      <c r="A943" s="115"/>
      <c r="B943" s="115"/>
      <c r="C943" s="115"/>
      <c r="D943" s="115"/>
      <c r="E943" s="115"/>
      <c r="F943" s="121"/>
      <c r="G943" s="122"/>
      <c r="H943" s="115"/>
      <c r="I943" s="115"/>
      <c r="J943" s="115"/>
      <c r="K943" s="115"/>
      <c r="L943" s="115"/>
    </row>
    <row r="944" spans="1:12">
      <c r="A944" s="115"/>
      <c r="B944" s="115"/>
      <c r="C944" s="115"/>
      <c r="D944" s="115"/>
      <c r="E944" s="115"/>
      <c r="F944" s="121"/>
      <c r="G944" s="122"/>
      <c r="H944" s="115"/>
      <c r="I944" s="115"/>
      <c r="J944" s="115"/>
      <c r="K944" s="115"/>
      <c r="L944" s="115"/>
    </row>
    <row r="945" spans="1:12">
      <c r="A945" s="115"/>
      <c r="B945" s="115"/>
      <c r="C945" s="115"/>
      <c r="D945" s="115"/>
      <c r="E945" s="115"/>
      <c r="F945" s="121"/>
      <c r="G945" s="122"/>
      <c r="H945" s="115"/>
      <c r="I945" s="115"/>
      <c r="J945" s="115"/>
      <c r="K945" s="115"/>
      <c r="L945" s="115"/>
    </row>
    <row r="946" spans="1:12">
      <c r="A946" s="115"/>
      <c r="B946" s="115"/>
      <c r="C946" s="115"/>
      <c r="D946" s="115"/>
      <c r="E946" s="115"/>
      <c r="F946" s="121"/>
      <c r="G946" s="122"/>
      <c r="H946" s="115"/>
      <c r="I946" s="115"/>
      <c r="J946" s="115"/>
      <c r="K946" s="115"/>
      <c r="L946" s="115"/>
    </row>
    <row r="947" spans="1:12">
      <c r="A947" s="115"/>
      <c r="B947" s="115"/>
      <c r="C947" s="115"/>
      <c r="D947" s="115"/>
      <c r="E947" s="115"/>
      <c r="F947" s="121"/>
      <c r="G947" s="122"/>
      <c r="H947" s="115"/>
      <c r="I947" s="115"/>
      <c r="J947" s="115"/>
      <c r="K947" s="115"/>
      <c r="L947" s="115"/>
    </row>
    <row r="948" spans="1:12">
      <c r="A948" s="115"/>
      <c r="B948" s="115"/>
      <c r="C948" s="115"/>
      <c r="D948" s="115"/>
      <c r="E948" s="115"/>
      <c r="F948" s="121"/>
      <c r="G948" s="122"/>
      <c r="H948" s="115"/>
      <c r="I948" s="115"/>
      <c r="J948" s="115"/>
      <c r="K948" s="115"/>
      <c r="L948" s="115"/>
    </row>
    <row r="949" spans="1:12">
      <c r="A949" s="115"/>
      <c r="B949" s="115"/>
      <c r="C949" s="115"/>
      <c r="D949" s="115"/>
      <c r="E949" s="115"/>
      <c r="F949" s="121"/>
      <c r="G949" s="122"/>
      <c r="H949" s="115"/>
      <c r="I949" s="115"/>
      <c r="J949" s="115"/>
      <c r="K949" s="115"/>
      <c r="L949" s="115"/>
    </row>
    <row r="950" spans="1:12">
      <c r="A950" s="115"/>
      <c r="B950" s="115"/>
      <c r="C950" s="115"/>
      <c r="D950" s="115"/>
      <c r="E950" s="115"/>
      <c r="F950" s="121"/>
      <c r="G950" s="122"/>
      <c r="H950" s="115"/>
      <c r="I950" s="115"/>
      <c r="J950" s="115"/>
      <c r="K950" s="115"/>
      <c r="L950" s="115"/>
    </row>
    <row r="951" spans="1:12">
      <c r="A951" s="115"/>
      <c r="B951" s="115"/>
      <c r="C951" s="115"/>
      <c r="D951" s="115"/>
      <c r="E951" s="115"/>
      <c r="F951" s="121"/>
      <c r="G951" s="122"/>
      <c r="H951" s="115"/>
      <c r="I951" s="115"/>
      <c r="J951" s="115"/>
      <c r="K951" s="115"/>
      <c r="L951" s="115"/>
    </row>
    <row r="952" spans="1:12">
      <c r="A952" s="115"/>
      <c r="B952" s="115"/>
      <c r="C952" s="115"/>
      <c r="D952" s="115"/>
      <c r="E952" s="115"/>
      <c r="F952" s="121"/>
      <c r="G952" s="122"/>
      <c r="H952" s="115"/>
      <c r="I952" s="115"/>
      <c r="J952" s="115"/>
      <c r="K952" s="115"/>
      <c r="L952" s="115"/>
    </row>
    <row r="953" spans="1:12">
      <c r="A953" s="115"/>
      <c r="B953" s="115"/>
      <c r="C953" s="115"/>
      <c r="D953" s="115"/>
      <c r="E953" s="115"/>
      <c r="F953" s="121"/>
      <c r="G953" s="122"/>
      <c r="H953" s="115"/>
      <c r="I953" s="115"/>
      <c r="J953" s="115"/>
      <c r="K953" s="115"/>
      <c r="L953" s="115"/>
    </row>
    <row r="954" spans="1:12">
      <c r="A954" s="115"/>
      <c r="B954" s="115"/>
      <c r="C954" s="115"/>
      <c r="D954" s="115"/>
      <c r="E954" s="115"/>
      <c r="F954" s="121"/>
      <c r="G954" s="122"/>
      <c r="H954" s="115"/>
      <c r="I954" s="115"/>
      <c r="J954" s="115"/>
      <c r="K954" s="115"/>
      <c r="L954" s="115"/>
    </row>
    <row r="955" spans="1:12">
      <c r="A955" s="115"/>
      <c r="B955" s="115"/>
      <c r="C955" s="115"/>
      <c r="D955" s="115"/>
      <c r="E955" s="115"/>
      <c r="F955" s="121"/>
      <c r="G955" s="122"/>
      <c r="H955" s="115"/>
      <c r="I955" s="115"/>
      <c r="J955" s="115"/>
      <c r="K955" s="115"/>
      <c r="L955" s="115"/>
    </row>
    <row r="956" spans="1:12">
      <c r="A956" s="115"/>
      <c r="B956" s="115"/>
      <c r="C956" s="115"/>
      <c r="D956" s="115"/>
      <c r="E956" s="115"/>
      <c r="F956" s="121"/>
      <c r="G956" s="122"/>
      <c r="H956" s="115"/>
      <c r="I956" s="115"/>
      <c r="J956" s="115"/>
      <c r="K956" s="115"/>
      <c r="L956" s="115"/>
    </row>
    <row r="957" spans="1:12">
      <c r="A957" s="115"/>
      <c r="B957" s="115"/>
      <c r="C957" s="115"/>
      <c r="D957" s="115"/>
      <c r="E957" s="115"/>
      <c r="F957" s="121"/>
      <c r="G957" s="122"/>
      <c r="H957" s="115"/>
      <c r="I957" s="115"/>
      <c r="J957" s="115"/>
      <c r="K957" s="115"/>
      <c r="L957" s="115"/>
    </row>
    <row r="958" spans="1:12">
      <c r="A958" s="115"/>
      <c r="B958" s="115"/>
      <c r="C958" s="115"/>
      <c r="D958" s="115"/>
      <c r="E958" s="115"/>
      <c r="F958" s="121"/>
      <c r="G958" s="122"/>
      <c r="H958" s="115"/>
      <c r="I958" s="115"/>
      <c r="J958" s="115"/>
      <c r="K958" s="115"/>
      <c r="L958" s="115"/>
    </row>
    <row r="959" spans="1:12">
      <c r="A959" s="115"/>
      <c r="B959" s="115"/>
      <c r="C959" s="115"/>
      <c r="D959" s="115"/>
      <c r="E959" s="115"/>
      <c r="F959" s="121"/>
      <c r="G959" s="122"/>
      <c r="H959" s="115"/>
      <c r="I959" s="115"/>
      <c r="J959" s="115"/>
      <c r="K959" s="115"/>
      <c r="L959" s="115"/>
    </row>
    <row r="960" spans="1:12">
      <c r="A960" s="115"/>
      <c r="B960" s="115"/>
      <c r="C960" s="115"/>
      <c r="D960" s="115"/>
      <c r="E960" s="115"/>
      <c r="F960" s="121"/>
      <c r="G960" s="122"/>
      <c r="H960" s="115"/>
      <c r="I960" s="115"/>
      <c r="J960" s="115"/>
      <c r="K960" s="115"/>
      <c r="L960" s="115"/>
    </row>
    <row r="961" spans="1:12">
      <c r="A961" s="115"/>
      <c r="B961" s="115"/>
      <c r="C961" s="115"/>
      <c r="D961" s="115"/>
      <c r="E961" s="115"/>
      <c r="F961" s="121"/>
      <c r="G961" s="122"/>
      <c r="H961" s="115"/>
      <c r="I961" s="115"/>
      <c r="J961" s="115"/>
      <c r="K961" s="115"/>
      <c r="L961" s="115"/>
    </row>
    <row r="962" spans="1:12">
      <c r="A962" s="115"/>
      <c r="B962" s="115"/>
      <c r="C962" s="115"/>
      <c r="D962" s="115"/>
      <c r="E962" s="115"/>
      <c r="F962" s="121"/>
      <c r="G962" s="122"/>
      <c r="H962" s="115"/>
      <c r="I962" s="115"/>
      <c r="J962" s="115"/>
      <c r="K962" s="115"/>
      <c r="L962" s="115"/>
    </row>
    <row r="963" spans="1:12">
      <c r="A963" s="115"/>
      <c r="B963" s="115"/>
      <c r="C963" s="115"/>
      <c r="D963" s="115"/>
      <c r="E963" s="115"/>
      <c r="F963" s="121"/>
      <c r="G963" s="122"/>
      <c r="H963" s="115"/>
      <c r="I963" s="115"/>
      <c r="J963" s="115"/>
      <c r="K963" s="115"/>
      <c r="L963" s="115"/>
    </row>
    <row r="964" spans="1:12">
      <c r="A964" s="115"/>
      <c r="B964" s="115"/>
      <c r="C964" s="115"/>
      <c r="D964" s="115"/>
      <c r="E964" s="115"/>
      <c r="F964" s="121"/>
      <c r="G964" s="122"/>
      <c r="H964" s="115"/>
      <c r="I964" s="115"/>
      <c r="J964" s="115"/>
      <c r="K964" s="115"/>
      <c r="L964" s="115"/>
    </row>
    <row r="965" spans="1:12">
      <c r="A965" s="115"/>
      <c r="B965" s="115"/>
      <c r="C965" s="115"/>
      <c r="D965" s="115"/>
      <c r="E965" s="115"/>
      <c r="F965" s="121"/>
      <c r="G965" s="122"/>
      <c r="H965" s="115"/>
      <c r="I965" s="115"/>
      <c r="J965" s="115"/>
      <c r="K965" s="115"/>
      <c r="L965" s="115"/>
    </row>
    <row r="966" spans="1:12">
      <c r="A966" s="115"/>
      <c r="B966" s="115"/>
      <c r="C966" s="115"/>
      <c r="D966" s="115"/>
      <c r="E966" s="115"/>
      <c r="F966" s="121"/>
      <c r="G966" s="122"/>
      <c r="H966" s="115"/>
      <c r="I966" s="115"/>
      <c r="J966" s="115"/>
      <c r="K966" s="115"/>
      <c r="L966" s="115"/>
    </row>
    <row r="967" spans="1:12">
      <c r="A967" s="115"/>
      <c r="B967" s="115"/>
      <c r="C967" s="115"/>
      <c r="D967" s="115"/>
      <c r="E967" s="115"/>
      <c r="F967" s="121"/>
      <c r="G967" s="122"/>
      <c r="H967" s="115"/>
      <c r="I967" s="115"/>
      <c r="J967" s="115"/>
      <c r="K967" s="115"/>
      <c r="L967" s="115"/>
    </row>
    <row r="968" spans="1:12">
      <c r="A968" s="115"/>
      <c r="B968" s="115"/>
      <c r="C968" s="115"/>
      <c r="D968" s="115"/>
      <c r="E968" s="115"/>
      <c r="F968" s="121"/>
      <c r="G968" s="122"/>
      <c r="H968" s="115"/>
      <c r="I968" s="115"/>
      <c r="J968" s="115"/>
      <c r="K968" s="115"/>
      <c r="L968" s="115"/>
    </row>
    <row r="969" spans="1:12">
      <c r="A969" s="115"/>
      <c r="B969" s="115"/>
      <c r="C969" s="115"/>
      <c r="D969" s="115"/>
      <c r="E969" s="115"/>
      <c r="F969" s="121"/>
      <c r="G969" s="122"/>
      <c r="H969" s="115"/>
      <c r="I969" s="115"/>
      <c r="J969" s="115"/>
      <c r="K969" s="115"/>
      <c r="L969" s="115"/>
    </row>
    <row r="970" spans="1:12">
      <c r="A970" s="115"/>
      <c r="B970" s="115"/>
      <c r="C970" s="115"/>
      <c r="D970" s="115"/>
      <c r="E970" s="115"/>
      <c r="F970" s="121"/>
      <c r="G970" s="122"/>
      <c r="H970" s="115"/>
      <c r="I970" s="115"/>
      <c r="J970" s="115"/>
      <c r="K970" s="115"/>
      <c r="L970" s="115"/>
    </row>
    <row r="971" spans="1:12">
      <c r="A971" s="115"/>
      <c r="B971" s="115"/>
      <c r="C971" s="115"/>
      <c r="D971" s="115"/>
      <c r="E971" s="115"/>
      <c r="F971" s="121"/>
      <c r="G971" s="122"/>
      <c r="H971" s="115"/>
      <c r="I971" s="115"/>
      <c r="J971" s="115"/>
      <c r="K971" s="115"/>
      <c r="L971" s="115"/>
    </row>
    <row r="972" spans="1:12">
      <c r="A972" s="115"/>
      <c r="B972" s="115"/>
      <c r="C972" s="115"/>
      <c r="D972" s="115"/>
      <c r="E972" s="115"/>
      <c r="F972" s="121"/>
      <c r="G972" s="122"/>
      <c r="H972" s="115"/>
      <c r="I972" s="115"/>
      <c r="J972" s="115"/>
      <c r="K972" s="115"/>
      <c r="L972" s="115"/>
    </row>
    <row r="973" spans="1:12">
      <c r="A973" s="115"/>
      <c r="B973" s="115"/>
      <c r="C973" s="115"/>
      <c r="D973" s="115"/>
      <c r="E973" s="115"/>
      <c r="F973" s="121"/>
      <c r="G973" s="122"/>
      <c r="H973" s="115"/>
      <c r="I973" s="115"/>
      <c r="J973" s="115"/>
      <c r="K973" s="115"/>
      <c r="L973" s="115"/>
    </row>
    <row r="974" spans="1:12">
      <c r="A974" s="115"/>
      <c r="B974" s="115"/>
      <c r="C974" s="115"/>
      <c r="D974" s="115"/>
      <c r="E974" s="115"/>
      <c r="F974" s="121"/>
      <c r="G974" s="122"/>
      <c r="H974" s="115"/>
      <c r="I974" s="115"/>
      <c r="J974" s="115"/>
      <c r="K974" s="115"/>
      <c r="L974" s="115"/>
    </row>
    <row r="975" spans="1:12">
      <c r="A975" s="115"/>
      <c r="B975" s="115"/>
      <c r="C975" s="115"/>
      <c r="D975" s="115"/>
      <c r="E975" s="115"/>
      <c r="F975" s="121"/>
      <c r="G975" s="122"/>
      <c r="H975" s="115"/>
      <c r="I975" s="115"/>
      <c r="J975" s="115"/>
      <c r="K975" s="115"/>
      <c r="L975" s="115"/>
    </row>
    <row r="976" spans="1:12">
      <c r="A976" s="115"/>
      <c r="B976" s="115"/>
      <c r="C976" s="115"/>
      <c r="D976" s="115"/>
      <c r="E976" s="115"/>
      <c r="F976" s="121"/>
      <c r="G976" s="122"/>
      <c r="H976" s="115"/>
      <c r="I976" s="115"/>
      <c r="J976" s="115"/>
      <c r="K976" s="115"/>
      <c r="L976" s="115"/>
    </row>
    <row r="977" spans="1:12">
      <c r="A977" s="115"/>
      <c r="B977" s="115"/>
      <c r="C977" s="115"/>
      <c r="D977" s="115"/>
      <c r="E977" s="115"/>
      <c r="F977" s="121"/>
      <c r="G977" s="122"/>
      <c r="H977" s="115"/>
      <c r="I977" s="115"/>
      <c r="J977" s="115"/>
      <c r="K977" s="115"/>
      <c r="L977" s="115"/>
    </row>
    <row r="978" spans="1:12">
      <c r="A978" s="115"/>
      <c r="B978" s="115"/>
      <c r="C978" s="115"/>
      <c r="D978" s="115"/>
      <c r="E978" s="115"/>
      <c r="F978" s="121"/>
      <c r="G978" s="122"/>
      <c r="H978" s="115"/>
      <c r="I978" s="115"/>
      <c r="J978" s="115"/>
      <c r="K978" s="115"/>
      <c r="L978" s="115"/>
    </row>
    <row r="979" spans="1:12">
      <c r="A979" s="115"/>
      <c r="B979" s="115"/>
      <c r="C979" s="115"/>
      <c r="D979" s="115"/>
      <c r="E979" s="115"/>
      <c r="F979" s="121"/>
      <c r="G979" s="122"/>
      <c r="H979" s="115"/>
      <c r="I979" s="115"/>
      <c r="J979" s="115"/>
      <c r="K979" s="115"/>
      <c r="L979" s="115"/>
    </row>
    <row r="980" spans="1:12">
      <c r="A980" s="115"/>
      <c r="B980" s="115"/>
      <c r="C980" s="115"/>
      <c r="D980" s="115"/>
      <c r="E980" s="115"/>
      <c r="F980" s="121"/>
      <c r="G980" s="122"/>
      <c r="H980" s="115"/>
      <c r="I980" s="115"/>
      <c r="J980" s="115"/>
      <c r="K980" s="115"/>
      <c r="L980" s="115"/>
    </row>
    <row r="981" spans="1:12">
      <c r="A981" s="115"/>
      <c r="B981" s="115"/>
      <c r="C981" s="115"/>
      <c r="D981" s="115"/>
      <c r="E981" s="115"/>
      <c r="F981" s="121"/>
      <c r="G981" s="122"/>
      <c r="H981" s="115"/>
      <c r="I981" s="115"/>
      <c r="J981" s="115"/>
      <c r="K981" s="115"/>
      <c r="L981" s="115"/>
    </row>
    <row r="982" spans="1:12">
      <c r="A982" s="115"/>
      <c r="B982" s="115"/>
      <c r="C982" s="115"/>
      <c r="D982" s="115"/>
      <c r="E982" s="115"/>
      <c r="F982" s="121"/>
      <c r="G982" s="122"/>
      <c r="H982" s="115"/>
      <c r="I982" s="115"/>
      <c r="J982" s="115"/>
      <c r="K982" s="115"/>
      <c r="L982" s="115"/>
    </row>
    <row r="983" spans="1:12">
      <c r="A983" s="115"/>
      <c r="B983" s="115"/>
      <c r="C983" s="115"/>
      <c r="D983" s="115"/>
      <c r="E983" s="115"/>
      <c r="F983" s="121"/>
      <c r="G983" s="122"/>
      <c r="H983" s="115"/>
      <c r="I983" s="115"/>
      <c r="J983" s="115"/>
      <c r="K983" s="115"/>
      <c r="L983" s="115"/>
    </row>
    <row r="984" spans="1:12">
      <c r="A984" s="115"/>
      <c r="B984" s="115"/>
      <c r="C984" s="115"/>
      <c r="D984" s="115"/>
      <c r="E984" s="115"/>
      <c r="F984" s="121"/>
      <c r="G984" s="122"/>
      <c r="H984" s="115"/>
      <c r="I984" s="115"/>
      <c r="J984" s="115"/>
      <c r="K984" s="115"/>
      <c r="L984" s="115"/>
    </row>
    <row r="985" spans="1:12">
      <c r="A985" s="115"/>
      <c r="B985" s="115"/>
      <c r="C985" s="115"/>
      <c r="D985" s="115"/>
      <c r="E985" s="115"/>
      <c r="F985" s="121"/>
      <c r="G985" s="122"/>
      <c r="H985" s="115"/>
      <c r="I985" s="115"/>
      <c r="J985" s="115"/>
      <c r="K985" s="115"/>
      <c r="L985" s="115"/>
    </row>
    <row r="986" spans="1:12">
      <c r="A986" s="115"/>
      <c r="B986" s="115"/>
      <c r="C986" s="115"/>
      <c r="D986" s="115"/>
      <c r="E986" s="115"/>
      <c r="F986" s="121"/>
      <c r="G986" s="122"/>
      <c r="H986" s="115"/>
      <c r="I986" s="115"/>
      <c r="J986" s="115"/>
      <c r="K986" s="115"/>
      <c r="L986" s="115"/>
    </row>
    <row r="987" spans="1:12">
      <c r="A987" s="115"/>
      <c r="B987" s="115"/>
      <c r="C987" s="115"/>
      <c r="D987" s="115"/>
      <c r="E987" s="115"/>
      <c r="F987" s="121"/>
      <c r="G987" s="122"/>
      <c r="H987" s="115"/>
      <c r="I987" s="115"/>
      <c r="J987" s="115"/>
      <c r="K987" s="115"/>
      <c r="L987" s="115"/>
    </row>
    <row r="988" spans="1:12">
      <c r="A988" s="115"/>
      <c r="B988" s="115"/>
      <c r="C988" s="115"/>
      <c r="D988" s="115"/>
      <c r="E988" s="115"/>
      <c r="F988" s="121"/>
      <c r="G988" s="122"/>
      <c r="H988" s="115"/>
      <c r="I988" s="115"/>
      <c r="J988" s="115"/>
      <c r="K988" s="115"/>
      <c r="L988" s="115"/>
    </row>
    <row r="989" spans="1:12">
      <c r="A989" s="115"/>
      <c r="B989" s="115"/>
      <c r="C989" s="115"/>
      <c r="D989" s="115"/>
      <c r="E989" s="115"/>
      <c r="F989" s="121"/>
      <c r="G989" s="122"/>
      <c r="H989" s="115"/>
      <c r="I989" s="115"/>
      <c r="J989" s="115"/>
      <c r="K989" s="115"/>
      <c r="L989" s="115"/>
    </row>
    <row r="990" spans="1:12">
      <c r="A990" s="115"/>
      <c r="B990" s="115"/>
      <c r="C990" s="115"/>
      <c r="D990" s="115"/>
      <c r="E990" s="115"/>
      <c r="F990" s="121"/>
      <c r="G990" s="122"/>
      <c r="H990" s="115"/>
      <c r="I990" s="115"/>
      <c r="J990" s="115"/>
      <c r="K990" s="115"/>
      <c r="L990" s="115"/>
    </row>
    <row r="991" spans="1:12">
      <c r="A991" s="115"/>
      <c r="B991" s="115"/>
      <c r="C991" s="115"/>
      <c r="D991" s="115"/>
      <c r="E991" s="115"/>
      <c r="F991" s="121"/>
      <c r="G991" s="122"/>
      <c r="H991" s="115"/>
      <c r="I991" s="115"/>
      <c r="J991" s="115"/>
      <c r="K991" s="115"/>
      <c r="L991" s="115"/>
    </row>
    <row r="992" spans="1:12">
      <c r="A992" s="115"/>
      <c r="B992" s="115"/>
      <c r="C992" s="115"/>
      <c r="D992" s="115"/>
      <c r="E992" s="115"/>
      <c r="F992" s="121"/>
      <c r="G992" s="122"/>
      <c r="H992" s="115"/>
      <c r="I992" s="115"/>
      <c r="J992" s="115"/>
      <c r="K992" s="115"/>
      <c r="L992" s="115"/>
    </row>
    <row r="993" spans="1:12">
      <c r="A993" s="115"/>
      <c r="B993" s="115"/>
      <c r="C993" s="115"/>
      <c r="D993" s="115"/>
      <c r="E993" s="115"/>
      <c r="F993" s="121"/>
      <c r="G993" s="122"/>
      <c r="H993" s="115"/>
      <c r="I993" s="115"/>
      <c r="J993" s="115"/>
      <c r="K993" s="115"/>
      <c r="L993" s="115"/>
    </row>
    <row r="994" spans="1:12">
      <c r="A994" s="115"/>
      <c r="B994" s="115"/>
      <c r="C994" s="115"/>
      <c r="D994" s="115"/>
      <c r="E994" s="115"/>
      <c r="F994" s="121"/>
      <c r="G994" s="122"/>
      <c r="H994" s="115"/>
      <c r="I994" s="115"/>
      <c r="J994" s="115"/>
      <c r="K994" s="115"/>
      <c r="L994" s="115"/>
    </row>
    <row r="995" spans="1:12">
      <c r="A995" s="115"/>
      <c r="B995" s="115"/>
      <c r="C995" s="115"/>
      <c r="D995" s="115"/>
      <c r="E995" s="115"/>
      <c r="F995" s="121"/>
      <c r="G995" s="122"/>
      <c r="H995" s="115"/>
      <c r="I995" s="115"/>
      <c r="J995" s="115"/>
      <c r="K995" s="115"/>
      <c r="L995" s="115"/>
    </row>
    <row r="996" spans="1:12">
      <c r="A996" s="115"/>
      <c r="B996" s="115"/>
      <c r="C996" s="115"/>
      <c r="D996" s="115"/>
      <c r="E996" s="115"/>
      <c r="F996" s="121"/>
      <c r="G996" s="122"/>
      <c r="H996" s="115"/>
      <c r="I996" s="115"/>
      <c r="J996" s="115"/>
      <c r="K996" s="115"/>
      <c r="L996" s="115"/>
    </row>
    <row r="997" spans="1:12">
      <c r="A997" s="115"/>
      <c r="B997" s="115"/>
      <c r="C997" s="115"/>
      <c r="D997" s="115"/>
      <c r="E997" s="115"/>
      <c r="F997" s="121"/>
      <c r="G997" s="122"/>
      <c r="H997" s="115"/>
      <c r="I997" s="115"/>
      <c r="J997" s="115"/>
      <c r="K997" s="115"/>
      <c r="L997" s="115"/>
    </row>
    <row r="998" spans="1:12">
      <c r="A998" s="115"/>
      <c r="B998" s="115"/>
      <c r="C998" s="115"/>
      <c r="D998" s="115"/>
      <c r="E998" s="115"/>
      <c r="F998" s="121"/>
      <c r="G998" s="122"/>
      <c r="H998" s="115"/>
      <c r="I998" s="115"/>
      <c r="J998" s="115"/>
      <c r="K998" s="115"/>
      <c r="L998" s="115"/>
    </row>
    <row r="999" spans="1:12">
      <c r="A999" s="115"/>
      <c r="B999" s="115"/>
      <c r="C999" s="115"/>
      <c r="D999" s="115"/>
      <c r="E999" s="115"/>
      <c r="F999" s="121"/>
      <c r="G999" s="122"/>
      <c r="H999" s="115"/>
      <c r="I999" s="115"/>
      <c r="J999" s="115"/>
      <c r="K999" s="115"/>
      <c r="L999" s="115"/>
    </row>
    <row r="1000" spans="1:12">
      <c r="A1000" s="115"/>
      <c r="B1000" s="115"/>
      <c r="C1000" s="115"/>
      <c r="D1000" s="115"/>
      <c r="E1000" s="115"/>
      <c r="F1000" s="121"/>
      <c r="G1000" s="122"/>
      <c r="H1000" s="115"/>
      <c r="I1000" s="115"/>
      <c r="J1000" s="115"/>
      <c r="K1000" s="115"/>
      <c r="L1000" s="115"/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74"/>
  <sheetViews>
    <sheetView workbookViewId="0"/>
  </sheetViews>
  <sheetFormatPr baseColWidth="10" defaultColWidth="14.42578125" defaultRowHeight="15" customHeight="1"/>
  <cols>
    <col min="1" max="1" width="17.85546875" customWidth="1"/>
    <col min="2" max="2" width="51.28515625" customWidth="1"/>
    <col min="3" max="3" width="25.140625" customWidth="1"/>
    <col min="4" max="4" width="26.85546875" customWidth="1"/>
    <col min="5" max="5" width="19.42578125" customWidth="1"/>
    <col min="6" max="6" width="21.7109375" customWidth="1"/>
    <col min="7" max="7" width="21.140625" customWidth="1"/>
    <col min="8" max="8" width="21.28515625" customWidth="1"/>
    <col min="9" max="9" width="25.5703125" customWidth="1"/>
    <col min="10" max="10" width="29.85546875" customWidth="1"/>
    <col min="11" max="11" width="20.85546875" customWidth="1"/>
    <col min="12" max="12" width="21.28515625" customWidth="1"/>
    <col min="13" max="13" width="19.5703125" customWidth="1"/>
    <col min="14" max="14" width="19.42578125" customWidth="1"/>
    <col min="15" max="15" width="18.5703125" customWidth="1"/>
    <col min="16" max="16" width="23" customWidth="1"/>
    <col min="17" max="17" width="18.85546875" customWidth="1"/>
    <col min="18" max="18" width="14" customWidth="1"/>
    <col min="19" max="26" width="10.7109375" customWidth="1"/>
  </cols>
  <sheetData>
    <row r="1" spans="1:18" ht="15.75">
      <c r="A1" s="123" t="s">
        <v>255</v>
      </c>
      <c r="B1" s="36"/>
      <c r="C1" s="37"/>
      <c r="D1" s="37"/>
      <c r="E1" s="37"/>
      <c r="F1" s="37"/>
      <c r="G1" s="37"/>
      <c r="H1" s="36"/>
      <c r="I1" s="38"/>
      <c r="J1" s="38"/>
      <c r="K1" s="36"/>
      <c r="L1" s="36"/>
      <c r="M1" s="38"/>
      <c r="N1" s="38"/>
      <c r="O1" s="38"/>
      <c r="P1" s="36"/>
      <c r="Q1" s="36"/>
    </row>
    <row r="2" spans="1:18" ht="15.75">
      <c r="A2" s="36"/>
      <c r="B2" s="36"/>
      <c r="C2" s="37"/>
      <c r="D2" s="37"/>
      <c r="E2" s="37"/>
      <c r="F2" s="37"/>
      <c r="G2" s="37"/>
      <c r="H2" s="36"/>
      <c r="I2" s="38"/>
      <c r="J2" s="38"/>
      <c r="K2" s="36"/>
      <c r="L2" s="36"/>
      <c r="M2" s="38"/>
      <c r="N2" s="38"/>
      <c r="O2" s="38"/>
      <c r="P2" s="36"/>
      <c r="Q2" s="36"/>
    </row>
    <row r="3" spans="1:18" ht="15.75">
      <c r="A3" s="36"/>
      <c r="B3" s="36"/>
      <c r="C3" s="37"/>
      <c r="D3" s="37"/>
      <c r="E3" s="37"/>
      <c r="F3" s="37"/>
      <c r="G3" s="37"/>
      <c r="H3" s="36"/>
      <c r="I3" s="38"/>
      <c r="J3" s="38"/>
      <c r="K3" s="36"/>
      <c r="L3" s="36"/>
      <c r="M3" s="38"/>
      <c r="N3" s="38"/>
      <c r="O3" s="38"/>
      <c r="P3" s="36"/>
      <c r="Q3" s="36"/>
    </row>
    <row r="4" spans="1:18" ht="15.75">
      <c r="A4" s="36"/>
      <c r="B4" s="36"/>
      <c r="C4" s="152" t="s">
        <v>0</v>
      </c>
      <c r="D4" s="153"/>
      <c r="E4" s="153"/>
      <c r="F4" s="153"/>
      <c r="G4" s="153"/>
      <c r="H4" s="36"/>
      <c r="I4" s="38"/>
      <c r="J4" s="38"/>
      <c r="K4" s="36"/>
      <c r="L4" s="36"/>
      <c r="M4" s="38"/>
      <c r="N4" s="38"/>
      <c r="O4" s="38"/>
      <c r="P4" s="36"/>
      <c r="Q4" s="36"/>
    </row>
    <row r="5" spans="1:18" ht="15.75">
      <c r="A5" s="36"/>
      <c r="B5" s="36"/>
      <c r="C5" s="152" t="s">
        <v>1</v>
      </c>
      <c r="D5" s="153"/>
      <c r="E5" s="153"/>
      <c r="F5" s="153"/>
      <c r="G5" s="153"/>
      <c r="H5" s="36"/>
      <c r="I5" s="38"/>
      <c r="J5" s="38"/>
      <c r="K5" s="36"/>
      <c r="L5" s="36"/>
      <c r="M5" s="38"/>
      <c r="N5" s="38"/>
      <c r="O5" s="38"/>
      <c r="P5" s="36"/>
      <c r="Q5" s="36"/>
    </row>
    <row r="6" spans="1:18" ht="15.75">
      <c r="A6" s="36"/>
      <c r="B6" s="36"/>
      <c r="C6" s="152" t="s">
        <v>2</v>
      </c>
      <c r="D6" s="153"/>
      <c r="E6" s="153"/>
      <c r="F6" s="153"/>
      <c r="G6" s="153"/>
      <c r="H6" s="36"/>
      <c r="I6" s="38"/>
      <c r="J6" s="38"/>
      <c r="K6" s="36"/>
      <c r="L6" s="36"/>
      <c r="M6" s="38"/>
      <c r="N6" s="38"/>
      <c r="O6" s="38"/>
      <c r="P6" s="36"/>
      <c r="Q6" s="36"/>
    </row>
    <row r="7" spans="1:18" ht="15.75">
      <c r="A7" s="36"/>
      <c r="B7" s="36"/>
      <c r="C7" s="152"/>
      <c r="D7" s="153"/>
      <c r="E7" s="153"/>
      <c r="F7" s="153"/>
      <c r="G7" s="153"/>
      <c r="H7" s="36"/>
      <c r="I7" s="38"/>
      <c r="J7" s="38"/>
      <c r="K7" s="36"/>
      <c r="L7" s="36"/>
      <c r="M7" s="38"/>
      <c r="N7" s="38"/>
      <c r="O7" s="38"/>
      <c r="P7" s="36"/>
      <c r="Q7" s="36"/>
    </row>
    <row r="8" spans="1:18" ht="15.75">
      <c r="A8" s="36"/>
      <c r="B8" s="36"/>
      <c r="C8" s="39"/>
      <c r="D8" s="39"/>
      <c r="E8" s="39"/>
      <c r="F8" s="39"/>
      <c r="G8" s="39"/>
      <c r="H8" s="36"/>
      <c r="I8" s="38"/>
      <c r="J8" s="38"/>
      <c r="K8" s="36"/>
      <c r="L8" s="36"/>
      <c r="M8" s="38"/>
      <c r="N8" s="38"/>
      <c r="O8" s="38"/>
      <c r="P8" s="36"/>
      <c r="Q8" s="36"/>
    </row>
    <row r="9" spans="1:18" ht="15.75">
      <c r="A9" s="36"/>
      <c r="B9" s="36"/>
      <c r="C9" s="37"/>
      <c r="D9" s="37"/>
      <c r="E9" s="37"/>
      <c r="F9" s="37"/>
      <c r="G9" s="37"/>
      <c r="H9" s="36"/>
      <c r="I9" s="38"/>
      <c r="J9" s="38"/>
      <c r="K9" s="36"/>
      <c r="L9" s="36"/>
      <c r="M9" s="38"/>
      <c r="N9" s="38"/>
      <c r="O9" s="38"/>
      <c r="P9" s="36"/>
      <c r="Q9" s="36"/>
    </row>
    <row r="10" spans="1:18" ht="15.75">
      <c r="A10" s="36"/>
      <c r="B10" s="36"/>
      <c r="C10" s="37"/>
      <c r="D10" s="37"/>
      <c r="E10" s="37"/>
      <c r="F10" s="37"/>
      <c r="G10" s="37"/>
      <c r="H10" s="36"/>
      <c r="I10" s="38"/>
      <c r="J10" s="38"/>
      <c r="K10" s="36"/>
      <c r="L10" s="36"/>
      <c r="M10" s="38"/>
      <c r="N10" s="38"/>
      <c r="O10" s="38"/>
      <c r="P10" s="36"/>
      <c r="Q10" s="36"/>
    </row>
    <row r="11" spans="1:18" ht="15.75">
      <c r="A11" s="36"/>
      <c r="B11" s="36"/>
      <c r="C11" s="37"/>
      <c r="D11" s="37"/>
      <c r="E11" s="37"/>
      <c r="F11" s="37"/>
      <c r="G11" s="37"/>
      <c r="H11" s="36"/>
      <c r="I11" s="38"/>
      <c r="J11" s="38"/>
      <c r="K11" s="36"/>
      <c r="L11" s="36"/>
      <c r="M11" s="38"/>
      <c r="N11" s="38"/>
      <c r="O11" s="38"/>
      <c r="P11" s="36"/>
      <c r="Q11" s="36"/>
    </row>
    <row r="12" spans="1:18" ht="15.75">
      <c r="A12" s="41"/>
      <c r="B12" s="41"/>
      <c r="C12" s="41"/>
      <c r="D12" s="41"/>
      <c r="E12" s="41"/>
      <c r="F12" s="41"/>
      <c r="G12" s="41"/>
      <c r="H12" s="41"/>
      <c r="I12" s="42"/>
      <c r="J12" s="42"/>
      <c r="K12" s="41"/>
      <c r="L12" s="41"/>
      <c r="M12" s="42"/>
      <c r="N12" s="42"/>
      <c r="O12" s="42"/>
      <c r="P12" s="41"/>
      <c r="Q12" s="41"/>
      <c r="R12" s="80"/>
    </row>
    <row r="13" spans="1:18" ht="15.75">
      <c r="A13" s="41"/>
      <c r="B13" s="2" t="s">
        <v>3</v>
      </c>
      <c r="C13" s="154" t="s">
        <v>4</v>
      </c>
      <c r="D13" s="155"/>
      <c r="E13" s="155"/>
      <c r="F13" s="155"/>
      <c r="G13" s="156"/>
      <c r="H13" s="1"/>
      <c r="I13" s="42"/>
      <c r="J13" s="42"/>
      <c r="K13" s="41"/>
      <c r="L13" s="41"/>
      <c r="M13" s="42"/>
      <c r="N13" s="42"/>
      <c r="O13" s="42"/>
      <c r="P13" s="41"/>
      <c r="Q13" s="41"/>
      <c r="R13" s="80"/>
    </row>
    <row r="14" spans="1:18" ht="15.75">
      <c r="A14" s="41"/>
      <c r="B14" s="2" t="s">
        <v>5</v>
      </c>
      <c r="C14" s="161" t="s">
        <v>256</v>
      </c>
      <c r="D14" s="155"/>
      <c r="E14" s="155"/>
      <c r="F14" s="155"/>
      <c r="G14" s="156"/>
      <c r="H14" s="43" t="s">
        <v>7</v>
      </c>
      <c r="I14" s="42"/>
      <c r="J14" s="42"/>
      <c r="K14" s="41"/>
      <c r="L14" s="41"/>
      <c r="M14" s="42"/>
      <c r="N14" s="42"/>
      <c r="O14" s="42"/>
      <c r="P14" s="41"/>
      <c r="Q14" s="41"/>
      <c r="R14" s="80"/>
    </row>
    <row r="15" spans="1:18" ht="15.75">
      <c r="A15" s="41"/>
      <c r="B15" s="2" t="s">
        <v>8</v>
      </c>
      <c r="C15" s="161" t="s">
        <v>9</v>
      </c>
      <c r="D15" s="155"/>
      <c r="E15" s="155"/>
      <c r="F15" s="155"/>
      <c r="G15" s="156"/>
      <c r="H15" s="43" t="s">
        <v>7</v>
      </c>
      <c r="I15" s="42"/>
      <c r="J15" s="42"/>
      <c r="K15" s="41"/>
      <c r="L15" s="41"/>
      <c r="M15" s="42"/>
      <c r="N15" s="42"/>
      <c r="O15" s="42"/>
      <c r="P15" s="41"/>
      <c r="Q15" s="41"/>
      <c r="R15" s="80"/>
    </row>
    <row r="16" spans="1:18" ht="15.75">
      <c r="A16" s="41"/>
      <c r="B16" s="2" t="s">
        <v>10</v>
      </c>
      <c r="C16" s="161" t="s">
        <v>11</v>
      </c>
      <c r="D16" s="155"/>
      <c r="E16" s="155"/>
      <c r="F16" s="155"/>
      <c r="G16" s="156"/>
      <c r="H16" s="1"/>
      <c r="I16" s="42"/>
      <c r="J16" s="42"/>
      <c r="K16" s="41"/>
      <c r="L16" s="41"/>
      <c r="M16" s="42"/>
      <c r="N16" s="42"/>
      <c r="O16" s="42"/>
      <c r="P16" s="41"/>
      <c r="Q16" s="41"/>
      <c r="R16" s="80"/>
    </row>
    <row r="17" spans="1:18" ht="15.75">
      <c r="A17" s="41"/>
      <c r="B17" s="2" t="s">
        <v>12</v>
      </c>
      <c r="C17" s="161" t="s">
        <v>13</v>
      </c>
      <c r="D17" s="155"/>
      <c r="E17" s="155"/>
      <c r="F17" s="155"/>
      <c r="G17" s="156"/>
      <c r="H17" s="43" t="s">
        <v>7</v>
      </c>
      <c r="I17" s="42"/>
      <c r="J17" s="42"/>
      <c r="K17" s="41"/>
      <c r="L17" s="41"/>
      <c r="M17" s="42"/>
      <c r="N17" s="42"/>
      <c r="O17" s="42"/>
      <c r="P17" s="41"/>
      <c r="Q17" s="41"/>
      <c r="R17" s="80"/>
    </row>
    <row r="18" spans="1:18" ht="15.75">
      <c r="A18" s="44"/>
      <c r="B18" s="2" t="s">
        <v>14</v>
      </c>
      <c r="C18" s="161" t="s">
        <v>15</v>
      </c>
      <c r="D18" s="155"/>
      <c r="E18" s="155"/>
      <c r="F18" s="155"/>
      <c r="G18" s="156"/>
      <c r="H18" s="43" t="s">
        <v>7</v>
      </c>
      <c r="I18" s="42"/>
      <c r="J18" s="42"/>
      <c r="K18" s="41"/>
      <c r="L18" s="41"/>
      <c r="M18" s="42"/>
      <c r="N18" s="42"/>
      <c r="O18" s="42"/>
      <c r="P18" s="41"/>
      <c r="Q18" s="41"/>
      <c r="R18" s="80"/>
    </row>
    <row r="19" spans="1:18" ht="15.75" hidden="1">
      <c r="A19" s="124"/>
      <c r="B19" s="2" t="s">
        <v>16</v>
      </c>
      <c r="C19" s="161"/>
      <c r="D19" s="155"/>
      <c r="E19" s="155"/>
      <c r="F19" s="155"/>
      <c r="G19" s="156"/>
      <c r="H19" s="1"/>
      <c r="I19" s="42"/>
      <c r="J19" s="42"/>
      <c r="K19" s="41"/>
      <c r="L19" s="41"/>
      <c r="M19" s="42"/>
      <c r="N19" s="42"/>
      <c r="O19" s="42"/>
      <c r="P19" s="41"/>
      <c r="Q19" s="41"/>
      <c r="R19" s="80"/>
    </row>
    <row r="20" spans="1:18" ht="15.75">
      <c r="B20" s="2" t="s">
        <v>16</v>
      </c>
      <c r="C20" s="161" t="s">
        <v>17</v>
      </c>
      <c r="D20" s="155"/>
      <c r="E20" s="155"/>
      <c r="F20" s="155"/>
      <c r="G20" s="156"/>
      <c r="H20" s="43" t="s">
        <v>7</v>
      </c>
      <c r="I20" s="42"/>
      <c r="J20" s="42"/>
      <c r="K20" s="41"/>
      <c r="L20" s="41"/>
      <c r="M20" s="42"/>
      <c r="N20" s="42"/>
      <c r="O20" s="42"/>
      <c r="P20" s="41"/>
      <c r="Q20" s="41"/>
      <c r="R20" s="80"/>
    </row>
    <row r="21" spans="1:18" ht="15.75">
      <c r="A21" s="157" t="s">
        <v>18</v>
      </c>
      <c r="B21" s="2" t="s">
        <v>19</v>
      </c>
      <c r="C21" s="161" t="s">
        <v>20</v>
      </c>
      <c r="D21" s="155"/>
      <c r="E21" s="155"/>
      <c r="F21" s="155"/>
      <c r="G21" s="156"/>
      <c r="H21" s="43" t="s">
        <v>7</v>
      </c>
      <c r="J21" s="42"/>
      <c r="K21" s="41"/>
      <c r="L21" s="41"/>
      <c r="M21" s="42"/>
      <c r="N21" s="42"/>
      <c r="O21" s="42"/>
      <c r="P21" s="41"/>
      <c r="Q21" s="41"/>
      <c r="R21" s="80"/>
    </row>
    <row r="22" spans="1:18" ht="15.75">
      <c r="A22" s="158"/>
      <c r="B22" s="2" t="s">
        <v>21</v>
      </c>
      <c r="C22" s="161" t="s">
        <v>22</v>
      </c>
      <c r="D22" s="155"/>
      <c r="E22" s="155"/>
      <c r="F22" s="155"/>
      <c r="G22" s="156"/>
      <c r="H22" s="43" t="s">
        <v>7</v>
      </c>
      <c r="I22" s="42"/>
      <c r="J22" s="42"/>
      <c r="K22" s="41"/>
      <c r="L22" s="41"/>
      <c r="M22" s="42"/>
      <c r="N22" s="42"/>
      <c r="O22" s="42"/>
      <c r="P22" s="41"/>
      <c r="Q22" s="41"/>
      <c r="R22" s="80"/>
    </row>
    <row r="23" spans="1:18" ht="15.75">
      <c r="A23" s="159" t="s">
        <v>23</v>
      </c>
      <c r="B23" s="2" t="s">
        <v>24</v>
      </c>
      <c r="C23" s="161" t="s">
        <v>257</v>
      </c>
      <c r="D23" s="155"/>
      <c r="E23" s="155"/>
      <c r="F23" s="155"/>
      <c r="G23" s="156"/>
      <c r="H23" s="43" t="s">
        <v>7</v>
      </c>
      <c r="I23" s="42"/>
      <c r="J23" s="42"/>
      <c r="K23" s="41"/>
      <c r="L23" s="41"/>
      <c r="M23" s="42"/>
      <c r="N23" s="42"/>
      <c r="O23" s="42"/>
      <c r="P23" s="41"/>
      <c r="Q23" s="41"/>
      <c r="R23" s="80"/>
    </row>
    <row r="24" spans="1:18" ht="31.5">
      <c r="A24" s="160"/>
      <c r="B24" s="2" t="s">
        <v>26</v>
      </c>
      <c r="C24" s="161" t="s">
        <v>258</v>
      </c>
      <c r="D24" s="155"/>
      <c r="E24" s="155"/>
      <c r="F24" s="155"/>
      <c r="G24" s="156"/>
      <c r="H24" s="43" t="s">
        <v>7</v>
      </c>
      <c r="I24" s="42"/>
      <c r="J24" s="42"/>
      <c r="K24" s="41"/>
      <c r="L24" s="41"/>
      <c r="M24" s="42"/>
      <c r="N24" s="42"/>
      <c r="O24" s="42"/>
      <c r="P24" s="41"/>
      <c r="Q24" s="41"/>
      <c r="R24" s="80"/>
    </row>
    <row r="25" spans="1:18" ht="15.75">
      <c r="A25" s="159" t="s">
        <v>28</v>
      </c>
      <c r="B25" s="2" t="s">
        <v>29</v>
      </c>
      <c r="C25" s="161" t="s">
        <v>259</v>
      </c>
      <c r="D25" s="155"/>
      <c r="E25" s="155"/>
      <c r="F25" s="155"/>
      <c r="G25" s="156"/>
      <c r="H25" s="43" t="s">
        <v>7</v>
      </c>
      <c r="I25" s="42"/>
      <c r="J25" s="42"/>
      <c r="K25" s="41"/>
      <c r="L25" s="41"/>
      <c r="M25" s="42"/>
      <c r="N25" s="42"/>
      <c r="O25" s="42"/>
      <c r="P25" s="41"/>
      <c r="Q25" s="41"/>
      <c r="R25" s="80"/>
    </row>
    <row r="26" spans="1:18" ht="15.75">
      <c r="A26" s="158"/>
      <c r="B26" s="2" t="s">
        <v>31</v>
      </c>
      <c r="C26" s="161" t="s">
        <v>260</v>
      </c>
      <c r="D26" s="155"/>
      <c r="E26" s="155"/>
      <c r="F26" s="155"/>
      <c r="G26" s="156"/>
      <c r="H26" s="43" t="s">
        <v>7</v>
      </c>
      <c r="I26" s="42"/>
      <c r="J26" s="42"/>
      <c r="K26" s="41"/>
      <c r="L26" s="41"/>
      <c r="M26" s="42"/>
      <c r="N26" s="42"/>
      <c r="O26" s="42"/>
      <c r="P26" s="41"/>
      <c r="Q26" s="41"/>
      <c r="R26" s="80"/>
    </row>
    <row r="27" spans="1:18" ht="15.75">
      <c r="A27" s="158"/>
      <c r="B27" s="2" t="s">
        <v>33</v>
      </c>
      <c r="C27" s="161" t="s">
        <v>261</v>
      </c>
      <c r="D27" s="155"/>
      <c r="E27" s="155"/>
      <c r="F27" s="155"/>
      <c r="G27" s="156"/>
      <c r="H27" s="43" t="s">
        <v>7</v>
      </c>
      <c r="I27" s="42"/>
      <c r="J27" s="42"/>
      <c r="K27" s="41"/>
      <c r="L27" s="41"/>
      <c r="M27" s="42"/>
      <c r="N27" s="42"/>
      <c r="O27" s="42"/>
      <c r="P27" s="41"/>
      <c r="Q27" s="41"/>
      <c r="R27" s="80"/>
    </row>
    <row r="28" spans="1:18" ht="15.75">
      <c r="A28" s="158"/>
      <c r="B28" s="2" t="s">
        <v>35</v>
      </c>
      <c r="C28" s="173" t="s">
        <v>262</v>
      </c>
      <c r="D28" s="155"/>
      <c r="E28" s="155"/>
      <c r="F28" s="155"/>
      <c r="G28" s="156"/>
      <c r="H28" s="41"/>
      <c r="I28" s="42"/>
      <c r="J28" s="42"/>
      <c r="K28" s="41"/>
      <c r="L28" s="41"/>
      <c r="M28" s="42"/>
      <c r="N28" s="50"/>
      <c r="O28" s="50"/>
      <c r="P28" s="41"/>
      <c r="Q28" s="41"/>
      <c r="R28" s="80"/>
    </row>
    <row r="29" spans="1:18" ht="31.5">
      <c r="A29" s="44"/>
      <c r="B29" s="2" t="s">
        <v>37</v>
      </c>
      <c r="C29" s="163" t="s">
        <v>38</v>
      </c>
      <c r="D29" s="155"/>
      <c r="E29" s="155"/>
      <c r="F29" s="155"/>
      <c r="G29" s="155"/>
      <c r="H29" s="41"/>
      <c r="I29" s="42"/>
      <c r="J29" s="42"/>
      <c r="K29" s="41"/>
      <c r="L29" s="41"/>
      <c r="M29" s="42"/>
      <c r="N29" s="50"/>
      <c r="O29" s="50"/>
      <c r="P29" s="41"/>
      <c r="Q29" s="41"/>
      <c r="R29" s="80"/>
    </row>
    <row r="30" spans="1:18" ht="15.75">
      <c r="A30" s="44"/>
      <c r="B30" s="5" t="s">
        <v>39</v>
      </c>
      <c r="C30" s="164"/>
      <c r="D30" s="155"/>
      <c r="E30" s="155"/>
      <c r="F30" s="155"/>
      <c r="G30" s="156"/>
      <c r="H30" s="1"/>
      <c r="I30" s="42"/>
      <c r="J30" s="42"/>
      <c r="K30" s="41"/>
      <c r="L30" s="41"/>
      <c r="M30" s="42"/>
      <c r="N30" s="42"/>
      <c r="O30" s="42"/>
      <c r="P30" s="41"/>
      <c r="Q30" s="41"/>
      <c r="R30" s="80"/>
    </row>
    <row r="31" spans="1:18" ht="15.75">
      <c r="A31" s="41"/>
      <c r="B31" s="41"/>
      <c r="C31" s="6"/>
      <c r="D31" s="6"/>
      <c r="E31" s="6"/>
      <c r="F31" s="6"/>
      <c r="G31" s="6"/>
      <c r="H31" s="7"/>
      <c r="I31" s="7"/>
      <c r="J31" s="7"/>
      <c r="K31" s="7"/>
      <c r="L31" s="7"/>
      <c r="M31" s="7"/>
      <c r="N31" s="7"/>
      <c r="O31" s="7"/>
      <c r="P31" s="7"/>
      <c r="Q31" s="7"/>
      <c r="R31" s="80"/>
    </row>
    <row r="32" spans="1:18" ht="63">
      <c r="A32" s="52" t="s">
        <v>41</v>
      </c>
      <c r="B32" s="9" t="s">
        <v>42</v>
      </c>
      <c r="C32" s="10" t="s">
        <v>43</v>
      </c>
      <c r="D32" s="10" t="s">
        <v>44</v>
      </c>
      <c r="E32" s="10" t="s">
        <v>45</v>
      </c>
      <c r="F32" s="10" t="s">
        <v>46</v>
      </c>
      <c r="G32" s="10" t="s">
        <v>47</v>
      </c>
      <c r="H32" s="10" t="s">
        <v>48</v>
      </c>
      <c r="I32" s="11" t="s">
        <v>49</v>
      </c>
      <c r="J32" s="11" t="s">
        <v>50</v>
      </c>
      <c r="K32" s="10" t="s">
        <v>51</v>
      </c>
      <c r="L32" s="10" t="s">
        <v>52</v>
      </c>
      <c r="M32" s="11" t="s">
        <v>53</v>
      </c>
      <c r="N32" s="11" t="s">
        <v>54</v>
      </c>
      <c r="O32" s="11" t="s">
        <v>55</v>
      </c>
      <c r="P32" s="10" t="s">
        <v>56</v>
      </c>
      <c r="Q32" s="10" t="s">
        <v>57</v>
      </c>
      <c r="R32" s="80"/>
    </row>
    <row r="33" spans="1:26" ht="199.5">
      <c r="A33" s="41"/>
      <c r="B33" s="12" t="s">
        <v>72</v>
      </c>
      <c r="C33" s="13" t="s">
        <v>263</v>
      </c>
      <c r="D33" s="14" t="s">
        <v>264</v>
      </c>
      <c r="E33" s="14" t="s">
        <v>265</v>
      </c>
      <c r="F33" s="14" t="s">
        <v>76</v>
      </c>
      <c r="G33" s="14" t="s">
        <v>110</v>
      </c>
      <c r="H33" s="14" t="s">
        <v>266</v>
      </c>
      <c r="I33" s="17" t="s">
        <v>267</v>
      </c>
      <c r="J33" s="17" t="s">
        <v>268</v>
      </c>
      <c r="K33" s="14" t="s">
        <v>81</v>
      </c>
      <c r="L33" s="14" t="s">
        <v>237</v>
      </c>
      <c r="M33" s="16" t="s">
        <v>83</v>
      </c>
      <c r="N33" s="16">
        <v>1</v>
      </c>
      <c r="O33" s="17"/>
      <c r="P33" s="13" t="s">
        <v>269</v>
      </c>
      <c r="Q33" s="14"/>
      <c r="R33" s="80"/>
    </row>
    <row r="34" spans="1:26" ht="156.75">
      <c r="A34" s="125" t="s">
        <v>7</v>
      </c>
      <c r="B34" s="12" t="s">
        <v>86</v>
      </c>
      <c r="C34" s="19" t="s">
        <v>270</v>
      </c>
      <c r="D34" s="19" t="s">
        <v>88</v>
      </c>
      <c r="E34" s="19" t="s">
        <v>89</v>
      </c>
      <c r="F34" s="19" t="s">
        <v>76</v>
      </c>
      <c r="G34" s="19" t="s">
        <v>110</v>
      </c>
      <c r="H34" s="19" t="s">
        <v>271</v>
      </c>
      <c r="I34" s="22" t="s">
        <v>272</v>
      </c>
      <c r="J34" s="126" t="s">
        <v>273</v>
      </c>
      <c r="K34" s="19" t="s">
        <v>81</v>
      </c>
      <c r="L34" s="19" t="s">
        <v>237</v>
      </c>
      <c r="M34" s="16" t="s">
        <v>83</v>
      </c>
      <c r="N34" s="127">
        <v>1</v>
      </c>
      <c r="O34" s="22"/>
      <c r="P34" s="18" t="s">
        <v>274</v>
      </c>
      <c r="Q34" s="19" t="s">
        <v>275</v>
      </c>
      <c r="R34" s="80"/>
    </row>
    <row r="35" spans="1:26" ht="256.5">
      <c r="A35" s="128"/>
      <c r="B35" s="9" t="s">
        <v>96</v>
      </c>
      <c r="C35" s="19" t="s">
        <v>276</v>
      </c>
      <c r="D35" s="19" t="s">
        <v>277</v>
      </c>
      <c r="E35" s="19" t="s">
        <v>278</v>
      </c>
      <c r="F35" s="19" t="s">
        <v>76</v>
      </c>
      <c r="G35" s="19" t="s">
        <v>110</v>
      </c>
      <c r="H35" s="19" t="s">
        <v>279</v>
      </c>
      <c r="I35" s="129" t="s">
        <v>280</v>
      </c>
      <c r="J35" s="129" t="s">
        <v>281</v>
      </c>
      <c r="K35" s="19" t="s">
        <v>282</v>
      </c>
      <c r="L35" s="19" t="s">
        <v>167</v>
      </c>
      <c r="M35" s="16" t="s">
        <v>83</v>
      </c>
      <c r="N35" s="18">
        <v>275</v>
      </c>
      <c r="O35" s="22"/>
      <c r="P35" s="130" t="s">
        <v>283</v>
      </c>
      <c r="Q35" s="129" t="s">
        <v>284</v>
      </c>
      <c r="R35" s="80"/>
    </row>
    <row r="36" spans="1:26" ht="156.75">
      <c r="A36" s="58"/>
      <c r="B36" s="12" t="s">
        <v>106</v>
      </c>
      <c r="C36" s="13" t="s">
        <v>285</v>
      </c>
      <c r="D36" s="13" t="s">
        <v>286</v>
      </c>
      <c r="E36" s="14" t="s">
        <v>287</v>
      </c>
      <c r="F36" s="14" t="s">
        <v>76</v>
      </c>
      <c r="G36" s="14" t="s">
        <v>110</v>
      </c>
      <c r="H36" s="14" t="s">
        <v>288</v>
      </c>
      <c r="I36" s="29" t="s">
        <v>289</v>
      </c>
      <c r="J36" s="32" t="s">
        <v>290</v>
      </c>
      <c r="K36" s="19" t="s">
        <v>282</v>
      </c>
      <c r="L36" s="14" t="s">
        <v>237</v>
      </c>
      <c r="M36" s="32" t="s">
        <v>83</v>
      </c>
      <c r="N36" s="14">
        <v>100</v>
      </c>
      <c r="O36" s="17"/>
      <c r="P36" s="13" t="s">
        <v>291</v>
      </c>
      <c r="Q36" s="14" t="s">
        <v>292</v>
      </c>
      <c r="R36" s="80"/>
    </row>
    <row r="37" spans="1:26" ht="171">
      <c r="A37" s="58"/>
      <c r="B37" s="30" t="s">
        <v>134</v>
      </c>
      <c r="C37" s="13" t="s">
        <v>293</v>
      </c>
      <c r="D37" s="13" t="s">
        <v>294</v>
      </c>
      <c r="E37" s="13" t="s">
        <v>295</v>
      </c>
      <c r="F37" s="14" t="s">
        <v>76</v>
      </c>
      <c r="G37" s="14" t="s">
        <v>110</v>
      </c>
      <c r="H37" s="13" t="s">
        <v>296</v>
      </c>
      <c r="I37" s="131" t="s">
        <v>297</v>
      </c>
      <c r="J37" s="132" t="s">
        <v>298</v>
      </c>
      <c r="K37" s="19" t="s">
        <v>282</v>
      </c>
      <c r="L37" s="14" t="s">
        <v>237</v>
      </c>
      <c r="M37" s="17" t="s">
        <v>83</v>
      </c>
      <c r="N37" s="14">
        <v>12</v>
      </c>
      <c r="O37" s="17"/>
      <c r="P37" s="13" t="s">
        <v>299</v>
      </c>
      <c r="Q37" s="14" t="s">
        <v>300</v>
      </c>
      <c r="R37" s="80"/>
    </row>
    <row r="38" spans="1:26" ht="409.5">
      <c r="A38" s="133"/>
      <c r="B38" s="9" t="s">
        <v>125</v>
      </c>
      <c r="C38" s="19" t="s">
        <v>301</v>
      </c>
      <c r="D38" s="19" t="s">
        <v>302</v>
      </c>
      <c r="E38" s="19" t="s">
        <v>303</v>
      </c>
      <c r="F38" s="19" t="s">
        <v>76</v>
      </c>
      <c r="G38" s="19" t="s">
        <v>110</v>
      </c>
      <c r="H38" s="19" t="s">
        <v>304</v>
      </c>
      <c r="I38" s="22" t="s">
        <v>305</v>
      </c>
      <c r="J38" s="22" t="s">
        <v>306</v>
      </c>
      <c r="K38" s="19" t="s">
        <v>282</v>
      </c>
      <c r="L38" s="19" t="s">
        <v>237</v>
      </c>
      <c r="M38" s="17" t="s">
        <v>83</v>
      </c>
      <c r="N38" s="112">
        <v>3000</v>
      </c>
      <c r="O38" s="22"/>
      <c r="P38" s="18" t="s">
        <v>307</v>
      </c>
      <c r="Q38" s="19" t="s">
        <v>308</v>
      </c>
      <c r="R38" s="80"/>
    </row>
    <row r="39" spans="1:26" ht="99.75">
      <c r="A39" s="58"/>
      <c r="B39" s="30" t="s">
        <v>134</v>
      </c>
      <c r="C39" s="13" t="s">
        <v>309</v>
      </c>
      <c r="D39" s="13" t="s">
        <v>136</v>
      </c>
      <c r="E39" s="13" t="s">
        <v>310</v>
      </c>
      <c r="F39" s="14" t="s">
        <v>76</v>
      </c>
      <c r="G39" s="14" t="s">
        <v>110</v>
      </c>
      <c r="H39" s="13" t="s">
        <v>311</v>
      </c>
      <c r="I39" s="15" t="s">
        <v>312</v>
      </c>
      <c r="J39" s="15" t="s">
        <v>313</v>
      </c>
      <c r="K39" s="19" t="s">
        <v>282</v>
      </c>
      <c r="L39" s="14" t="s">
        <v>237</v>
      </c>
      <c r="M39" s="17" t="s">
        <v>83</v>
      </c>
      <c r="N39" s="13">
        <v>1000</v>
      </c>
      <c r="O39" s="17"/>
      <c r="P39" s="13" t="s">
        <v>314</v>
      </c>
      <c r="Q39" s="14" t="s">
        <v>315</v>
      </c>
      <c r="R39" s="80"/>
    </row>
    <row r="40" spans="1:26" ht="129">
      <c r="A40" s="133"/>
      <c r="B40" s="9" t="s">
        <v>160</v>
      </c>
      <c r="C40" s="19" t="s">
        <v>316</v>
      </c>
      <c r="D40" s="19" t="s">
        <v>317</v>
      </c>
      <c r="E40" s="19" t="s">
        <v>318</v>
      </c>
      <c r="F40" s="19" t="s">
        <v>76</v>
      </c>
      <c r="G40" s="19" t="s">
        <v>110</v>
      </c>
      <c r="H40" s="134" t="s">
        <v>319</v>
      </c>
      <c r="I40" s="126" t="s">
        <v>320</v>
      </c>
      <c r="J40" s="126" t="s">
        <v>321</v>
      </c>
      <c r="K40" s="19" t="s">
        <v>282</v>
      </c>
      <c r="L40" s="19" t="s">
        <v>237</v>
      </c>
      <c r="M40" s="17" t="s">
        <v>83</v>
      </c>
      <c r="N40" s="135">
        <v>8140</v>
      </c>
      <c r="O40" s="22"/>
      <c r="P40" s="18" t="s">
        <v>322</v>
      </c>
      <c r="Q40" s="134" t="s">
        <v>323</v>
      </c>
      <c r="R40" s="80"/>
    </row>
    <row r="41" spans="1:26" ht="156.75">
      <c r="A41" s="58"/>
      <c r="B41" s="12" t="s">
        <v>169</v>
      </c>
      <c r="C41" s="14" t="s">
        <v>324</v>
      </c>
      <c r="D41" s="14" t="s">
        <v>325</v>
      </c>
      <c r="E41" s="14" t="s">
        <v>326</v>
      </c>
      <c r="F41" s="14" t="s">
        <v>327</v>
      </c>
      <c r="G41" s="14" t="s">
        <v>110</v>
      </c>
      <c r="H41" s="14" t="s">
        <v>328</v>
      </c>
      <c r="I41" s="32" t="s">
        <v>329</v>
      </c>
      <c r="J41" s="32" t="s">
        <v>330</v>
      </c>
      <c r="K41" s="19" t="s">
        <v>282</v>
      </c>
      <c r="L41" s="14" t="s">
        <v>237</v>
      </c>
      <c r="M41" s="17" t="s">
        <v>83</v>
      </c>
      <c r="N41" s="14">
        <v>1000</v>
      </c>
      <c r="O41" s="17"/>
      <c r="P41" s="13" t="s">
        <v>331</v>
      </c>
      <c r="Q41" s="14" t="s">
        <v>332</v>
      </c>
      <c r="R41" s="80"/>
    </row>
    <row r="42" spans="1:26" ht="114">
      <c r="A42" s="41"/>
      <c r="B42" s="12" t="s">
        <v>178</v>
      </c>
      <c r="C42" s="14" t="s">
        <v>333</v>
      </c>
      <c r="D42" s="14" t="s">
        <v>334</v>
      </c>
      <c r="E42" s="14" t="s">
        <v>335</v>
      </c>
      <c r="F42" s="14" t="s">
        <v>327</v>
      </c>
      <c r="G42" s="14" t="s">
        <v>110</v>
      </c>
      <c r="H42" s="14" t="s">
        <v>336</v>
      </c>
      <c r="I42" s="32" t="s">
        <v>337</v>
      </c>
      <c r="J42" s="32" t="s">
        <v>338</v>
      </c>
      <c r="K42" s="14" t="s">
        <v>282</v>
      </c>
      <c r="L42" s="14" t="s">
        <v>237</v>
      </c>
      <c r="M42" s="17" t="s">
        <v>83</v>
      </c>
      <c r="N42" s="14">
        <v>240</v>
      </c>
      <c r="O42" s="17"/>
      <c r="P42" s="14" t="s">
        <v>339</v>
      </c>
      <c r="Q42" s="14" t="s">
        <v>332</v>
      </c>
      <c r="R42" s="80"/>
      <c r="S42" s="80"/>
      <c r="T42" s="80"/>
      <c r="U42" s="80"/>
      <c r="V42" s="80"/>
      <c r="W42" s="80"/>
      <c r="X42" s="80"/>
      <c r="Y42" s="80"/>
      <c r="Z42" s="80"/>
    </row>
    <row r="43" spans="1:26" ht="15.75">
      <c r="A43" s="80"/>
      <c r="C43" s="81"/>
      <c r="D43" s="81"/>
      <c r="E43" s="81"/>
      <c r="F43" s="81"/>
      <c r="G43" s="81"/>
    </row>
    <row r="44" spans="1:26" ht="15.75">
      <c r="A44" s="80"/>
      <c r="C44" s="81"/>
      <c r="D44" s="81"/>
      <c r="E44" s="81"/>
      <c r="F44" s="81"/>
      <c r="G44" s="81"/>
    </row>
    <row r="45" spans="1:26" ht="15.75">
      <c r="A45" s="80"/>
      <c r="C45" s="81"/>
      <c r="D45" s="81"/>
      <c r="E45" s="81"/>
      <c r="F45" s="81"/>
      <c r="G45" s="81"/>
    </row>
    <row r="46" spans="1:26" ht="15.75">
      <c r="A46" s="80"/>
      <c r="C46" s="81"/>
      <c r="D46" s="81"/>
      <c r="E46" s="81"/>
      <c r="F46" s="81"/>
      <c r="G46" s="81"/>
    </row>
    <row r="47" spans="1:26" ht="15.75">
      <c r="A47" s="80"/>
      <c r="C47" s="81"/>
      <c r="D47" s="81"/>
      <c r="E47" s="81"/>
      <c r="F47" s="81"/>
      <c r="G47" s="81"/>
    </row>
    <row r="48" spans="1:26" ht="15.75">
      <c r="A48" s="80"/>
      <c r="C48" s="81"/>
      <c r="D48" s="81"/>
      <c r="E48" s="81"/>
      <c r="F48" s="81"/>
      <c r="G48" s="81"/>
    </row>
    <row r="49" spans="1:19" ht="15.75">
      <c r="A49" s="80"/>
      <c r="C49" s="81"/>
      <c r="D49" s="81"/>
      <c r="E49" s="81"/>
      <c r="F49" s="81"/>
      <c r="G49" s="81"/>
    </row>
    <row r="50" spans="1:19" ht="15.75">
      <c r="A50" s="80"/>
      <c r="C50" s="81"/>
      <c r="D50" s="81"/>
      <c r="E50" s="81"/>
      <c r="F50" s="81"/>
      <c r="G50" s="81"/>
    </row>
    <row r="51" spans="1:19" ht="15.75">
      <c r="A51" s="80"/>
      <c r="B51" s="80"/>
      <c r="C51" s="81"/>
      <c r="D51" s="81"/>
      <c r="E51" s="81"/>
      <c r="F51" s="81"/>
      <c r="G51" s="81"/>
      <c r="H51" s="80"/>
      <c r="I51" s="80"/>
      <c r="J51" s="80"/>
      <c r="K51" s="80"/>
      <c r="L51" s="80"/>
      <c r="M51" s="80"/>
      <c r="N51" s="80"/>
      <c r="O51" s="80"/>
      <c r="P51" s="80"/>
      <c r="Q51" s="80"/>
      <c r="R51" s="80"/>
    </row>
    <row r="52" spans="1:19" ht="15.75">
      <c r="A52" s="80"/>
      <c r="B52" s="80"/>
      <c r="C52" s="81"/>
      <c r="D52" s="81"/>
      <c r="E52" s="81"/>
      <c r="F52" s="81"/>
      <c r="G52" s="81"/>
      <c r="H52" s="80"/>
      <c r="I52" s="80"/>
      <c r="J52" s="80"/>
      <c r="K52" s="80"/>
      <c r="L52" s="80"/>
      <c r="M52" s="80"/>
      <c r="N52" s="80"/>
      <c r="O52" s="80"/>
      <c r="P52" s="80"/>
      <c r="Q52" s="80"/>
      <c r="R52" s="80"/>
    </row>
    <row r="53" spans="1:19" ht="15.75">
      <c r="A53" s="80"/>
      <c r="B53" s="80"/>
      <c r="C53" s="81"/>
      <c r="D53" s="81"/>
      <c r="E53" s="81"/>
      <c r="F53" s="81"/>
      <c r="G53" s="81"/>
      <c r="H53" s="80"/>
      <c r="I53" s="80"/>
      <c r="J53" s="80"/>
      <c r="K53" s="80"/>
      <c r="L53" s="80"/>
      <c r="M53" s="80"/>
      <c r="N53" s="80"/>
      <c r="O53" s="80"/>
      <c r="P53" s="80"/>
      <c r="Q53" s="80"/>
      <c r="R53" s="80"/>
    </row>
    <row r="54" spans="1:19" ht="15.75">
      <c r="A54" s="80"/>
      <c r="B54" s="80"/>
      <c r="C54" s="81"/>
      <c r="D54" s="81"/>
      <c r="E54" s="81"/>
      <c r="F54" s="81"/>
      <c r="G54" s="81"/>
      <c r="H54" s="80"/>
      <c r="I54" s="80"/>
      <c r="J54" s="80"/>
      <c r="K54" s="80"/>
      <c r="L54" s="80"/>
      <c r="M54" s="80"/>
      <c r="N54" s="80"/>
      <c r="O54" s="80"/>
      <c r="P54" s="80"/>
      <c r="Q54" s="80"/>
      <c r="R54" s="80"/>
    </row>
    <row r="55" spans="1:19" ht="15.75">
      <c r="B55" s="80"/>
      <c r="C55" s="81"/>
      <c r="D55" s="81"/>
      <c r="E55" s="81"/>
      <c r="F55" s="81"/>
      <c r="G55" s="81"/>
    </row>
    <row r="56" spans="1:19" ht="15.75">
      <c r="C56" s="81"/>
      <c r="D56" s="81"/>
      <c r="E56" s="81"/>
      <c r="F56" s="81"/>
      <c r="G56" s="81"/>
    </row>
    <row r="57" spans="1:19" ht="15.75">
      <c r="C57" s="81"/>
      <c r="D57" s="81"/>
      <c r="E57" s="81"/>
      <c r="F57" s="81"/>
      <c r="G57" s="81"/>
    </row>
    <row r="58" spans="1:19" ht="15.75">
      <c r="B58" s="33" t="s">
        <v>213</v>
      </c>
      <c r="C58" s="170"/>
      <c r="D58" s="171"/>
      <c r="E58" s="171"/>
      <c r="F58" s="172"/>
      <c r="G58" s="43" t="s">
        <v>7</v>
      </c>
      <c r="H58" s="165" t="s">
        <v>214</v>
      </c>
      <c r="I58" s="155"/>
      <c r="J58" s="155"/>
      <c r="K58" s="155"/>
      <c r="L58" s="155"/>
      <c r="M58" s="155"/>
      <c r="N58" s="155"/>
      <c r="O58" s="155"/>
      <c r="P58" s="155"/>
      <c r="Q58" s="155"/>
      <c r="R58" s="155"/>
      <c r="S58" s="156"/>
    </row>
    <row r="59" spans="1:19" ht="15.75">
      <c r="B59" s="2" t="s">
        <v>215</v>
      </c>
      <c r="C59" s="166"/>
      <c r="D59" s="155"/>
      <c r="E59" s="155"/>
      <c r="F59" s="156"/>
      <c r="G59" s="43" t="s">
        <v>7</v>
      </c>
      <c r="H59" s="82" t="s">
        <v>216</v>
      </c>
      <c r="I59" s="83" t="s">
        <v>217</v>
      </c>
      <c r="J59" s="83" t="s">
        <v>218</v>
      </c>
      <c r="K59" s="83" t="s">
        <v>219</v>
      </c>
      <c r="L59" s="83" t="s">
        <v>220</v>
      </c>
      <c r="M59" s="83" t="s">
        <v>221</v>
      </c>
      <c r="N59" s="83" t="s">
        <v>222</v>
      </c>
      <c r="O59" s="83" t="s">
        <v>223</v>
      </c>
      <c r="P59" s="83" t="s">
        <v>224</v>
      </c>
      <c r="Q59" s="83" t="s">
        <v>225</v>
      </c>
      <c r="R59" s="83" t="s">
        <v>226</v>
      </c>
      <c r="S59" s="83" t="s">
        <v>227</v>
      </c>
    </row>
    <row r="60" spans="1:19" ht="15.75">
      <c r="B60" s="2" t="s">
        <v>228</v>
      </c>
      <c r="C60" s="166"/>
      <c r="D60" s="155"/>
      <c r="E60" s="155"/>
      <c r="F60" s="156"/>
      <c r="G60" s="43" t="s">
        <v>7</v>
      </c>
      <c r="H60" s="84"/>
      <c r="I60" s="84"/>
      <c r="J60" s="84"/>
      <c r="K60" s="84"/>
      <c r="L60" s="84"/>
      <c r="M60" s="84"/>
      <c r="N60" s="84"/>
      <c r="O60" s="84"/>
      <c r="P60" s="84"/>
      <c r="Q60" s="84"/>
      <c r="R60" s="84"/>
      <c r="S60" s="84"/>
    </row>
    <row r="61" spans="1:19" ht="15.75">
      <c r="B61" s="2" t="s">
        <v>340</v>
      </c>
      <c r="C61" s="167"/>
      <c r="D61" s="155"/>
      <c r="E61" s="155"/>
      <c r="F61" s="156"/>
      <c r="G61" s="81"/>
      <c r="H61" s="80"/>
      <c r="I61" s="80"/>
      <c r="J61" s="80"/>
      <c r="K61" s="80"/>
      <c r="L61" s="80"/>
      <c r="M61" s="80"/>
      <c r="N61" s="80"/>
      <c r="O61" s="80"/>
      <c r="P61" s="80"/>
      <c r="Q61" s="80"/>
    </row>
    <row r="62" spans="1:19" ht="15.75">
      <c r="B62" s="2" t="s">
        <v>230</v>
      </c>
      <c r="C62" s="168"/>
      <c r="D62" s="155"/>
      <c r="E62" s="155"/>
      <c r="F62" s="156"/>
      <c r="G62" s="43" t="s">
        <v>7</v>
      </c>
      <c r="H62" s="80"/>
      <c r="I62" s="80"/>
      <c r="J62" s="80"/>
      <c r="K62" s="80"/>
      <c r="L62" s="80"/>
      <c r="M62" s="80"/>
      <c r="N62" s="80"/>
      <c r="O62" s="80"/>
      <c r="P62" s="80"/>
      <c r="Q62" s="80"/>
    </row>
    <row r="63" spans="1:19" ht="31.5">
      <c r="B63" s="2" t="s">
        <v>231</v>
      </c>
      <c r="C63" s="166"/>
      <c r="D63" s="155"/>
      <c r="E63" s="155"/>
      <c r="F63" s="156"/>
      <c r="G63" s="81"/>
      <c r="H63" s="80"/>
      <c r="I63" s="80"/>
      <c r="J63" s="80"/>
      <c r="K63" s="80"/>
      <c r="L63" s="80"/>
      <c r="M63" s="80"/>
      <c r="N63" s="80"/>
      <c r="O63" s="80"/>
      <c r="P63" s="80"/>
      <c r="Q63" s="80"/>
    </row>
    <row r="64" spans="1:19" ht="31.5">
      <c r="B64" s="2" t="s">
        <v>232</v>
      </c>
      <c r="C64" s="169"/>
      <c r="D64" s="155"/>
      <c r="E64" s="155"/>
      <c r="F64" s="156"/>
      <c r="G64" s="81"/>
      <c r="H64" s="80"/>
      <c r="I64" s="80"/>
      <c r="J64" s="80"/>
      <c r="K64" s="80"/>
      <c r="L64" s="80"/>
      <c r="M64" s="80"/>
      <c r="N64" s="80"/>
      <c r="O64" s="80"/>
      <c r="P64" s="80"/>
      <c r="Q64" s="80"/>
    </row>
    <row r="65" spans="2:18" ht="15.75">
      <c r="B65" s="80"/>
      <c r="C65" s="81"/>
      <c r="D65" s="81"/>
      <c r="E65" s="81"/>
      <c r="F65" s="81"/>
      <c r="G65" s="81"/>
      <c r="H65" s="80"/>
      <c r="I65" s="80"/>
      <c r="J65" s="80"/>
      <c r="K65" s="80"/>
      <c r="L65" s="80"/>
      <c r="M65" s="80"/>
      <c r="N65" s="80"/>
      <c r="O65" s="80"/>
      <c r="P65" s="80"/>
      <c r="Q65" s="80"/>
      <c r="R65" s="80"/>
    </row>
    <row r="66" spans="2:18" ht="15.75">
      <c r="C66" s="81"/>
      <c r="D66" s="81"/>
      <c r="E66" s="81"/>
      <c r="F66" s="81"/>
      <c r="G66" s="81"/>
    </row>
    <row r="67" spans="2:18" ht="15.75">
      <c r="C67" s="81"/>
      <c r="D67" s="81"/>
      <c r="E67" s="81"/>
      <c r="F67" s="81"/>
      <c r="G67" s="81"/>
    </row>
    <row r="68" spans="2:18" ht="15.75">
      <c r="C68" s="81"/>
      <c r="D68" s="81"/>
      <c r="E68" s="81"/>
      <c r="F68" s="81"/>
      <c r="G68" s="81"/>
    </row>
    <row r="69" spans="2:18" ht="15.75">
      <c r="C69" s="81"/>
      <c r="D69" s="81"/>
      <c r="E69" s="81"/>
      <c r="F69" s="81"/>
      <c r="G69" s="81"/>
    </row>
    <row r="70" spans="2:18" ht="15.75">
      <c r="C70" s="81"/>
      <c r="D70" s="81"/>
      <c r="E70" s="81"/>
      <c r="F70" s="81"/>
      <c r="G70" s="81"/>
    </row>
    <row r="71" spans="2:18" ht="15.75">
      <c r="C71" s="81"/>
      <c r="D71" s="81"/>
      <c r="E71" s="81"/>
      <c r="F71" s="81"/>
      <c r="G71" s="81"/>
    </row>
    <row r="72" spans="2:18" ht="15.75">
      <c r="C72" s="81"/>
      <c r="D72" s="81"/>
      <c r="E72" s="81"/>
      <c r="F72" s="81"/>
      <c r="G72" s="81"/>
    </row>
    <row r="73" spans="2:18" ht="15.75">
      <c r="C73" s="81"/>
      <c r="D73" s="81"/>
      <c r="E73" s="81"/>
      <c r="F73" s="81"/>
      <c r="G73" s="81"/>
    </row>
    <row r="74" spans="2:18" ht="15.75">
      <c r="C74" s="81"/>
      <c r="D74" s="81"/>
      <c r="E74" s="81"/>
      <c r="F74" s="81"/>
      <c r="G74" s="81"/>
    </row>
    <row r="75" spans="2:18" ht="15.75">
      <c r="C75" s="81"/>
      <c r="D75" s="81"/>
      <c r="E75" s="81"/>
      <c r="F75" s="81"/>
      <c r="G75" s="81"/>
    </row>
    <row r="76" spans="2:18" ht="15.75">
      <c r="C76" s="81"/>
      <c r="D76" s="81"/>
      <c r="E76" s="81"/>
      <c r="F76" s="81"/>
      <c r="G76" s="81"/>
    </row>
    <row r="77" spans="2:18" ht="15.75">
      <c r="C77" s="81"/>
      <c r="D77" s="81"/>
      <c r="E77" s="81"/>
      <c r="F77" s="81"/>
      <c r="G77" s="81"/>
    </row>
    <row r="78" spans="2:18" ht="15.75">
      <c r="C78" s="81"/>
      <c r="D78" s="81"/>
      <c r="E78" s="81"/>
      <c r="F78" s="81"/>
      <c r="G78" s="81"/>
    </row>
    <row r="79" spans="2:18" ht="15.75">
      <c r="C79" s="81"/>
      <c r="D79" s="81"/>
      <c r="E79" s="81"/>
      <c r="F79" s="81"/>
      <c r="G79" s="81"/>
    </row>
    <row r="80" spans="2:18" ht="15.75">
      <c r="C80" s="81"/>
      <c r="D80" s="81"/>
      <c r="E80" s="81"/>
      <c r="F80" s="81"/>
      <c r="G80" s="81"/>
    </row>
    <row r="81" spans="3:7" ht="15.75">
      <c r="C81" s="81"/>
      <c r="D81" s="81"/>
      <c r="E81" s="81"/>
      <c r="F81" s="81"/>
      <c r="G81" s="81"/>
    </row>
    <row r="82" spans="3:7" ht="15.75">
      <c r="C82" s="81"/>
      <c r="D82" s="81"/>
      <c r="E82" s="81"/>
      <c r="F82" s="81"/>
      <c r="G82" s="81"/>
    </row>
    <row r="83" spans="3:7" ht="15.75">
      <c r="C83" s="81"/>
      <c r="D83" s="81"/>
      <c r="E83" s="81"/>
      <c r="F83" s="81"/>
      <c r="G83" s="81"/>
    </row>
    <row r="84" spans="3:7" ht="15.75">
      <c r="C84" s="81"/>
      <c r="D84" s="81"/>
      <c r="E84" s="81"/>
      <c r="F84" s="81"/>
      <c r="G84" s="81"/>
    </row>
    <row r="85" spans="3:7" ht="15.75">
      <c r="C85" s="81"/>
      <c r="D85" s="81"/>
      <c r="E85" s="81"/>
      <c r="F85" s="81"/>
      <c r="G85" s="81"/>
    </row>
    <row r="86" spans="3:7" ht="15.75">
      <c r="C86" s="81"/>
      <c r="D86" s="81"/>
      <c r="E86" s="81"/>
      <c r="F86" s="81"/>
      <c r="G86" s="81"/>
    </row>
    <row r="87" spans="3:7" ht="15.75">
      <c r="C87" s="81"/>
      <c r="D87" s="81"/>
      <c r="E87" s="81"/>
      <c r="F87" s="81"/>
      <c r="G87" s="81"/>
    </row>
    <row r="88" spans="3:7" ht="15.75">
      <c r="C88" s="81"/>
      <c r="D88" s="81"/>
      <c r="E88" s="81"/>
      <c r="F88" s="81"/>
      <c r="G88" s="81"/>
    </row>
    <row r="89" spans="3:7" ht="15.75">
      <c r="C89" s="81"/>
      <c r="D89" s="81"/>
      <c r="E89" s="81"/>
      <c r="F89" s="81"/>
      <c r="G89" s="81"/>
    </row>
    <row r="90" spans="3:7" ht="15.75">
      <c r="C90" s="81"/>
      <c r="D90" s="81"/>
      <c r="E90" s="81"/>
      <c r="F90" s="81"/>
      <c r="G90" s="81"/>
    </row>
    <row r="91" spans="3:7" ht="15.75">
      <c r="C91" s="81"/>
      <c r="D91" s="81"/>
      <c r="E91" s="81"/>
      <c r="F91" s="81"/>
      <c r="G91" s="81"/>
    </row>
    <row r="92" spans="3:7" ht="15.75">
      <c r="C92" s="81"/>
      <c r="D92" s="81"/>
      <c r="E92" s="81"/>
      <c r="F92" s="81"/>
      <c r="G92" s="81"/>
    </row>
    <row r="93" spans="3:7" ht="15.75">
      <c r="C93" s="81"/>
      <c r="D93" s="81"/>
      <c r="E93" s="81"/>
      <c r="F93" s="81"/>
      <c r="G93" s="81"/>
    </row>
    <row r="94" spans="3:7" ht="15.75">
      <c r="C94" s="81"/>
      <c r="D94" s="81"/>
      <c r="E94" s="81"/>
      <c r="F94" s="81"/>
      <c r="G94" s="81"/>
    </row>
    <row r="95" spans="3:7" ht="15.75">
      <c r="C95" s="81"/>
      <c r="D95" s="81"/>
      <c r="E95" s="81"/>
      <c r="F95" s="81"/>
      <c r="G95" s="81"/>
    </row>
    <row r="96" spans="3:7" ht="15.75">
      <c r="C96" s="81"/>
      <c r="D96" s="81"/>
      <c r="E96" s="81"/>
      <c r="F96" s="81"/>
      <c r="G96" s="81"/>
    </row>
    <row r="97" spans="3:7" ht="15.75">
      <c r="C97" s="81"/>
      <c r="D97" s="81"/>
      <c r="E97" s="81"/>
      <c r="F97" s="81"/>
      <c r="G97" s="81"/>
    </row>
    <row r="98" spans="3:7" ht="15.75">
      <c r="C98" s="81"/>
      <c r="D98" s="81"/>
      <c r="E98" s="81"/>
      <c r="F98" s="81"/>
      <c r="G98" s="81"/>
    </row>
    <row r="99" spans="3:7" ht="15.75">
      <c r="C99" s="81"/>
      <c r="D99" s="81"/>
      <c r="E99" s="81"/>
      <c r="F99" s="81"/>
      <c r="G99" s="81"/>
    </row>
    <row r="100" spans="3:7" ht="15.75">
      <c r="C100" s="81"/>
      <c r="D100" s="81"/>
      <c r="E100" s="81"/>
      <c r="F100" s="81"/>
      <c r="G100" s="81"/>
    </row>
    <row r="101" spans="3:7" ht="15.75">
      <c r="C101" s="81"/>
      <c r="D101" s="81"/>
      <c r="E101" s="81"/>
      <c r="F101" s="81"/>
      <c r="G101" s="81"/>
    </row>
    <row r="102" spans="3:7" ht="15.75">
      <c r="C102" s="81"/>
      <c r="D102" s="81"/>
      <c r="E102" s="81"/>
      <c r="F102" s="81"/>
      <c r="G102" s="81"/>
    </row>
    <row r="103" spans="3:7" ht="15.75">
      <c r="C103" s="81"/>
      <c r="D103" s="81"/>
      <c r="E103" s="81"/>
      <c r="F103" s="81"/>
      <c r="G103" s="81"/>
    </row>
    <row r="104" spans="3:7" ht="15.75">
      <c r="C104" s="81"/>
      <c r="D104" s="81"/>
      <c r="E104" s="81"/>
      <c r="F104" s="81"/>
      <c r="G104" s="81"/>
    </row>
    <row r="105" spans="3:7" ht="15.75">
      <c r="C105" s="81"/>
      <c r="D105" s="81"/>
      <c r="E105" s="81"/>
      <c r="F105" s="81"/>
      <c r="G105" s="81"/>
    </row>
    <row r="106" spans="3:7" ht="15.75">
      <c r="C106" s="81"/>
      <c r="D106" s="81"/>
      <c r="E106" s="81"/>
      <c r="F106" s="81"/>
      <c r="G106" s="81"/>
    </row>
    <row r="107" spans="3:7" ht="15.75">
      <c r="C107" s="81"/>
      <c r="D107" s="81"/>
      <c r="E107" s="81"/>
      <c r="F107" s="81"/>
      <c r="G107" s="81"/>
    </row>
    <row r="108" spans="3:7" ht="15.75">
      <c r="C108" s="81"/>
      <c r="D108" s="81"/>
      <c r="E108" s="81"/>
      <c r="F108" s="81"/>
      <c r="G108" s="81"/>
    </row>
    <row r="109" spans="3:7" ht="15.75">
      <c r="C109" s="81"/>
      <c r="D109" s="81"/>
      <c r="E109" s="81"/>
      <c r="F109" s="81"/>
      <c r="G109" s="81"/>
    </row>
    <row r="110" spans="3:7" ht="15.75">
      <c r="C110" s="81"/>
      <c r="D110" s="81"/>
      <c r="E110" s="81"/>
      <c r="F110" s="81"/>
      <c r="G110" s="81"/>
    </row>
    <row r="111" spans="3:7" ht="15.75">
      <c r="C111" s="81"/>
      <c r="D111" s="81"/>
      <c r="E111" s="81"/>
      <c r="F111" s="81"/>
      <c r="G111" s="81"/>
    </row>
    <row r="112" spans="3:7" ht="15.75">
      <c r="C112" s="81"/>
      <c r="D112" s="81"/>
      <c r="E112" s="81"/>
      <c r="F112" s="81"/>
      <c r="G112" s="81"/>
    </row>
    <row r="113" spans="3:7" ht="15.75">
      <c r="C113" s="81"/>
      <c r="D113" s="81"/>
      <c r="E113" s="81"/>
      <c r="F113" s="81"/>
      <c r="G113" s="81"/>
    </row>
    <row r="114" spans="3:7" ht="15.75">
      <c r="C114" s="81"/>
      <c r="D114" s="81"/>
      <c r="E114" s="81"/>
      <c r="F114" s="81"/>
      <c r="G114" s="81"/>
    </row>
    <row r="115" spans="3:7" ht="15.75">
      <c r="C115" s="81"/>
      <c r="D115" s="81"/>
      <c r="E115" s="81"/>
      <c r="F115" s="81"/>
      <c r="G115" s="81"/>
    </row>
    <row r="116" spans="3:7" ht="15.75">
      <c r="C116" s="81"/>
      <c r="D116" s="81"/>
      <c r="E116" s="81"/>
      <c r="F116" s="81"/>
      <c r="G116" s="81"/>
    </row>
    <row r="117" spans="3:7" ht="15.75">
      <c r="C117" s="81"/>
      <c r="D117" s="81"/>
      <c r="E117" s="81"/>
      <c r="F117" s="81"/>
      <c r="G117" s="81"/>
    </row>
    <row r="118" spans="3:7" ht="15.75">
      <c r="C118" s="81"/>
      <c r="D118" s="81"/>
      <c r="E118" s="81"/>
      <c r="F118" s="81"/>
      <c r="G118" s="81"/>
    </row>
    <row r="119" spans="3:7" ht="15.75">
      <c r="C119" s="81"/>
      <c r="D119" s="81"/>
      <c r="E119" s="81"/>
      <c r="F119" s="81"/>
      <c r="G119" s="81"/>
    </row>
    <row r="120" spans="3:7" ht="15.75">
      <c r="C120" s="81"/>
      <c r="D120" s="81"/>
      <c r="E120" s="81"/>
      <c r="F120" s="81"/>
      <c r="G120" s="81"/>
    </row>
    <row r="121" spans="3:7" ht="15.75">
      <c r="C121" s="81"/>
      <c r="D121" s="81"/>
      <c r="E121" s="81"/>
      <c r="F121" s="81"/>
      <c r="G121" s="81"/>
    </row>
    <row r="122" spans="3:7" ht="15.75">
      <c r="C122" s="81"/>
      <c r="D122" s="81"/>
      <c r="E122" s="81"/>
      <c r="F122" s="81"/>
      <c r="G122" s="81"/>
    </row>
    <row r="123" spans="3:7" ht="15.75">
      <c r="C123" s="81"/>
      <c r="D123" s="81"/>
      <c r="E123" s="81"/>
      <c r="F123" s="81"/>
      <c r="G123" s="81"/>
    </row>
    <row r="124" spans="3:7" ht="15.75">
      <c r="C124" s="81"/>
      <c r="D124" s="81"/>
      <c r="E124" s="81"/>
      <c r="F124" s="81"/>
      <c r="G124" s="81"/>
    </row>
    <row r="125" spans="3:7" ht="15.75">
      <c r="C125" s="81"/>
      <c r="D125" s="81"/>
      <c r="E125" s="81"/>
      <c r="F125" s="81"/>
      <c r="G125" s="81"/>
    </row>
    <row r="126" spans="3:7" ht="15.75">
      <c r="C126" s="81"/>
      <c r="D126" s="81"/>
      <c r="E126" s="81"/>
      <c r="F126" s="81"/>
      <c r="G126" s="81"/>
    </row>
    <row r="127" spans="3:7" ht="15.75">
      <c r="C127" s="81"/>
      <c r="D127" s="81"/>
      <c r="E127" s="81"/>
      <c r="F127" s="81"/>
      <c r="G127" s="81"/>
    </row>
    <row r="128" spans="3:7" ht="15.75">
      <c r="C128" s="81"/>
      <c r="D128" s="81"/>
      <c r="E128" s="81"/>
      <c r="F128" s="81"/>
      <c r="G128" s="81"/>
    </row>
    <row r="129" spans="3:7" ht="15.75">
      <c r="C129" s="81"/>
      <c r="D129" s="81"/>
      <c r="E129" s="81"/>
      <c r="F129" s="81"/>
      <c r="G129" s="81"/>
    </row>
    <row r="130" spans="3:7" ht="15.75">
      <c r="C130" s="81"/>
      <c r="D130" s="81"/>
      <c r="E130" s="81"/>
      <c r="F130" s="81"/>
      <c r="G130" s="81"/>
    </row>
    <row r="131" spans="3:7" ht="15.75">
      <c r="C131" s="81"/>
      <c r="D131" s="81"/>
      <c r="E131" s="81"/>
      <c r="F131" s="81"/>
      <c r="G131" s="81"/>
    </row>
    <row r="132" spans="3:7" ht="15.75">
      <c r="C132" s="81"/>
      <c r="D132" s="81"/>
      <c r="E132" s="81"/>
      <c r="F132" s="81"/>
      <c r="G132" s="81"/>
    </row>
    <row r="133" spans="3:7" ht="15.75">
      <c r="C133" s="81"/>
      <c r="D133" s="81"/>
      <c r="E133" s="81"/>
      <c r="F133" s="81"/>
      <c r="G133" s="81"/>
    </row>
    <row r="134" spans="3:7" ht="15.75">
      <c r="C134" s="81"/>
      <c r="D134" s="81"/>
      <c r="E134" s="81"/>
      <c r="F134" s="81"/>
      <c r="G134" s="81"/>
    </row>
    <row r="135" spans="3:7" ht="15.75">
      <c r="C135" s="81"/>
      <c r="D135" s="81"/>
      <c r="E135" s="81"/>
      <c r="F135" s="81"/>
      <c r="G135" s="81"/>
    </row>
    <row r="136" spans="3:7" ht="15.75">
      <c r="C136" s="81"/>
      <c r="D136" s="81"/>
      <c r="E136" s="81"/>
      <c r="F136" s="81"/>
      <c r="G136" s="81"/>
    </row>
    <row r="137" spans="3:7" ht="15.75">
      <c r="C137" s="81"/>
      <c r="D137" s="81"/>
      <c r="E137" s="81"/>
      <c r="F137" s="81"/>
      <c r="G137" s="81"/>
    </row>
    <row r="138" spans="3:7" ht="15.75">
      <c r="C138" s="81"/>
      <c r="D138" s="81"/>
      <c r="E138" s="81"/>
      <c r="F138" s="81"/>
      <c r="G138" s="81"/>
    </row>
    <row r="139" spans="3:7" ht="15.75">
      <c r="C139" s="81"/>
      <c r="D139" s="81"/>
      <c r="E139" s="81"/>
      <c r="F139" s="81"/>
      <c r="G139" s="81"/>
    </row>
    <row r="140" spans="3:7" ht="15.75">
      <c r="C140" s="81"/>
      <c r="D140" s="81"/>
      <c r="E140" s="81"/>
      <c r="F140" s="81"/>
      <c r="G140" s="81"/>
    </row>
    <row r="141" spans="3:7" ht="15.75">
      <c r="C141" s="81"/>
      <c r="D141" s="81"/>
      <c r="E141" s="81"/>
      <c r="F141" s="81"/>
      <c r="G141" s="81"/>
    </row>
    <row r="142" spans="3:7" ht="15.75">
      <c r="C142" s="81"/>
      <c r="D142" s="81"/>
      <c r="E142" s="81"/>
      <c r="F142" s="81"/>
      <c r="G142" s="81"/>
    </row>
    <row r="143" spans="3:7" ht="15.75">
      <c r="C143" s="81"/>
      <c r="D143" s="81"/>
      <c r="E143" s="81"/>
      <c r="F143" s="81"/>
      <c r="G143" s="81"/>
    </row>
    <row r="144" spans="3:7" ht="15.75">
      <c r="C144" s="81"/>
      <c r="D144" s="81"/>
      <c r="E144" s="81"/>
      <c r="F144" s="81"/>
      <c r="G144" s="81"/>
    </row>
    <row r="145" spans="3:7" ht="15.75">
      <c r="C145" s="81"/>
      <c r="D145" s="81"/>
      <c r="E145" s="81"/>
      <c r="F145" s="81"/>
      <c r="G145" s="81"/>
    </row>
    <row r="146" spans="3:7" ht="15.75">
      <c r="C146" s="81"/>
      <c r="D146" s="81"/>
      <c r="E146" s="81"/>
      <c r="F146" s="81"/>
      <c r="G146" s="81"/>
    </row>
    <row r="147" spans="3:7" ht="15.75">
      <c r="C147" s="81"/>
      <c r="D147" s="81"/>
      <c r="E147" s="81"/>
      <c r="F147" s="81"/>
      <c r="G147" s="81"/>
    </row>
    <row r="148" spans="3:7" ht="15.75">
      <c r="C148" s="81"/>
      <c r="D148" s="81"/>
      <c r="E148" s="81"/>
      <c r="F148" s="81"/>
      <c r="G148" s="81"/>
    </row>
    <row r="149" spans="3:7" ht="15.75">
      <c r="C149" s="81"/>
      <c r="D149" s="81"/>
      <c r="E149" s="81"/>
      <c r="F149" s="81"/>
      <c r="G149" s="81"/>
    </row>
    <row r="150" spans="3:7" ht="15.75">
      <c r="C150" s="81"/>
      <c r="D150" s="81"/>
      <c r="E150" s="81"/>
      <c r="F150" s="81"/>
      <c r="G150" s="81"/>
    </row>
    <row r="151" spans="3:7" ht="15.75">
      <c r="C151" s="81"/>
      <c r="D151" s="81"/>
      <c r="E151" s="81"/>
      <c r="F151" s="81"/>
      <c r="G151" s="81"/>
    </row>
    <row r="152" spans="3:7" ht="15.75">
      <c r="C152" s="81"/>
      <c r="D152" s="81"/>
      <c r="E152" s="81"/>
      <c r="F152" s="81"/>
      <c r="G152" s="81"/>
    </row>
    <row r="153" spans="3:7" ht="15.75">
      <c r="C153" s="81"/>
      <c r="D153" s="81"/>
      <c r="E153" s="81"/>
      <c r="F153" s="81"/>
      <c r="G153" s="81"/>
    </row>
    <row r="154" spans="3:7" ht="15.75">
      <c r="C154" s="81"/>
      <c r="D154" s="81"/>
      <c r="E154" s="81"/>
      <c r="F154" s="81"/>
      <c r="G154" s="81"/>
    </row>
    <row r="155" spans="3:7" ht="15.75">
      <c r="C155" s="81"/>
      <c r="D155" s="81"/>
      <c r="E155" s="81"/>
      <c r="F155" s="81"/>
      <c r="G155" s="81"/>
    </row>
    <row r="156" spans="3:7" ht="15.75">
      <c r="C156" s="81"/>
      <c r="D156" s="81"/>
      <c r="E156" s="81"/>
      <c r="F156" s="81"/>
      <c r="G156" s="81"/>
    </row>
    <row r="157" spans="3:7" ht="15.75">
      <c r="C157" s="81"/>
      <c r="D157" s="81"/>
      <c r="E157" s="81"/>
      <c r="F157" s="81"/>
      <c r="G157" s="81"/>
    </row>
    <row r="158" spans="3:7" ht="15.75">
      <c r="C158" s="81"/>
      <c r="D158" s="81"/>
      <c r="E158" s="81"/>
      <c r="F158" s="81"/>
      <c r="G158" s="81"/>
    </row>
    <row r="159" spans="3:7" ht="15.75">
      <c r="C159" s="81"/>
      <c r="D159" s="81"/>
      <c r="E159" s="81"/>
      <c r="F159" s="81"/>
      <c r="G159" s="81"/>
    </row>
    <row r="160" spans="3:7" ht="15.75">
      <c r="C160" s="81"/>
      <c r="D160" s="81"/>
      <c r="E160" s="81"/>
      <c r="F160" s="81"/>
      <c r="G160" s="81"/>
    </row>
    <row r="161" spans="3:7" ht="15.75">
      <c r="C161" s="81"/>
      <c r="D161" s="81"/>
      <c r="E161" s="81"/>
      <c r="F161" s="81"/>
      <c r="G161" s="81"/>
    </row>
    <row r="162" spans="3:7" ht="15.75">
      <c r="C162" s="81"/>
      <c r="D162" s="81"/>
      <c r="E162" s="81"/>
      <c r="F162" s="81"/>
      <c r="G162" s="81"/>
    </row>
    <row r="163" spans="3:7" ht="15.75">
      <c r="C163" s="81"/>
      <c r="D163" s="81"/>
      <c r="E163" s="81"/>
      <c r="F163" s="81"/>
      <c r="G163" s="81"/>
    </row>
    <row r="164" spans="3:7" ht="15.75">
      <c r="C164" s="81"/>
      <c r="D164" s="81"/>
      <c r="E164" s="81"/>
      <c r="F164" s="81"/>
      <c r="G164" s="81"/>
    </row>
    <row r="165" spans="3:7" ht="15.75">
      <c r="C165" s="81"/>
      <c r="D165" s="81"/>
      <c r="E165" s="81"/>
      <c r="F165" s="81"/>
      <c r="G165" s="81"/>
    </row>
    <row r="166" spans="3:7" ht="15.75">
      <c r="C166" s="81"/>
      <c r="D166" s="81"/>
      <c r="E166" s="81"/>
      <c r="F166" s="81"/>
      <c r="G166" s="81"/>
    </row>
    <row r="167" spans="3:7" ht="15.75">
      <c r="C167" s="81"/>
      <c r="D167" s="81"/>
      <c r="E167" s="81"/>
      <c r="F167" s="81"/>
      <c r="G167" s="81"/>
    </row>
    <row r="168" spans="3:7" ht="15.75">
      <c r="C168" s="81"/>
      <c r="D168" s="81"/>
      <c r="E168" s="81"/>
      <c r="F168" s="81"/>
      <c r="G168" s="81"/>
    </row>
    <row r="169" spans="3:7" ht="15.75">
      <c r="C169" s="81"/>
      <c r="D169" s="81"/>
      <c r="E169" s="81"/>
      <c r="F169" s="81"/>
      <c r="G169" s="81"/>
    </row>
    <row r="170" spans="3:7" ht="15.75">
      <c r="C170" s="81"/>
      <c r="D170" s="81"/>
      <c r="E170" s="81"/>
      <c r="F170" s="81"/>
      <c r="G170" s="81"/>
    </row>
    <row r="171" spans="3:7" ht="15.75">
      <c r="C171" s="81"/>
      <c r="D171" s="81"/>
      <c r="E171" s="81"/>
      <c r="F171" s="81"/>
      <c r="G171" s="81"/>
    </row>
    <row r="172" spans="3:7" ht="15.75">
      <c r="C172" s="81"/>
      <c r="D172" s="81"/>
      <c r="E172" s="81"/>
      <c r="F172" s="81"/>
      <c r="G172" s="81"/>
    </row>
    <row r="173" spans="3:7" ht="15.75">
      <c r="C173" s="81"/>
      <c r="D173" s="81"/>
      <c r="E173" s="81"/>
      <c r="F173" s="81"/>
      <c r="G173" s="81"/>
    </row>
    <row r="174" spans="3:7" ht="15.75">
      <c r="C174" s="81"/>
      <c r="D174" s="81"/>
      <c r="E174" s="81"/>
      <c r="F174" s="81"/>
      <c r="G174" s="81"/>
    </row>
    <row r="175" spans="3:7" ht="15.75">
      <c r="C175" s="81"/>
      <c r="D175" s="81"/>
      <c r="E175" s="81"/>
      <c r="F175" s="81"/>
      <c r="G175" s="81"/>
    </row>
    <row r="176" spans="3:7" ht="15.75">
      <c r="C176" s="81"/>
      <c r="D176" s="81"/>
      <c r="E176" s="81"/>
      <c r="F176" s="81"/>
      <c r="G176" s="81"/>
    </row>
    <row r="177" spans="3:7" ht="15.75">
      <c r="C177" s="81"/>
      <c r="D177" s="81"/>
      <c r="E177" s="81"/>
      <c r="F177" s="81"/>
      <c r="G177" s="81"/>
    </row>
    <row r="178" spans="3:7" ht="15.75">
      <c r="C178" s="81"/>
      <c r="D178" s="81"/>
      <c r="E178" s="81"/>
      <c r="F178" s="81"/>
      <c r="G178" s="81"/>
    </row>
    <row r="179" spans="3:7" ht="15.75">
      <c r="C179" s="81"/>
      <c r="D179" s="81"/>
      <c r="E179" s="81"/>
      <c r="F179" s="81"/>
      <c r="G179" s="81"/>
    </row>
    <row r="180" spans="3:7" ht="15.75">
      <c r="C180" s="81"/>
      <c r="D180" s="81"/>
      <c r="E180" s="81"/>
      <c r="F180" s="81"/>
      <c r="G180" s="81"/>
    </row>
    <row r="181" spans="3:7" ht="15.75">
      <c r="C181" s="81"/>
      <c r="D181" s="81"/>
      <c r="E181" s="81"/>
      <c r="F181" s="81"/>
      <c r="G181" s="81"/>
    </row>
    <row r="182" spans="3:7" ht="15.75">
      <c r="C182" s="81"/>
      <c r="D182" s="81"/>
      <c r="E182" s="81"/>
      <c r="F182" s="81"/>
      <c r="G182" s="81"/>
    </row>
    <row r="183" spans="3:7" ht="15.75">
      <c r="C183" s="81"/>
      <c r="D183" s="81"/>
      <c r="E183" s="81"/>
      <c r="F183" s="81"/>
      <c r="G183" s="81"/>
    </row>
    <row r="184" spans="3:7" ht="15.75">
      <c r="C184" s="81"/>
      <c r="D184" s="81"/>
      <c r="E184" s="81"/>
      <c r="F184" s="81"/>
      <c r="G184" s="81"/>
    </row>
    <row r="185" spans="3:7" ht="15.75">
      <c r="C185" s="81"/>
      <c r="D185" s="81"/>
      <c r="E185" s="81"/>
      <c r="F185" s="81"/>
      <c r="G185" s="81"/>
    </row>
    <row r="186" spans="3:7" ht="15.75">
      <c r="C186" s="81"/>
      <c r="D186" s="81"/>
      <c r="E186" s="81"/>
      <c r="F186" s="81"/>
      <c r="G186" s="81"/>
    </row>
    <row r="187" spans="3:7" ht="15.75">
      <c r="C187" s="81"/>
      <c r="D187" s="81"/>
      <c r="E187" s="81"/>
      <c r="F187" s="81"/>
      <c r="G187" s="81"/>
    </row>
    <row r="188" spans="3:7" ht="15.75">
      <c r="C188" s="81"/>
      <c r="D188" s="81"/>
      <c r="E188" s="81"/>
      <c r="F188" s="81"/>
      <c r="G188" s="81"/>
    </row>
    <row r="189" spans="3:7" ht="15.75">
      <c r="C189" s="81"/>
      <c r="D189" s="81"/>
      <c r="E189" s="81"/>
      <c r="F189" s="81"/>
      <c r="G189" s="81"/>
    </row>
    <row r="190" spans="3:7" ht="15.75">
      <c r="C190" s="81"/>
      <c r="D190" s="81"/>
      <c r="E190" s="81"/>
      <c r="F190" s="81"/>
      <c r="G190" s="81"/>
    </row>
    <row r="191" spans="3:7" ht="15.75">
      <c r="C191" s="81"/>
      <c r="D191" s="81"/>
      <c r="E191" s="81"/>
      <c r="F191" s="81"/>
      <c r="G191" s="81"/>
    </row>
    <row r="192" spans="3:7" ht="15.75">
      <c r="C192" s="81"/>
      <c r="D192" s="81"/>
      <c r="E192" s="81"/>
      <c r="F192" s="81"/>
      <c r="G192" s="81"/>
    </row>
    <row r="193" spans="3:7" ht="15.75">
      <c r="C193" s="81"/>
      <c r="D193" s="81"/>
      <c r="E193" s="81"/>
      <c r="F193" s="81"/>
      <c r="G193" s="81"/>
    </row>
    <row r="194" spans="3:7" ht="15.75">
      <c r="C194" s="81"/>
      <c r="D194" s="81"/>
      <c r="E194" s="81"/>
      <c r="F194" s="81"/>
      <c r="G194" s="81"/>
    </row>
    <row r="195" spans="3:7" ht="15.75">
      <c r="C195" s="81"/>
      <c r="D195" s="81"/>
      <c r="E195" s="81"/>
      <c r="F195" s="81"/>
      <c r="G195" s="81"/>
    </row>
    <row r="196" spans="3:7" ht="15.75">
      <c r="C196" s="81"/>
      <c r="D196" s="81"/>
      <c r="E196" s="81"/>
      <c r="F196" s="81"/>
      <c r="G196" s="81"/>
    </row>
    <row r="197" spans="3:7" ht="15.75">
      <c r="C197" s="81"/>
      <c r="D197" s="81"/>
      <c r="E197" s="81"/>
      <c r="F197" s="81"/>
      <c r="G197" s="81"/>
    </row>
    <row r="198" spans="3:7" ht="15.75">
      <c r="C198" s="81"/>
      <c r="D198" s="81"/>
      <c r="E198" s="81"/>
      <c r="F198" s="81"/>
      <c r="G198" s="81"/>
    </row>
    <row r="199" spans="3:7" ht="15.75">
      <c r="C199" s="81"/>
      <c r="D199" s="81"/>
      <c r="E199" s="81"/>
      <c r="F199" s="81"/>
      <c r="G199" s="81"/>
    </row>
    <row r="200" spans="3:7" ht="15.75">
      <c r="C200" s="81"/>
      <c r="D200" s="81"/>
      <c r="E200" s="81"/>
      <c r="F200" s="81"/>
      <c r="G200" s="81"/>
    </row>
    <row r="201" spans="3:7" ht="15.75">
      <c r="C201" s="81"/>
      <c r="D201" s="81"/>
      <c r="E201" s="81"/>
      <c r="F201" s="81"/>
      <c r="G201" s="81"/>
    </row>
    <row r="202" spans="3:7" ht="15.75">
      <c r="C202" s="81"/>
      <c r="D202" s="81"/>
      <c r="E202" s="81"/>
      <c r="F202" s="81"/>
      <c r="G202" s="81"/>
    </row>
    <row r="203" spans="3:7" ht="15.75">
      <c r="C203" s="81"/>
      <c r="D203" s="81"/>
      <c r="E203" s="81"/>
      <c r="F203" s="81"/>
      <c r="G203" s="81"/>
    </row>
    <row r="204" spans="3:7" ht="15.75">
      <c r="C204" s="81"/>
      <c r="D204" s="81"/>
      <c r="E204" s="81"/>
      <c r="F204" s="81"/>
      <c r="G204" s="81"/>
    </row>
    <row r="205" spans="3:7" ht="15.75">
      <c r="C205" s="81"/>
      <c r="D205" s="81"/>
      <c r="E205" s="81"/>
      <c r="F205" s="81"/>
      <c r="G205" s="81"/>
    </row>
    <row r="206" spans="3:7" ht="15.75">
      <c r="C206" s="81"/>
      <c r="D206" s="81"/>
      <c r="E206" s="81"/>
      <c r="F206" s="81"/>
      <c r="G206" s="81"/>
    </row>
    <row r="207" spans="3:7" ht="15.75">
      <c r="C207" s="81"/>
      <c r="D207" s="81"/>
      <c r="E207" s="81"/>
      <c r="F207" s="81"/>
      <c r="G207" s="81"/>
    </row>
    <row r="208" spans="3:7" ht="15.75">
      <c r="C208" s="81"/>
      <c r="D208" s="81"/>
      <c r="E208" s="81"/>
      <c r="F208" s="81"/>
      <c r="G208" s="81"/>
    </row>
    <row r="209" spans="3:7" ht="15.75">
      <c r="C209" s="81"/>
      <c r="D209" s="81"/>
      <c r="E209" s="81"/>
      <c r="F209" s="81"/>
      <c r="G209" s="81"/>
    </row>
    <row r="210" spans="3:7" ht="15.75">
      <c r="C210" s="81"/>
      <c r="D210" s="81"/>
      <c r="E210" s="81"/>
      <c r="F210" s="81"/>
      <c r="G210" s="81"/>
    </row>
    <row r="211" spans="3:7" ht="15.75">
      <c r="C211" s="81"/>
      <c r="D211" s="81"/>
      <c r="E211" s="81"/>
      <c r="F211" s="81"/>
      <c r="G211" s="81"/>
    </row>
    <row r="212" spans="3:7" ht="15.75">
      <c r="C212" s="81"/>
      <c r="D212" s="81"/>
      <c r="E212" s="81"/>
      <c r="F212" s="81"/>
      <c r="G212" s="81"/>
    </row>
    <row r="213" spans="3:7" ht="15.75">
      <c r="C213" s="81"/>
      <c r="D213" s="81"/>
      <c r="E213" s="81"/>
      <c r="F213" s="81"/>
      <c r="G213" s="81"/>
    </row>
    <row r="214" spans="3:7" ht="15.75">
      <c r="C214" s="81"/>
      <c r="D214" s="81"/>
      <c r="E214" s="81"/>
      <c r="F214" s="81"/>
      <c r="G214" s="81"/>
    </row>
    <row r="215" spans="3:7" ht="15.75">
      <c r="C215" s="81"/>
      <c r="D215" s="81"/>
      <c r="E215" s="81"/>
      <c r="F215" s="81"/>
      <c r="G215" s="81"/>
    </row>
    <row r="216" spans="3:7" ht="15.75">
      <c r="C216" s="81"/>
      <c r="D216" s="81"/>
      <c r="E216" s="81"/>
      <c r="F216" s="81"/>
      <c r="G216" s="81"/>
    </row>
    <row r="217" spans="3:7" ht="15.75">
      <c r="C217" s="81"/>
      <c r="D217" s="81"/>
      <c r="E217" s="81"/>
      <c r="F217" s="81"/>
      <c r="G217" s="81"/>
    </row>
    <row r="218" spans="3:7" ht="15.75">
      <c r="C218" s="81"/>
      <c r="D218" s="81"/>
      <c r="E218" s="81"/>
      <c r="F218" s="81"/>
      <c r="G218" s="81"/>
    </row>
    <row r="219" spans="3:7" ht="15.75">
      <c r="C219" s="81"/>
      <c r="D219" s="81"/>
      <c r="E219" s="81"/>
      <c r="F219" s="81"/>
      <c r="G219" s="81"/>
    </row>
    <row r="220" spans="3:7" ht="15.75">
      <c r="C220" s="81"/>
      <c r="D220" s="81"/>
      <c r="E220" s="81"/>
      <c r="F220" s="81"/>
      <c r="G220" s="81"/>
    </row>
    <row r="221" spans="3:7" ht="15.75">
      <c r="C221" s="81"/>
      <c r="D221" s="81"/>
      <c r="E221" s="81"/>
      <c r="F221" s="81"/>
      <c r="G221" s="81"/>
    </row>
    <row r="222" spans="3:7" ht="15.75">
      <c r="C222" s="81"/>
      <c r="D222" s="81"/>
      <c r="E222" s="81"/>
      <c r="F222" s="81"/>
      <c r="G222" s="81"/>
    </row>
    <row r="223" spans="3:7" ht="15.75">
      <c r="C223" s="81"/>
      <c r="D223" s="81"/>
      <c r="E223" s="81"/>
      <c r="F223" s="81"/>
      <c r="G223" s="81"/>
    </row>
    <row r="224" spans="3:7" ht="15.75">
      <c r="C224" s="81"/>
      <c r="D224" s="81"/>
      <c r="E224" s="81"/>
      <c r="F224" s="81"/>
      <c r="G224" s="81"/>
    </row>
    <row r="225" spans="3:7" ht="15.75">
      <c r="C225" s="81"/>
      <c r="D225" s="81"/>
      <c r="E225" s="81"/>
      <c r="F225" s="81"/>
      <c r="G225" s="81"/>
    </row>
    <row r="226" spans="3:7" ht="15.75">
      <c r="C226" s="81"/>
      <c r="D226" s="81"/>
      <c r="E226" s="81"/>
      <c r="F226" s="81"/>
      <c r="G226" s="81"/>
    </row>
    <row r="227" spans="3:7" ht="15.75">
      <c r="C227" s="81"/>
      <c r="D227" s="81"/>
      <c r="E227" s="81"/>
      <c r="F227" s="81"/>
      <c r="G227" s="81"/>
    </row>
    <row r="228" spans="3:7" ht="15.75">
      <c r="C228" s="81"/>
      <c r="D228" s="81"/>
      <c r="E228" s="81"/>
      <c r="F228" s="81"/>
      <c r="G228" s="81"/>
    </row>
    <row r="229" spans="3:7" ht="15.75">
      <c r="C229" s="81"/>
      <c r="D229" s="81"/>
      <c r="E229" s="81"/>
      <c r="F229" s="81"/>
      <c r="G229" s="81"/>
    </row>
    <row r="230" spans="3:7" ht="15.75">
      <c r="C230" s="81"/>
      <c r="D230" s="81"/>
      <c r="E230" s="81"/>
      <c r="F230" s="81"/>
      <c r="G230" s="81"/>
    </row>
    <row r="231" spans="3:7" ht="15.75">
      <c r="C231" s="81"/>
      <c r="D231" s="81"/>
      <c r="E231" s="81"/>
      <c r="F231" s="81"/>
      <c r="G231" s="81"/>
    </row>
    <row r="232" spans="3:7" ht="15.75">
      <c r="C232" s="81"/>
      <c r="D232" s="81"/>
      <c r="E232" s="81"/>
      <c r="F232" s="81"/>
      <c r="G232" s="81"/>
    </row>
    <row r="233" spans="3:7" ht="15.75">
      <c r="C233" s="81"/>
      <c r="D233" s="81"/>
      <c r="E233" s="81"/>
      <c r="F233" s="81"/>
      <c r="G233" s="81"/>
    </row>
    <row r="234" spans="3:7" ht="15.75">
      <c r="C234" s="81"/>
      <c r="D234" s="81"/>
      <c r="E234" s="81"/>
      <c r="F234" s="81"/>
      <c r="G234" s="81"/>
    </row>
    <row r="235" spans="3:7" ht="15.75">
      <c r="C235" s="81"/>
      <c r="D235" s="81"/>
      <c r="E235" s="81"/>
      <c r="F235" s="81"/>
      <c r="G235" s="81"/>
    </row>
    <row r="236" spans="3:7" ht="15.75">
      <c r="C236" s="81"/>
      <c r="D236" s="81"/>
      <c r="E236" s="81"/>
      <c r="F236" s="81"/>
      <c r="G236" s="81"/>
    </row>
    <row r="237" spans="3:7" ht="15.75">
      <c r="C237" s="81"/>
      <c r="D237" s="81"/>
      <c r="E237" s="81"/>
      <c r="F237" s="81"/>
      <c r="G237" s="81"/>
    </row>
    <row r="238" spans="3:7" ht="15.75">
      <c r="C238" s="81"/>
      <c r="D238" s="81"/>
      <c r="E238" s="81"/>
      <c r="F238" s="81"/>
      <c r="G238" s="81"/>
    </row>
    <row r="239" spans="3:7" ht="15.75">
      <c r="C239" s="81"/>
      <c r="D239" s="81"/>
      <c r="E239" s="81"/>
      <c r="F239" s="81"/>
      <c r="G239" s="81"/>
    </row>
    <row r="240" spans="3:7" ht="15.75">
      <c r="C240" s="81"/>
      <c r="D240" s="81"/>
      <c r="E240" s="81"/>
      <c r="F240" s="81"/>
      <c r="G240" s="81"/>
    </row>
    <row r="241" spans="3:7" ht="15.75">
      <c r="C241" s="81"/>
      <c r="D241" s="81"/>
      <c r="E241" s="81"/>
      <c r="F241" s="81"/>
      <c r="G241" s="81"/>
    </row>
    <row r="242" spans="3:7" ht="15.75">
      <c r="C242" s="81"/>
      <c r="D242" s="81"/>
      <c r="E242" s="81"/>
      <c r="F242" s="81"/>
      <c r="G242" s="81"/>
    </row>
    <row r="243" spans="3:7" ht="15.75">
      <c r="C243" s="81"/>
      <c r="D243" s="81"/>
      <c r="E243" s="81"/>
      <c r="F243" s="81"/>
      <c r="G243" s="81"/>
    </row>
    <row r="244" spans="3:7" ht="15.75">
      <c r="C244" s="81"/>
      <c r="D244" s="81"/>
      <c r="E244" s="81"/>
      <c r="F244" s="81"/>
      <c r="G244" s="81"/>
    </row>
    <row r="245" spans="3:7" ht="15.75">
      <c r="C245" s="81"/>
      <c r="D245" s="81"/>
      <c r="E245" s="81"/>
      <c r="F245" s="81"/>
      <c r="G245" s="81"/>
    </row>
    <row r="246" spans="3:7" ht="15.75">
      <c r="C246" s="81"/>
      <c r="D246" s="81"/>
      <c r="E246" s="81"/>
      <c r="F246" s="81"/>
      <c r="G246" s="81"/>
    </row>
    <row r="247" spans="3:7" ht="15.75">
      <c r="C247" s="81"/>
      <c r="D247" s="81"/>
      <c r="E247" s="81"/>
      <c r="F247" s="81"/>
      <c r="G247" s="81"/>
    </row>
    <row r="248" spans="3:7" ht="15.75">
      <c r="C248" s="81"/>
      <c r="D248" s="81"/>
      <c r="E248" s="81"/>
      <c r="F248" s="81"/>
      <c r="G248" s="81"/>
    </row>
    <row r="249" spans="3:7" ht="15.75">
      <c r="C249" s="81"/>
      <c r="D249" s="81"/>
      <c r="E249" s="81"/>
      <c r="F249" s="81"/>
      <c r="G249" s="81"/>
    </row>
    <row r="250" spans="3:7" ht="15.75">
      <c r="C250" s="81"/>
      <c r="D250" s="81"/>
      <c r="E250" s="81"/>
      <c r="F250" s="81"/>
      <c r="G250" s="81"/>
    </row>
    <row r="251" spans="3:7" ht="15.75">
      <c r="C251" s="81"/>
      <c r="D251" s="81"/>
      <c r="E251" s="81"/>
      <c r="F251" s="81"/>
      <c r="G251" s="81"/>
    </row>
    <row r="252" spans="3:7" ht="15.75">
      <c r="C252" s="81"/>
      <c r="D252" s="81"/>
      <c r="E252" s="81"/>
      <c r="F252" s="81"/>
      <c r="G252" s="81"/>
    </row>
    <row r="253" spans="3:7" ht="15.75">
      <c r="C253" s="81"/>
      <c r="D253" s="81"/>
      <c r="E253" s="81"/>
      <c r="F253" s="81"/>
      <c r="G253" s="81"/>
    </row>
    <row r="254" spans="3:7" ht="15.75">
      <c r="C254" s="81"/>
      <c r="D254" s="81"/>
      <c r="E254" s="81"/>
      <c r="F254" s="81"/>
      <c r="G254" s="81"/>
    </row>
    <row r="255" spans="3:7" ht="15.75">
      <c r="C255" s="81"/>
      <c r="D255" s="81"/>
      <c r="E255" s="81"/>
      <c r="F255" s="81"/>
      <c r="G255" s="81"/>
    </row>
    <row r="256" spans="3:7" ht="15.75">
      <c r="C256" s="81"/>
      <c r="D256" s="81"/>
      <c r="E256" s="81"/>
      <c r="F256" s="81"/>
      <c r="G256" s="81"/>
    </row>
    <row r="257" spans="3:7" ht="15.75">
      <c r="C257" s="81"/>
      <c r="D257" s="81"/>
      <c r="E257" s="81"/>
      <c r="F257" s="81"/>
      <c r="G257" s="81"/>
    </row>
    <row r="258" spans="3:7" ht="15.75">
      <c r="C258" s="81"/>
      <c r="D258" s="81"/>
      <c r="E258" s="81"/>
      <c r="F258" s="81"/>
      <c r="G258" s="81"/>
    </row>
    <row r="259" spans="3:7" ht="15.75">
      <c r="C259" s="81"/>
      <c r="D259" s="81"/>
      <c r="E259" s="81"/>
      <c r="F259" s="81"/>
      <c r="G259" s="81"/>
    </row>
    <row r="260" spans="3:7" ht="15.75">
      <c r="C260" s="81"/>
      <c r="D260" s="81"/>
      <c r="E260" s="81"/>
      <c r="F260" s="81"/>
      <c r="G260" s="81"/>
    </row>
    <row r="261" spans="3:7" ht="15.75">
      <c r="C261" s="81"/>
      <c r="D261" s="81"/>
      <c r="E261" s="81"/>
      <c r="F261" s="81"/>
      <c r="G261" s="81"/>
    </row>
    <row r="262" spans="3:7" ht="15.75">
      <c r="C262" s="81"/>
      <c r="D262" s="81"/>
      <c r="E262" s="81"/>
      <c r="F262" s="81"/>
      <c r="G262" s="81"/>
    </row>
    <row r="263" spans="3:7" ht="15.75">
      <c r="C263" s="81"/>
      <c r="D263" s="81"/>
      <c r="E263" s="81"/>
      <c r="F263" s="81"/>
      <c r="G263" s="81"/>
    </row>
    <row r="264" spans="3:7" ht="15.75">
      <c r="C264" s="81"/>
      <c r="D264" s="81"/>
      <c r="E264" s="81"/>
      <c r="F264" s="81"/>
      <c r="G264" s="81"/>
    </row>
    <row r="265" spans="3:7" ht="15.75">
      <c r="C265" s="81"/>
      <c r="D265" s="81"/>
      <c r="E265" s="81"/>
      <c r="F265" s="81"/>
      <c r="G265" s="81"/>
    </row>
    <row r="266" spans="3:7" ht="15.75">
      <c r="C266" s="81"/>
      <c r="D266" s="81"/>
      <c r="E266" s="81"/>
      <c r="F266" s="81"/>
      <c r="G266" s="81"/>
    </row>
    <row r="267" spans="3:7" ht="15.75">
      <c r="C267" s="81"/>
      <c r="D267" s="81"/>
      <c r="E267" s="81"/>
      <c r="F267" s="81"/>
      <c r="G267" s="81"/>
    </row>
    <row r="268" spans="3:7" ht="15.75">
      <c r="C268" s="81"/>
      <c r="D268" s="81"/>
      <c r="E268" s="81"/>
      <c r="F268" s="81"/>
      <c r="G268" s="81"/>
    </row>
    <row r="269" spans="3:7" ht="15.75">
      <c r="C269" s="81"/>
      <c r="D269" s="81"/>
      <c r="E269" s="81"/>
      <c r="F269" s="81"/>
      <c r="G269" s="81"/>
    </row>
    <row r="270" spans="3:7" ht="15.75">
      <c r="C270" s="81"/>
      <c r="D270" s="81"/>
      <c r="E270" s="81"/>
      <c r="F270" s="81"/>
      <c r="G270" s="81"/>
    </row>
    <row r="271" spans="3:7" ht="15.75">
      <c r="C271" s="81"/>
      <c r="D271" s="81"/>
      <c r="E271" s="81"/>
      <c r="F271" s="81"/>
      <c r="G271" s="81"/>
    </row>
    <row r="272" spans="3:7" ht="15.75">
      <c r="C272" s="81"/>
      <c r="D272" s="81"/>
      <c r="E272" s="81"/>
      <c r="F272" s="81"/>
      <c r="G272" s="81"/>
    </row>
    <row r="273" spans="3:7" ht="15.75">
      <c r="C273" s="81"/>
      <c r="D273" s="81"/>
      <c r="E273" s="81"/>
      <c r="F273" s="81"/>
      <c r="G273" s="81"/>
    </row>
    <row r="274" spans="3:7" ht="15.75">
      <c r="C274" s="81"/>
      <c r="D274" s="81"/>
      <c r="E274" s="81"/>
      <c r="F274" s="81"/>
      <c r="G274" s="81"/>
    </row>
    <row r="275" spans="3:7" ht="15.75">
      <c r="C275" s="81"/>
      <c r="D275" s="81"/>
      <c r="E275" s="81"/>
      <c r="F275" s="81"/>
      <c r="G275" s="81"/>
    </row>
    <row r="276" spans="3:7" ht="15.75">
      <c r="C276" s="81"/>
      <c r="D276" s="81"/>
      <c r="E276" s="81"/>
      <c r="F276" s="81"/>
      <c r="G276" s="81"/>
    </row>
    <row r="277" spans="3:7" ht="15.75">
      <c r="C277" s="81"/>
      <c r="D277" s="81"/>
      <c r="E277" s="81"/>
      <c r="F277" s="81"/>
      <c r="G277" s="81"/>
    </row>
    <row r="278" spans="3:7" ht="15.75">
      <c r="C278" s="81"/>
      <c r="D278" s="81"/>
      <c r="E278" s="81"/>
      <c r="F278" s="81"/>
      <c r="G278" s="81"/>
    </row>
    <row r="279" spans="3:7" ht="15.75">
      <c r="C279" s="81"/>
      <c r="D279" s="81"/>
      <c r="E279" s="81"/>
      <c r="F279" s="81"/>
      <c r="G279" s="81"/>
    </row>
    <row r="280" spans="3:7" ht="15.75">
      <c r="C280" s="81"/>
      <c r="D280" s="81"/>
      <c r="E280" s="81"/>
      <c r="F280" s="81"/>
      <c r="G280" s="81"/>
    </row>
    <row r="281" spans="3:7" ht="15.75">
      <c r="C281" s="81"/>
      <c r="D281" s="81"/>
      <c r="E281" s="81"/>
      <c r="F281" s="81"/>
      <c r="G281" s="81"/>
    </row>
    <row r="282" spans="3:7" ht="15.75">
      <c r="C282" s="81"/>
      <c r="D282" s="81"/>
      <c r="E282" s="81"/>
      <c r="F282" s="81"/>
      <c r="G282" s="81"/>
    </row>
    <row r="283" spans="3:7" ht="15.75">
      <c r="C283" s="81"/>
      <c r="D283" s="81"/>
      <c r="E283" s="81"/>
      <c r="F283" s="81"/>
      <c r="G283" s="81"/>
    </row>
    <row r="284" spans="3:7" ht="15.75">
      <c r="C284" s="81"/>
      <c r="D284" s="81"/>
      <c r="E284" s="81"/>
      <c r="F284" s="81"/>
      <c r="G284" s="81"/>
    </row>
    <row r="285" spans="3:7" ht="15.75">
      <c r="C285" s="81"/>
      <c r="D285" s="81"/>
      <c r="E285" s="81"/>
      <c r="F285" s="81"/>
      <c r="G285" s="81"/>
    </row>
    <row r="286" spans="3:7" ht="15.75">
      <c r="C286" s="81"/>
      <c r="D286" s="81"/>
      <c r="E286" s="81"/>
      <c r="F286" s="81"/>
      <c r="G286" s="81"/>
    </row>
    <row r="287" spans="3:7" ht="15.75">
      <c r="C287" s="81"/>
      <c r="D287" s="81"/>
      <c r="E287" s="81"/>
      <c r="F287" s="81"/>
      <c r="G287" s="81"/>
    </row>
    <row r="288" spans="3:7" ht="15.75">
      <c r="C288" s="81"/>
      <c r="D288" s="81"/>
      <c r="E288" s="81"/>
      <c r="F288" s="81"/>
      <c r="G288" s="81"/>
    </row>
    <row r="289" spans="3:7" ht="15.75">
      <c r="C289" s="81"/>
      <c r="D289" s="81"/>
      <c r="E289" s="81"/>
      <c r="F289" s="81"/>
      <c r="G289" s="81"/>
    </row>
    <row r="290" spans="3:7" ht="15.75">
      <c r="C290" s="81"/>
      <c r="D290" s="81"/>
      <c r="E290" s="81"/>
      <c r="F290" s="81"/>
      <c r="G290" s="81"/>
    </row>
    <row r="291" spans="3:7" ht="15.75">
      <c r="C291" s="81"/>
      <c r="D291" s="81"/>
      <c r="E291" s="81"/>
      <c r="F291" s="81"/>
      <c r="G291" s="81"/>
    </row>
    <row r="292" spans="3:7" ht="15.75">
      <c r="C292" s="81"/>
      <c r="D292" s="81"/>
      <c r="E292" s="81"/>
      <c r="F292" s="81"/>
      <c r="G292" s="81"/>
    </row>
    <row r="293" spans="3:7" ht="15.75">
      <c r="C293" s="81"/>
      <c r="D293" s="81"/>
      <c r="E293" s="81"/>
      <c r="F293" s="81"/>
      <c r="G293" s="81"/>
    </row>
    <row r="294" spans="3:7" ht="15.75">
      <c r="C294" s="81"/>
      <c r="D294" s="81"/>
      <c r="E294" s="81"/>
      <c r="F294" s="81"/>
      <c r="G294" s="81"/>
    </row>
    <row r="295" spans="3:7" ht="15.75">
      <c r="C295" s="81"/>
      <c r="D295" s="81"/>
      <c r="E295" s="81"/>
      <c r="F295" s="81"/>
      <c r="G295" s="81"/>
    </row>
    <row r="296" spans="3:7" ht="15.75">
      <c r="C296" s="81"/>
      <c r="D296" s="81"/>
      <c r="E296" s="81"/>
      <c r="F296" s="81"/>
      <c r="G296" s="81"/>
    </row>
    <row r="297" spans="3:7" ht="15.75">
      <c r="C297" s="81"/>
      <c r="D297" s="81"/>
      <c r="E297" s="81"/>
      <c r="F297" s="81"/>
      <c r="G297" s="81"/>
    </row>
    <row r="298" spans="3:7" ht="15.75">
      <c r="C298" s="81"/>
      <c r="D298" s="81"/>
      <c r="E298" s="81"/>
      <c r="F298" s="81"/>
      <c r="G298" s="81"/>
    </row>
    <row r="299" spans="3:7" ht="15.75">
      <c r="C299" s="81"/>
      <c r="D299" s="81"/>
      <c r="E299" s="81"/>
      <c r="F299" s="81"/>
      <c r="G299" s="81"/>
    </row>
    <row r="300" spans="3:7" ht="15.75">
      <c r="C300" s="81"/>
      <c r="D300" s="81"/>
      <c r="E300" s="81"/>
      <c r="F300" s="81"/>
      <c r="G300" s="81"/>
    </row>
    <row r="301" spans="3:7" ht="15.75">
      <c r="C301" s="81"/>
      <c r="D301" s="81"/>
      <c r="E301" s="81"/>
      <c r="F301" s="81"/>
      <c r="G301" s="81"/>
    </row>
    <row r="302" spans="3:7" ht="15.75">
      <c r="C302" s="81"/>
      <c r="D302" s="81"/>
      <c r="E302" s="81"/>
      <c r="F302" s="81"/>
      <c r="G302" s="81"/>
    </row>
    <row r="303" spans="3:7" ht="15.75">
      <c r="C303" s="81"/>
      <c r="D303" s="81"/>
      <c r="E303" s="81"/>
      <c r="F303" s="81"/>
      <c r="G303" s="81"/>
    </row>
    <row r="304" spans="3:7" ht="15.75">
      <c r="C304" s="81"/>
      <c r="D304" s="81"/>
      <c r="E304" s="81"/>
      <c r="F304" s="81"/>
      <c r="G304" s="81"/>
    </row>
    <row r="305" spans="3:7" ht="15.75">
      <c r="C305" s="81"/>
      <c r="D305" s="81"/>
      <c r="E305" s="81"/>
      <c r="F305" s="81"/>
      <c r="G305" s="81"/>
    </row>
    <row r="306" spans="3:7" ht="15.75">
      <c r="C306" s="81"/>
      <c r="D306" s="81"/>
      <c r="E306" s="81"/>
      <c r="F306" s="81"/>
      <c r="G306" s="81"/>
    </row>
    <row r="307" spans="3:7" ht="15.75">
      <c r="C307" s="81"/>
      <c r="D307" s="81"/>
      <c r="E307" s="81"/>
      <c r="F307" s="81"/>
      <c r="G307" s="81"/>
    </row>
    <row r="308" spans="3:7" ht="15.75">
      <c r="C308" s="81"/>
      <c r="D308" s="81"/>
      <c r="E308" s="81"/>
      <c r="F308" s="81"/>
      <c r="G308" s="81"/>
    </row>
    <row r="309" spans="3:7" ht="15.75">
      <c r="C309" s="81"/>
      <c r="D309" s="81"/>
      <c r="E309" s="81"/>
      <c r="F309" s="81"/>
      <c r="G309" s="81"/>
    </row>
    <row r="310" spans="3:7" ht="15.75">
      <c r="C310" s="81"/>
      <c r="D310" s="81"/>
      <c r="E310" s="81"/>
      <c r="F310" s="81"/>
      <c r="G310" s="81"/>
    </row>
    <row r="311" spans="3:7" ht="15.75">
      <c r="C311" s="81"/>
      <c r="D311" s="81"/>
      <c r="E311" s="81"/>
      <c r="F311" s="81"/>
      <c r="G311" s="81"/>
    </row>
    <row r="312" spans="3:7" ht="15.75">
      <c r="C312" s="81"/>
      <c r="D312" s="81"/>
      <c r="E312" s="81"/>
      <c r="F312" s="81"/>
      <c r="G312" s="81"/>
    </row>
    <row r="313" spans="3:7" ht="15.75">
      <c r="C313" s="81"/>
      <c r="D313" s="81"/>
      <c r="E313" s="81"/>
      <c r="F313" s="81"/>
      <c r="G313" s="81"/>
    </row>
    <row r="314" spans="3:7" ht="15.75">
      <c r="C314" s="81"/>
      <c r="D314" s="81"/>
      <c r="E314" s="81"/>
      <c r="F314" s="81"/>
      <c r="G314" s="81"/>
    </row>
    <row r="315" spans="3:7" ht="15.75">
      <c r="C315" s="81"/>
      <c r="D315" s="81"/>
      <c r="E315" s="81"/>
      <c r="F315" s="81"/>
      <c r="G315" s="81"/>
    </row>
    <row r="316" spans="3:7" ht="15.75">
      <c r="C316" s="81"/>
      <c r="D316" s="81"/>
      <c r="E316" s="81"/>
      <c r="F316" s="81"/>
      <c r="G316" s="81"/>
    </row>
    <row r="317" spans="3:7" ht="15.75">
      <c r="C317" s="81"/>
      <c r="D317" s="81"/>
      <c r="E317" s="81"/>
      <c r="F317" s="81"/>
      <c r="G317" s="81"/>
    </row>
    <row r="318" spans="3:7" ht="15.75">
      <c r="C318" s="81"/>
      <c r="D318" s="81"/>
      <c r="E318" s="81"/>
      <c r="F318" s="81"/>
      <c r="G318" s="81"/>
    </row>
    <row r="319" spans="3:7" ht="15.75">
      <c r="C319" s="81"/>
      <c r="D319" s="81"/>
      <c r="E319" s="81"/>
      <c r="F319" s="81"/>
      <c r="G319" s="81"/>
    </row>
    <row r="320" spans="3:7" ht="15.75">
      <c r="C320" s="81"/>
      <c r="D320" s="81"/>
      <c r="E320" s="81"/>
      <c r="F320" s="81"/>
      <c r="G320" s="81"/>
    </row>
    <row r="321" spans="3:7" ht="15.75">
      <c r="C321" s="81"/>
      <c r="D321" s="81"/>
      <c r="E321" s="81"/>
      <c r="F321" s="81"/>
      <c r="G321" s="81"/>
    </row>
    <row r="322" spans="3:7" ht="15.75">
      <c r="C322" s="81"/>
      <c r="D322" s="81"/>
      <c r="E322" s="81"/>
      <c r="F322" s="81"/>
      <c r="G322" s="81"/>
    </row>
    <row r="323" spans="3:7" ht="15.75">
      <c r="C323" s="81"/>
      <c r="D323" s="81"/>
      <c r="E323" s="81"/>
      <c r="F323" s="81"/>
      <c r="G323" s="81"/>
    </row>
    <row r="324" spans="3:7" ht="15.75">
      <c r="C324" s="81"/>
      <c r="D324" s="81"/>
      <c r="E324" s="81"/>
      <c r="F324" s="81"/>
      <c r="G324" s="81"/>
    </row>
    <row r="325" spans="3:7" ht="15.75">
      <c r="C325" s="81"/>
      <c r="D325" s="81"/>
      <c r="E325" s="81"/>
      <c r="F325" s="81"/>
      <c r="G325" s="81"/>
    </row>
    <row r="326" spans="3:7" ht="15.75">
      <c r="C326" s="81"/>
      <c r="D326" s="81"/>
      <c r="E326" s="81"/>
      <c r="F326" s="81"/>
      <c r="G326" s="81"/>
    </row>
    <row r="327" spans="3:7" ht="15.75">
      <c r="C327" s="81"/>
      <c r="D327" s="81"/>
      <c r="E327" s="81"/>
      <c r="F327" s="81"/>
      <c r="G327" s="81"/>
    </row>
    <row r="328" spans="3:7" ht="15.75">
      <c r="C328" s="81"/>
      <c r="D328" s="81"/>
      <c r="E328" s="81"/>
      <c r="F328" s="81"/>
      <c r="G328" s="81"/>
    </row>
    <row r="329" spans="3:7" ht="15.75">
      <c r="C329" s="81"/>
      <c r="D329" s="81"/>
      <c r="E329" s="81"/>
      <c r="F329" s="81"/>
      <c r="G329" s="81"/>
    </row>
    <row r="330" spans="3:7" ht="15.75">
      <c r="C330" s="81"/>
      <c r="D330" s="81"/>
      <c r="E330" s="81"/>
      <c r="F330" s="81"/>
      <c r="G330" s="81"/>
    </row>
    <row r="331" spans="3:7" ht="15.75">
      <c r="C331" s="81"/>
      <c r="D331" s="81"/>
      <c r="E331" s="81"/>
      <c r="F331" s="81"/>
      <c r="G331" s="81"/>
    </row>
    <row r="332" spans="3:7" ht="15.75">
      <c r="C332" s="81"/>
      <c r="D332" s="81"/>
      <c r="E332" s="81"/>
      <c r="F332" s="81"/>
      <c r="G332" s="81"/>
    </row>
    <row r="333" spans="3:7" ht="15.75">
      <c r="C333" s="81"/>
      <c r="D333" s="81"/>
      <c r="E333" s="81"/>
      <c r="F333" s="81"/>
      <c r="G333" s="81"/>
    </row>
    <row r="334" spans="3:7" ht="15.75">
      <c r="C334" s="81"/>
      <c r="D334" s="81"/>
      <c r="E334" s="81"/>
      <c r="F334" s="81"/>
      <c r="G334" s="81"/>
    </row>
    <row r="335" spans="3:7" ht="15.75">
      <c r="C335" s="81"/>
      <c r="D335" s="81"/>
      <c r="E335" s="81"/>
      <c r="F335" s="81"/>
      <c r="G335" s="81"/>
    </row>
    <row r="336" spans="3:7" ht="15.75">
      <c r="C336" s="81"/>
      <c r="D336" s="81"/>
      <c r="E336" s="81"/>
      <c r="F336" s="81"/>
      <c r="G336" s="81"/>
    </row>
    <row r="337" spans="3:7" ht="15.75">
      <c r="C337" s="81"/>
      <c r="D337" s="81"/>
      <c r="E337" s="81"/>
      <c r="F337" s="81"/>
      <c r="G337" s="81"/>
    </row>
    <row r="338" spans="3:7" ht="15.75">
      <c r="C338" s="81"/>
      <c r="D338" s="81"/>
      <c r="E338" s="81"/>
      <c r="F338" s="81"/>
      <c r="G338" s="81"/>
    </row>
    <row r="339" spans="3:7" ht="15.75">
      <c r="C339" s="81"/>
      <c r="D339" s="81"/>
      <c r="E339" s="81"/>
      <c r="F339" s="81"/>
      <c r="G339" s="81"/>
    </row>
    <row r="340" spans="3:7" ht="15.75">
      <c r="C340" s="81"/>
      <c r="D340" s="81"/>
      <c r="E340" s="81"/>
      <c r="F340" s="81"/>
      <c r="G340" s="81"/>
    </row>
    <row r="341" spans="3:7" ht="15.75">
      <c r="C341" s="81"/>
      <c r="D341" s="81"/>
      <c r="E341" s="81"/>
      <c r="F341" s="81"/>
      <c r="G341" s="81"/>
    </row>
    <row r="342" spans="3:7" ht="15.75">
      <c r="C342" s="81"/>
      <c r="D342" s="81"/>
      <c r="E342" s="81"/>
      <c r="F342" s="81"/>
      <c r="G342" s="81"/>
    </row>
    <row r="343" spans="3:7" ht="15.75">
      <c r="C343" s="81"/>
      <c r="D343" s="81"/>
      <c r="E343" s="81"/>
      <c r="F343" s="81"/>
      <c r="G343" s="81"/>
    </row>
    <row r="344" spans="3:7" ht="15.75">
      <c r="C344" s="81"/>
      <c r="D344" s="81"/>
      <c r="E344" s="81"/>
      <c r="F344" s="81"/>
      <c r="G344" s="81"/>
    </row>
    <row r="345" spans="3:7" ht="15.75">
      <c r="C345" s="81"/>
      <c r="D345" s="81"/>
      <c r="E345" s="81"/>
      <c r="F345" s="81"/>
      <c r="G345" s="81"/>
    </row>
    <row r="346" spans="3:7" ht="15.75">
      <c r="C346" s="81"/>
      <c r="D346" s="81"/>
      <c r="E346" s="81"/>
      <c r="F346" s="81"/>
      <c r="G346" s="81"/>
    </row>
    <row r="347" spans="3:7" ht="15.75">
      <c r="C347" s="81"/>
      <c r="D347" s="81"/>
      <c r="E347" s="81"/>
      <c r="F347" s="81"/>
      <c r="G347" s="81"/>
    </row>
    <row r="348" spans="3:7" ht="15.75">
      <c r="C348" s="81"/>
      <c r="D348" s="81"/>
      <c r="E348" s="81"/>
      <c r="F348" s="81"/>
      <c r="G348" s="81"/>
    </row>
    <row r="349" spans="3:7" ht="15.75">
      <c r="C349" s="81"/>
      <c r="D349" s="81"/>
      <c r="E349" s="81"/>
      <c r="F349" s="81"/>
      <c r="G349" s="81"/>
    </row>
    <row r="350" spans="3:7" ht="15.75">
      <c r="C350" s="81"/>
      <c r="D350" s="81"/>
      <c r="E350" s="81"/>
      <c r="F350" s="81"/>
      <c r="G350" s="81"/>
    </row>
    <row r="351" spans="3:7" ht="15.75">
      <c r="C351" s="81"/>
      <c r="D351" s="81"/>
      <c r="E351" s="81"/>
      <c r="F351" s="81"/>
      <c r="G351" s="81"/>
    </row>
    <row r="352" spans="3:7" ht="15.75">
      <c r="C352" s="81"/>
      <c r="D352" s="81"/>
      <c r="E352" s="81"/>
      <c r="F352" s="81"/>
      <c r="G352" s="81"/>
    </row>
    <row r="353" spans="3:7" ht="15.75">
      <c r="C353" s="81"/>
      <c r="D353" s="81"/>
      <c r="E353" s="81"/>
      <c r="F353" s="81"/>
      <c r="G353" s="81"/>
    </row>
    <row r="354" spans="3:7" ht="15.75">
      <c r="C354" s="81"/>
      <c r="D354" s="81"/>
      <c r="E354" s="81"/>
      <c r="F354" s="81"/>
      <c r="G354" s="81"/>
    </row>
    <row r="355" spans="3:7" ht="15.75">
      <c r="C355" s="81"/>
      <c r="D355" s="81"/>
      <c r="E355" s="81"/>
      <c r="F355" s="81"/>
      <c r="G355" s="81"/>
    </row>
    <row r="356" spans="3:7" ht="15.75">
      <c r="C356" s="81"/>
      <c r="D356" s="81"/>
      <c r="E356" s="81"/>
      <c r="F356" s="81"/>
      <c r="G356" s="81"/>
    </row>
    <row r="357" spans="3:7" ht="15.75">
      <c r="C357" s="81"/>
      <c r="D357" s="81"/>
      <c r="E357" s="81"/>
      <c r="F357" s="81"/>
      <c r="G357" s="81"/>
    </row>
    <row r="358" spans="3:7" ht="15.75">
      <c r="C358" s="81"/>
      <c r="D358" s="81"/>
      <c r="E358" s="81"/>
      <c r="F358" s="81"/>
      <c r="G358" s="81"/>
    </row>
    <row r="359" spans="3:7" ht="15.75">
      <c r="C359" s="81"/>
      <c r="D359" s="81"/>
      <c r="E359" s="81"/>
      <c r="F359" s="81"/>
      <c r="G359" s="81"/>
    </row>
    <row r="360" spans="3:7" ht="15.75">
      <c r="C360" s="81"/>
      <c r="D360" s="81"/>
      <c r="E360" s="81"/>
      <c r="F360" s="81"/>
      <c r="G360" s="81"/>
    </row>
    <row r="361" spans="3:7" ht="15.75">
      <c r="C361" s="81"/>
      <c r="D361" s="81"/>
      <c r="E361" s="81"/>
      <c r="F361" s="81"/>
      <c r="G361" s="81"/>
    </row>
    <row r="362" spans="3:7" ht="15.75">
      <c r="C362" s="81"/>
      <c r="D362" s="81"/>
      <c r="E362" s="81"/>
      <c r="F362" s="81"/>
      <c r="G362" s="81"/>
    </row>
    <row r="363" spans="3:7" ht="15.75">
      <c r="C363" s="81"/>
      <c r="D363" s="81"/>
      <c r="E363" s="81"/>
      <c r="F363" s="81"/>
      <c r="G363" s="81"/>
    </row>
    <row r="364" spans="3:7" ht="15.75">
      <c r="C364" s="81"/>
      <c r="D364" s="81"/>
      <c r="E364" s="81"/>
      <c r="F364" s="81"/>
      <c r="G364" s="81"/>
    </row>
    <row r="365" spans="3:7" ht="15.75">
      <c r="C365" s="81"/>
      <c r="D365" s="81"/>
      <c r="E365" s="81"/>
      <c r="F365" s="81"/>
      <c r="G365" s="81"/>
    </row>
    <row r="366" spans="3:7" ht="15.75">
      <c r="C366" s="81"/>
      <c r="D366" s="81"/>
      <c r="E366" s="81"/>
      <c r="F366" s="81"/>
      <c r="G366" s="81"/>
    </row>
    <row r="367" spans="3:7" ht="15.75">
      <c r="C367" s="81"/>
      <c r="D367" s="81"/>
      <c r="E367" s="81"/>
      <c r="F367" s="81"/>
      <c r="G367" s="81"/>
    </row>
    <row r="368" spans="3:7" ht="15.75">
      <c r="C368" s="81"/>
      <c r="D368" s="81"/>
      <c r="E368" s="81"/>
      <c r="F368" s="81"/>
      <c r="G368" s="81"/>
    </row>
    <row r="369" spans="3:7" ht="15.75">
      <c r="C369" s="81"/>
      <c r="D369" s="81"/>
      <c r="E369" s="81"/>
      <c r="F369" s="81"/>
      <c r="G369" s="81"/>
    </row>
    <row r="370" spans="3:7" ht="15.75">
      <c r="C370" s="81"/>
      <c r="D370" s="81"/>
      <c r="E370" s="81"/>
      <c r="F370" s="81"/>
      <c r="G370" s="81"/>
    </row>
    <row r="371" spans="3:7" ht="15.75">
      <c r="C371" s="81"/>
      <c r="D371" s="81"/>
      <c r="E371" s="81"/>
      <c r="F371" s="81"/>
      <c r="G371" s="81"/>
    </row>
    <row r="372" spans="3:7" ht="15.75">
      <c r="C372" s="81"/>
      <c r="D372" s="81"/>
      <c r="E372" s="81"/>
      <c r="F372" s="81"/>
      <c r="G372" s="81"/>
    </row>
    <row r="373" spans="3:7" ht="15.75">
      <c r="C373" s="81"/>
      <c r="D373" s="81"/>
      <c r="E373" s="81"/>
      <c r="F373" s="81"/>
      <c r="G373" s="81"/>
    </row>
    <row r="374" spans="3:7" ht="15.75">
      <c r="C374" s="81"/>
      <c r="D374" s="81"/>
      <c r="E374" s="81"/>
      <c r="F374" s="81"/>
      <c r="G374" s="81"/>
    </row>
    <row r="375" spans="3:7" ht="15.75">
      <c r="C375" s="81"/>
      <c r="D375" s="81"/>
      <c r="E375" s="81"/>
      <c r="F375" s="81"/>
      <c r="G375" s="81"/>
    </row>
    <row r="376" spans="3:7" ht="15.75">
      <c r="C376" s="81"/>
      <c r="D376" s="81"/>
      <c r="E376" s="81"/>
      <c r="F376" s="81"/>
      <c r="G376" s="81"/>
    </row>
    <row r="377" spans="3:7" ht="15.75">
      <c r="C377" s="81"/>
      <c r="D377" s="81"/>
      <c r="E377" s="81"/>
      <c r="F377" s="81"/>
      <c r="G377" s="81"/>
    </row>
    <row r="378" spans="3:7" ht="15.75">
      <c r="C378" s="81"/>
      <c r="D378" s="81"/>
      <c r="E378" s="81"/>
      <c r="F378" s="81"/>
      <c r="G378" s="81"/>
    </row>
    <row r="379" spans="3:7" ht="15.75">
      <c r="C379" s="81"/>
      <c r="D379" s="81"/>
      <c r="E379" s="81"/>
      <c r="F379" s="81"/>
      <c r="G379" s="81"/>
    </row>
    <row r="380" spans="3:7" ht="15.75">
      <c r="C380" s="81"/>
      <c r="D380" s="81"/>
      <c r="E380" s="81"/>
      <c r="F380" s="81"/>
      <c r="G380" s="81"/>
    </row>
    <row r="381" spans="3:7" ht="15.75">
      <c r="C381" s="81"/>
      <c r="D381" s="81"/>
      <c r="E381" s="81"/>
      <c r="F381" s="81"/>
      <c r="G381" s="81"/>
    </row>
    <row r="382" spans="3:7" ht="15.75">
      <c r="C382" s="81"/>
      <c r="D382" s="81"/>
      <c r="E382" s="81"/>
      <c r="F382" s="81"/>
      <c r="G382" s="81"/>
    </row>
    <row r="383" spans="3:7" ht="15.75">
      <c r="C383" s="81"/>
      <c r="D383" s="81"/>
      <c r="E383" s="81"/>
      <c r="F383" s="81"/>
      <c r="G383" s="81"/>
    </row>
    <row r="384" spans="3:7" ht="15.75">
      <c r="C384" s="81"/>
      <c r="D384" s="81"/>
      <c r="E384" s="81"/>
      <c r="F384" s="81"/>
      <c r="G384" s="81"/>
    </row>
    <row r="385" spans="3:7" ht="15.75">
      <c r="C385" s="81"/>
      <c r="D385" s="81"/>
      <c r="E385" s="81"/>
      <c r="F385" s="81"/>
      <c r="G385" s="81"/>
    </row>
    <row r="386" spans="3:7" ht="15.75">
      <c r="C386" s="81"/>
      <c r="D386" s="81"/>
      <c r="E386" s="81"/>
      <c r="F386" s="81"/>
      <c r="G386" s="81"/>
    </row>
    <row r="387" spans="3:7" ht="15.75">
      <c r="C387" s="81"/>
      <c r="D387" s="81"/>
      <c r="E387" s="81"/>
      <c r="F387" s="81"/>
      <c r="G387" s="81"/>
    </row>
    <row r="388" spans="3:7" ht="15.75">
      <c r="C388" s="81"/>
      <c r="D388" s="81"/>
      <c r="E388" s="81"/>
      <c r="F388" s="81"/>
      <c r="G388" s="81"/>
    </row>
    <row r="389" spans="3:7" ht="15.75">
      <c r="C389" s="81"/>
      <c r="D389" s="81"/>
      <c r="E389" s="81"/>
      <c r="F389" s="81"/>
      <c r="G389" s="81"/>
    </row>
    <row r="390" spans="3:7" ht="15.75">
      <c r="C390" s="81"/>
      <c r="D390" s="81"/>
      <c r="E390" s="81"/>
      <c r="F390" s="81"/>
      <c r="G390" s="81"/>
    </row>
    <row r="391" spans="3:7" ht="15.75">
      <c r="C391" s="81"/>
      <c r="D391" s="81"/>
      <c r="E391" s="81"/>
      <c r="F391" s="81"/>
      <c r="G391" s="81"/>
    </row>
    <row r="392" spans="3:7" ht="15.75">
      <c r="C392" s="81"/>
      <c r="D392" s="81"/>
      <c r="E392" s="81"/>
      <c r="F392" s="81"/>
      <c r="G392" s="81"/>
    </row>
    <row r="393" spans="3:7" ht="15.75">
      <c r="C393" s="81"/>
      <c r="D393" s="81"/>
      <c r="E393" s="81"/>
      <c r="F393" s="81"/>
      <c r="G393" s="81"/>
    </row>
    <row r="394" spans="3:7" ht="15.75">
      <c r="C394" s="81"/>
      <c r="D394" s="81"/>
      <c r="E394" s="81"/>
      <c r="F394" s="81"/>
      <c r="G394" s="81"/>
    </row>
    <row r="395" spans="3:7" ht="15.75">
      <c r="C395" s="81"/>
      <c r="D395" s="81"/>
      <c r="E395" s="81"/>
      <c r="F395" s="81"/>
      <c r="G395" s="81"/>
    </row>
    <row r="396" spans="3:7" ht="15.75">
      <c r="C396" s="81"/>
      <c r="D396" s="81"/>
      <c r="E396" s="81"/>
      <c r="F396" s="81"/>
      <c r="G396" s="81"/>
    </row>
    <row r="397" spans="3:7" ht="15.75">
      <c r="C397" s="81"/>
      <c r="D397" s="81"/>
      <c r="E397" s="81"/>
      <c r="F397" s="81"/>
      <c r="G397" s="81"/>
    </row>
    <row r="398" spans="3:7" ht="15.75">
      <c r="C398" s="81"/>
      <c r="D398" s="81"/>
      <c r="E398" s="81"/>
      <c r="F398" s="81"/>
      <c r="G398" s="81"/>
    </row>
    <row r="399" spans="3:7" ht="15.75">
      <c r="C399" s="81"/>
      <c r="D399" s="81"/>
      <c r="E399" s="81"/>
      <c r="F399" s="81"/>
      <c r="G399" s="81"/>
    </row>
    <row r="400" spans="3:7" ht="15.75">
      <c r="C400" s="81"/>
      <c r="D400" s="81"/>
      <c r="E400" s="81"/>
      <c r="F400" s="81"/>
      <c r="G400" s="81"/>
    </row>
    <row r="401" spans="3:7" ht="15.75">
      <c r="C401" s="81"/>
      <c r="D401" s="81"/>
      <c r="E401" s="81"/>
      <c r="F401" s="81"/>
      <c r="G401" s="81"/>
    </row>
    <row r="402" spans="3:7" ht="15.75">
      <c r="C402" s="81"/>
      <c r="D402" s="81"/>
      <c r="E402" s="81"/>
      <c r="F402" s="81"/>
      <c r="G402" s="81"/>
    </row>
    <row r="403" spans="3:7" ht="15.75">
      <c r="C403" s="81"/>
      <c r="D403" s="81"/>
      <c r="E403" s="81"/>
      <c r="F403" s="81"/>
      <c r="G403" s="81"/>
    </row>
    <row r="404" spans="3:7" ht="15.75">
      <c r="C404" s="81"/>
      <c r="D404" s="81"/>
      <c r="E404" s="81"/>
      <c r="F404" s="81"/>
      <c r="G404" s="81"/>
    </row>
    <row r="405" spans="3:7" ht="15.75">
      <c r="C405" s="81"/>
      <c r="D405" s="81"/>
      <c r="E405" s="81"/>
      <c r="F405" s="81"/>
      <c r="G405" s="81"/>
    </row>
    <row r="406" spans="3:7" ht="15.75">
      <c r="C406" s="81"/>
      <c r="D406" s="81"/>
      <c r="E406" s="81"/>
      <c r="F406" s="81"/>
      <c r="G406" s="81"/>
    </row>
    <row r="407" spans="3:7" ht="15.75">
      <c r="C407" s="81"/>
      <c r="D407" s="81"/>
      <c r="E407" s="81"/>
      <c r="F407" s="81"/>
      <c r="G407" s="81"/>
    </row>
    <row r="408" spans="3:7" ht="15.75">
      <c r="C408" s="81"/>
      <c r="D408" s="81"/>
      <c r="E408" s="81"/>
      <c r="F408" s="81"/>
      <c r="G408" s="81"/>
    </row>
    <row r="409" spans="3:7" ht="15.75">
      <c r="C409" s="81"/>
      <c r="D409" s="81"/>
      <c r="E409" s="81"/>
      <c r="F409" s="81"/>
      <c r="G409" s="81"/>
    </row>
    <row r="410" spans="3:7" ht="15.75">
      <c r="C410" s="81"/>
      <c r="D410" s="81"/>
      <c r="E410" s="81"/>
      <c r="F410" s="81"/>
      <c r="G410" s="81"/>
    </row>
    <row r="411" spans="3:7" ht="15.75">
      <c r="C411" s="81"/>
      <c r="D411" s="81"/>
      <c r="E411" s="81"/>
      <c r="F411" s="81"/>
      <c r="G411" s="81"/>
    </row>
    <row r="412" spans="3:7" ht="15.75">
      <c r="C412" s="81"/>
      <c r="D412" s="81"/>
      <c r="E412" s="81"/>
      <c r="F412" s="81"/>
      <c r="G412" s="81"/>
    </row>
    <row r="413" spans="3:7" ht="15.75">
      <c r="C413" s="81"/>
      <c r="D413" s="81"/>
      <c r="E413" s="81"/>
      <c r="F413" s="81"/>
      <c r="G413" s="81"/>
    </row>
    <row r="414" spans="3:7" ht="15.75">
      <c r="C414" s="81"/>
      <c r="D414" s="81"/>
      <c r="E414" s="81"/>
      <c r="F414" s="81"/>
      <c r="G414" s="81"/>
    </row>
    <row r="415" spans="3:7" ht="15.75">
      <c r="C415" s="81"/>
      <c r="D415" s="81"/>
      <c r="E415" s="81"/>
      <c r="F415" s="81"/>
      <c r="G415" s="81"/>
    </row>
    <row r="416" spans="3:7" ht="15.75">
      <c r="C416" s="81"/>
      <c r="D416" s="81"/>
      <c r="E416" s="81"/>
      <c r="F416" s="81"/>
      <c r="G416" s="81"/>
    </row>
    <row r="417" spans="3:7" ht="15.75">
      <c r="C417" s="81"/>
      <c r="D417" s="81"/>
      <c r="E417" s="81"/>
      <c r="F417" s="81"/>
      <c r="G417" s="81"/>
    </row>
    <row r="418" spans="3:7" ht="15.75">
      <c r="C418" s="81"/>
      <c r="D418" s="81"/>
      <c r="E418" s="81"/>
      <c r="F418" s="81"/>
      <c r="G418" s="81"/>
    </row>
    <row r="419" spans="3:7" ht="15.75">
      <c r="C419" s="81"/>
      <c r="D419" s="81"/>
      <c r="E419" s="81"/>
      <c r="F419" s="81"/>
      <c r="G419" s="81"/>
    </row>
    <row r="420" spans="3:7" ht="15.75">
      <c r="C420" s="81"/>
      <c r="D420" s="81"/>
      <c r="E420" s="81"/>
      <c r="F420" s="81"/>
      <c r="G420" s="81"/>
    </row>
    <row r="421" spans="3:7" ht="15.75">
      <c r="C421" s="81"/>
      <c r="D421" s="81"/>
      <c r="E421" s="81"/>
      <c r="F421" s="81"/>
      <c r="G421" s="81"/>
    </row>
    <row r="422" spans="3:7" ht="15.75">
      <c r="C422" s="81"/>
      <c r="D422" s="81"/>
      <c r="E422" s="81"/>
      <c r="F422" s="81"/>
      <c r="G422" s="81"/>
    </row>
    <row r="423" spans="3:7" ht="15.75">
      <c r="C423" s="81"/>
      <c r="D423" s="81"/>
      <c r="E423" s="81"/>
      <c r="F423" s="81"/>
      <c r="G423" s="81"/>
    </row>
    <row r="424" spans="3:7" ht="15.75">
      <c r="C424" s="81"/>
      <c r="D424" s="81"/>
      <c r="E424" s="81"/>
      <c r="F424" s="81"/>
      <c r="G424" s="81"/>
    </row>
    <row r="425" spans="3:7" ht="15.75">
      <c r="C425" s="81"/>
      <c r="D425" s="81"/>
      <c r="E425" s="81"/>
      <c r="F425" s="81"/>
      <c r="G425" s="81"/>
    </row>
    <row r="426" spans="3:7" ht="15.75">
      <c r="C426" s="81"/>
      <c r="D426" s="81"/>
      <c r="E426" s="81"/>
      <c r="F426" s="81"/>
      <c r="G426" s="81"/>
    </row>
    <row r="427" spans="3:7" ht="15.75">
      <c r="C427" s="81"/>
      <c r="D427" s="81"/>
      <c r="E427" s="81"/>
      <c r="F427" s="81"/>
      <c r="G427" s="81"/>
    </row>
    <row r="428" spans="3:7" ht="15.75">
      <c r="C428" s="81"/>
      <c r="D428" s="81"/>
      <c r="E428" s="81"/>
      <c r="F428" s="81"/>
      <c r="G428" s="81"/>
    </row>
    <row r="429" spans="3:7" ht="15.75">
      <c r="C429" s="81"/>
      <c r="D429" s="81"/>
      <c r="E429" s="81"/>
      <c r="F429" s="81"/>
      <c r="G429" s="81"/>
    </row>
    <row r="430" spans="3:7" ht="15.75">
      <c r="C430" s="81"/>
      <c r="D430" s="81"/>
      <c r="E430" s="81"/>
      <c r="F430" s="81"/>
      <c r="G430" s="81"/>
    </row>
    <row r="431" spans="3:7" ht="15.75">
      <c r="C431" s="81"/>
      <c r="D431" s="81"/>
      <c r="E431" s="81"/>
      <c r="F431" s="81"/>
      <c r="G431" s="81"/>
    </row>
    <row r="432" spans="3:7" ht="15.75">
      <c r="C432" s="81"/>
      <c r="D432" s="81"/>
      <c r="E432" s="81"/>
      <c r="F432" s="81"/>
      <c r="G432" s="81"/>
    </row>
    <row r="433" spans="3:7" ht="15.75">
      <c r="C433" s="81"/>
      <c r="D433" s="81"/>
      <c r="E433" s="81"/>
      <c r="F433" s="81"/>
      <c r="G433" s="81"/>
    </row>
    <row r="434" spans="3:7" ht="15.75">
      <c r="C434" s="81"/>
      <c r="D434" s="81"/>
      <c r="E434" s="81"/>
      <c r="F434" s="81"/>
      <c r="G434" s="81"/>
    </row>
    <row r="435" spans="3:7" ht="15.75">
      <c r="C435" s="81"/>
      <c r="D435" s="81"/>
      <c r="E435" s="81"/>
      <c r="F435" s="81"/>
      <c r="G435" s="81"/>
    </row>
    <row r="436" spans="3:7" ht="15.75">
      <c r="C436" s="81"/>
      <c r="D436" s="81"/>
      <c r="E436" s="81"/>
      <c r="F436" s="81"/>
      <c r="G436" s="81"/>
    </row>
    <row r="437" spans="3:7" ht="15.75">
      <c r="C437" s="81"/>
      <c r="D437" s="81"/>
      <c r="E437" s="81"/>
      <c r="F437" s="81"/>
      <c r="G437" s="81"/>
    </row>
    <row r="438" spans="3:7" ht="15.75">
      <c r="C438" s="81"/>
      <c r="D438" s="81"/>
      <c r="E438" s="81"/>
      <c r="F438" s="81"/>
      <c r="G438" s="81"/>
    </row>
    <row r="439" spans="3:7" ht="15.75">
      <c r="C439" s="81"/>
      <c r="D439" s="81"/>
      <c r="E439" s="81"/>
      <c r="F439" s="81"/>
      <c r="G439" s="81"/>
    </row>
    <row r="440" spans="3:7" ht="15.75">
      <c r="C440" s="81"/>
      <c r="D440" s="81"/>
      <c r="E440" s="81"/>
      <c r="F440" s="81"/>
      <c r="G440" s="81"/>
    </row>
    <row r="441" spans="3:7" ht="15.75">
      <c r="C441" s="81"/>
      <c r="D441" s="81"/>
      <c r="E441" s="81"/>
      <c r="F441" s="81"/>
      <c r="G441" s="81"/>
    </row>
    <row r="442" spans="3:7" ht="15.75">
      <c r="C442" s="81"/>
      <c r="D442" s="81"/>
      <c r="E442" s="81"/>
      <c r="F442" s="81"/>
      <c r="G442" s="81"/>
    </row>
    <row r="443" spans="3:7" ht="15.75">
      <c r="C443" s="81"/>
      <c r="D443" s="81"/>
      <c r="E443" s="81"/>
      <c r="F443" s="81"/>
      <c r="G443" s="81"/>
    </row>
    <row r="444" spans="3:7" ht="15.75">
      <c r="C444" s="81"/>
      <c r="D444" s="81"/>
      <c r="E444" s="81"/>
      <c r="F444" s="81"/>
      <c r="G444" s="81"/>
    </row>
    <row r="445" spans="3:7" ht="15.75">
      <c r="C445" s="81"/>
      <c r="D445" s="81"/>
      <c r="E445" s="81"/>
      <c r="F445" s="81"/>
      <c r="G445" s="81"/>
    </row>
    <row r="446" spans="3:7" ht="15.75">
      <c r="C446" s="81"/>
      <c r="D446" s="81"/>
      <c r="E446" s="81"/>
      <c r="F446" s="81"/>
      <c r="G446" s="81"/>
    </row>
    <row r="447" spans="3:7" ht="15.75">
      <c r="C447" s="81"/>
      <c r="D447" s="81"/>
      <c r="E447" s="81"/>
      <c r="F447" s="81"/>
      <c r="G447" s="81"/>
    </row>
    <row r="448" spans="3:7" ht="15.75">
      <c r="C448" s="81"/>
      <c r="D448" s="81"/>
      <c r="E448" s="81"/>
      <c r="F448" s="81"/>
      <c r="G448" s="81"/>
    </row>
    <row r="449" spans="3:7" ht="15.75">
      <c r="C449" s="81"/>
      <c r="D449" s="81"/>
      <c r="E449" s="81"/>
      <c r="F449" s="81"/>
      <c r="G449" s="81"/>
    </row>
    <row r="450" spans="3:7" ht="15.75">
      <c r="C450" s="81"/>
      <c r="D450" s="81"/>
      <c r="E450" s="81"/>
      <c r="F450" s="81"/>
      <c r="G450" s="81"/>
    </row>
    <row r="451" spans="3:7" ht="15.75">
      <c r="C451" s="81"/>
      <c r="D451" s="81"/>
      <c r="E451" s="81"/>
      <c r="F451" s="81"/>
      <c r="G451" s="81"/>
    </row>
    <row r="452" spans="3:7" ht="15.75">
      <c r="C452" s="81"/>
      <c r="D452" s="81"/>
      <c r="E452" s="81"/>
      <c r="F452" s="81"/>
      <c r="G452" s="81"/>
    </row>
    <row r="453" spans="3:7" ht="15.75">
      <c r="C453" s="81"/>
      <c r="D453" s="81"/>
      <c r="E453" s="81"/>
      <c r="F453" s="81"/>
      <c r="G453" s="81"/>
    </row>
    <row r="454" spans="3:7" ht="15.75">
      <c r="C454" s="81"/>
      <c r="D454" s="81"/>
      <c r="E454" s="81"/>
      <c r="F454" s="81"/>
      <c r="G454" s="81"/>
    </row>
    <row r="455" spans="3:7" ht="15.75">
      <c r="C455" s="81"/>
      <c r="D455" s="81"/>
      <c r="E455" s="81"/>
      <c r="F455" s="81"/>
      <c r="G455" s="81"/>
    </row>
    <row r="456" spans="3:7" ht="15.75">
      <c r="C456" s="81"/>
      <c r="D456" s="81"/>
      <c r="E456" s="81"/>
      <c r="F456" s="81"/>
      <c r="G456" s="81"/>
    </row>
    <row r="457" spans="3:7" ht="15.75">
      <c r="C457" s="81"/>
      <c r="D457" s="81"/>
      <c r="E457" s="81"/>
      <c r="F457" s="81"/>
      <c r="G457" s="81"/>
    </row>
    <row r="458" spans="3:7" ht="15.75">
      <c r="C458" s="81"/>
      <c r="D458" s="81"/>
      <c r="E458" s="81"/>
      <c r="F458" s="81"/>
      <c r="G458" s="81"/>
    </row>
    <row r="459" spans="3:7" ht="15.75">
      <c r="C459" s="81"/>
      <c r="D459" s="81"/>
      <c r="E459" s="81"/>
      <c r="F459" s="81"/>
      <c r="G459" s="81"/>
    </row>
    <row r="460" spans="3:7" ht="15.75">
      <c r="C460" s="81"/>
      <c r="D460" s="81"/>
      <c r="E460" s="81"/>
      <c r="F460" s="81"/>
      <c r="G460" s="81"/>
    </row>
    <row r="461" spans="3:7" ht="15.75">
      <c r="C461" s="81"/>
      <c r="D461" s="81"/>
      <c r="E461" s="81"/>
      <c r="F461" s="81"/>
      <c r="G461" s="81"/>
    </row>
    <row r="462" spans="3:7" ht="15.75">
      <c r="C462" s="81"/>
      <c r="D462" s="81"/>
      <c r="E462" s="81"/>
      <c r="F462" s="81"/>
      <c r="G462" s="81"/>
    </row>
    <row r="463" spans="3:7" ht="15.75">
      <c r="C463" s="81"/>
      <c r="D463" s="81"/>
      <c r="E463" s="81"/>
      <c r="F463" s="81"/>
      <c r="G463" s="81"/>
    </row>
    <row r="464" spans="3:7" ht="15.75">
      <c r="C464" s="81"/>
      <c r="D464" s="81"/>
      <c r="E464" s="81"/>
      <c r="F464" s="81"/>
      <c r="G464" s="81"/>
    </row>
    <row r="465" spans="3:7" ht="15.75">
      <c r="C465" s="81"/>
      <c r="D465" s="81"/>
      <c r="E465" s="81"/>
      <c r="F465" s="81"/>
      <c r="G465" s="81"/>
    </row>
    <row r="466" spans="3:7" ht="15.75">
      <c r="C466" s="81"/>
      <c r="D466" s="81"/>
      <c r="E466" s="81"/>
      <c r="F466" s="81"/>
      <c r="G466" s="81"/>
    </row>
    <row r="467" spans="3:7" ht="15.75">
      <c r="C467" s="81"/>
      <c r="D467" s="81"/>
      <c r="E467" s="81"/>
      <c r="F467" s="81"/>
      <c r="G467" s="81"/>
    </row>
    <row r="468" spans="3:7" ht="15.75">
      <c r="C468" s="81"/>
      <c r="D468" s="81"/>
      <c r="E468" s="81"/>
      <c r="F468" s="81"/>
      <c r="G468" s="81"/>
    </row>
    <row r="469" spans="3:7" ht="15.75">
      <c r="C469" s="81"/>
      <c r="D469" s="81"/>
      <c r="E469" s="81"/>
      <c r="F469" s="81"/>
      <c r="G469" s="81"/>
    </row>
    <row r="470" spans="3:7" ht="15.75">
      <c r="C470" s="81"/>
      <c r="D470" s="81"/>
      <c r="E470" s="81"/>
      <c r="F470" s="81"/>
      <c r="G470" s="81"/>
    </row>
    <row r="471" spans="3:7" ht="15.75">
      <c r="C471" s="81"/>
      <c r="D471" s="81"/>
      <c r="E471" s="81"/>
      <c r="F471" s="81"/>
      <c r="G471" s="81"/>
    </row>
    <row r="472" spans="3:7" ht="15.75">
      <c r="C472" s="81"/>
      <c r="D472" s="81"/>
      <c r="E472" s="81"/>
      <c r="F472" s="81"/>
      <c r="G472" s="81"/>
    </row>
    <row r="473" spans="3:7" ht="15.75">
      <c r="C473" s="81"/>
      <c r="D473" s="81"/>
      <c r="E473" s="81"/>
      <c r="F473" s="81"/>
      <c r="G473" s="81"/>
    </row>
    <row r="474" spans="3:7" ht="15.75">
      <c r="C474" s="81"/>
      <c r="D474" s="81"/>
      <c r="E474" s="81"/>
      <c r="F474" s="81"/>
      <c r="G474" s="81"/>
    </row>
    <row r="475" spans="3:7" ht="15.75">
      <c r="C475" s="81"/>
      <c r="D475" s="81"/>
      <c r="E475" s="81"/>
      <c r="F475" s="81"/>
      <c r="G475" s="81"/>
    </row>
    <row r="476" spans="3:7" ht="15.75">
      <c r="C476" s="81"/>
      <c r="D476" s="81"/>
      <c r="E476" s="81"/>
      <c r="F476" s="81"/>
      <c r="G476" s="81"/>
    </row>
    <row r="477" spans="3:7" ht="15.75">
      <c r="C477" s="81"/>
      <c r="D477" s="81"/>
      <c r="E477" s="81"/>
      <c r="F477" s="81"/>
      <c r="G477" s="81"/>
    </row>
    <row r="478" spans="3:7" ht="15.75">
      <c r="C478" s="81"/>
      <c r="D478" s="81"/>
      <c r="E478" s="81"/>
      <c r="F478" s="81"/>
      <c r="G478" s="81"/>
    </row>
    <row r="479" spans="3:7" ht="15.75">
      <c r="C479" s="81"/>
      <c r="D479" s="81"/>
      <c r="E479" s="81"/>
      <c r="F479" s="81"/>
      <c r="G479" s="81"/>
    </row>
    <row r="480" spans="3:7" ht="15.75">
      <c r="C480" s="81"/>
      <c r="D480" s="81"/>
      <c r="E480" s="81"/>
      <c r="F480" s="81"/>
      <c r="G480" s="81"/>
    </row>
    <row r="481" spans="3:7" ht="15.75">
      <c r="C481" s="81"/>
      <c r="D481" s="81"/>
      <c r="E481" s="81"/>
      <c r="F481" s="81"/>
      <c r="G481" s="81"/>
    </row>
    <row r="482" spans="3:7" ht="15.75">
      <c r="C482" s="81"/>
      <c r="D482" s="81"/>
      <c r="E482" s="81"/>
      <c r="F482" s="81"/>
      <c r="G482" s="81"/>
    </row>
    <row r="483" spans="3:7" ht="15.75">
      <c r="C483" s="81"/>
      <c r="D483" s="81"/>
      <c r="E483" s="81"/>
      <c r="F483" s="81"/>
      <c r="G483" s="81"/>
    </row>
    <row r="484" spans="3:7" ht="15.75">
      <c r="C484" s="81"/>
      <c r="D484" s="81"/>
      <c r="E484" s="81"/>
      <c r="F484" s="81"/>
      <c r="G484" s="81"/>
    </row>
    <row r="485" spans="3:7" ht="15.75">
      <c r="C485" s="81"/>
      <c r="D485" s="81"/>
      <c r="E485" s="81"/>
      <c r="F485" s="81"/>
      <c r="G485" s="81"/>
    </row>
    <row r="486" spans="3:7" ht="15.75">
      <c r="C486" s="81"/>
      <c r="D486" s="81"/>
      <c r="E486" s="81"/>
      <c r="F486" s="81"/>
      <c r="G486" s="81"/>
    </row>
    <row r="487" spans="3:7" ht="15.75">
      <c r="C487" s="81"/>
      <c r="D487" s="81"/>
      <c r="E487" s="81"/>
      <c r="F487" s="81"/>
      <c r="G487" s="81"/>
    </row>
    <row r="488" spans="3:7" ht="15.75">
      <c r="C488" s="81"/>
      <c r="D488" s="81"/>
      <c r="E488" s="81"/>
      <c r="F488" s="81"/>
      <c r="G488" s="81"/>
    </row>
    <row r="489" spans="3:7" ht="15.75">
      <c r="C489" s="81"/>
      <c r="D489" s="81"/>
      <c r="E489" s="81"/>
      <c r="F489" s="81"/>
      <c r="G489" s="81"/>
    </row>
    <row r="490" spans="3:7" ht="15.75">
      <c r="C490" s="81"/>
      <c r="D490" s="81"/>
      <c r="E490" s="81"/>
      <c r="F490" s="81"/>
      <c r="G490" s="81"/>
    </row>
    <row r="491" spans="3:7" ht="15.75">
      <c r="C491" s="81"/>
      <c r="D491" s="81"/>
      <c r="E491" s="81"/>
      <c r="F491" s="81"/>
      <c r="G491" s="81"/>
    </row>
    <row r="492" spans="3:7" ht="15.75">
      <c r="C492" s="81"/>
      <c r="D492" s="81"/>
      <c r="E492" s="81"/>
      <c r="F492" s="81"/>
      <c r="G492" s="81"/>
    </row>
    <row r="493" spans="3:7" ht="15.75">
      <c r="C493" s="81"/>
      <c r="D493" s="81"/>
      <c r="E493" s="81"/>
      <c r="F493" s="81"/>
      <c r="G493" s="81"/>
    </row>
    <row r="494" spans="3:7" ht="15.75">
      <c r="C494" s="81"/>
      <c r="D494" s="81"/>
      <c r="E494" s="81"/>
      <c r="F494" s="81"/>
      <c r="G494" s="81"/>
    </row>
    <row r="495" spans="3:7" ht="15.75">
      <c r="C495" s="81"/>
      <c r="D495" s="81"/>
      <c r="E495" s="81"/>
      <c r="F495" s="81"/>
      <c r="G495" s="81"/>
    </row>
    <row r="496" spans="3:7" ht="15.75">
      <c r="C496" s="81"/>
      <c r="D496" s="81"/>
      <c r="E496" s="81"/>
      <c r="F496" s="81"/>
      <c r="G496" s="81"/>
    </row>
    <row r="497" spans="3:7" ht="15.75">
      <c r="C497" s="81"/>
      <c r="D497" s="81"/>
      <c r="E497" s="81"/>
      <c r="F497" s="81"/>
      <c r="G497" s="81"/>
    </row>
    <row r="498" spans="3:7" ht="15.75">
      <c r="C498" s="81"/>
      <c r="D498" s="81"/>
      <c r="E498" s="81"/>
      <c r="F498" s="81"/>
      <c r="G498" s="81"/>
    </row>
    <row r="499" spans="3:7" ht="15.75">
      <c r="C499" s="81"/>
      <c r="D499" s="81"/>
      <c r="E499" s="81"/>
      <c r="F499" s="81"/>
      <c r="G499" s="81"/>
    </row>
    <row r="500" spans="3:7" ht="15.75">
      <c r="C500" s="81"/>
      <c r="D500" s="81"/>
      <c r="E500" s="81"/>
      <c r="F500" s="81"/>
      <c r="G500" s="81"/>
    </row>
    <row r="501" spans="3:7" ht="15.75">
      <c r="C501" s="81"/>
      <c r="D501" s="81"/>
      <c r="E501" s="81"/>
      <c r="F501" s="81"/>
      <c r="G501" s="81"/>
    </row>
    <row r="502" spans="3:7" ht="15.75">
      <c r="C502" s="81"/>
      <c r="D502" s="81"/>
      <c r="E502" s="81"/>
      <c r="F502" s="81"/>
      <c r="G502" s="81"/>
    </row>
    <row r="503" spans="3:7" ht="15.75">
      <c r="C503" s="81"/>
      <c r="D503" s="81"/>
      <c r="E503" s="81"/>
      <c r="F503" s="81"/>
      <c r="G503" s="81"/>
    </row>
    <row r="504" spans="3:7" ht="15.75">
      <c r="C504" s="81"/>
      <c r="D504" s="81"/>
      <c r="E504" s="81"/>
      <c r="F504" s="81"/>
      <c r="G504" s="81"/>
    </row>
    <row r="505" spans="3:7" ht="15.75">
      <c r="C505" s="81"/>
      <c r="D505" s="81"/>
      <c r="E505" s="81"/>
      <c r="F505" s="81"/>
      <c r="G505" s="81"/>
    </row>
    <row r="506" spans="3:7" ht="15.75">
      <c r="C506" s="81"/>
      <c r="D506" s="81"/>
      <c r="E506" s="81"/>
      <c r="F506" s="81"/>
      <c r="G506" s="81"/>
    </row>
    <row r="507" spans="3:7" ht="15.75">
      <c r="C507" s="81"/>
      <c r="D507" s="81"/>
      <c r="E507" s="81"/>
      <c r="F507" s="81"/>
      <c r="G507" s="81"/>
    </row>
    <row r="508" spans="3:7" ht="15.75">
      <c r="C508" s="81"/>
      <c r="D508" s="81"/>
      <c r="E508" s="81"/>
      <c r="F508" s="81"/>
      <c r="G508" s="81"/>
    </row>
    <row r="509" spans="3:7" ht="15.75">
      <c r="C509" s="81"/>
      <c r="D509" s="81"/>
      <c r="E509" s="81"/>
      <c r="F509" s="81"/>
      <c r="G509" s="81"/>
    </row>
    <row r="510" spans="3:7" ht="15.75">
      <c r="C510" s="81"/>
      <c r="D510" s="81"/>
      <c r="E510" s="81"/>
      <c r="F510" s="81"/>
      <c r="G510" s="81"/>
    </row>
    <row r="511" spans="3:7" ht="15.75">
      <c r="C511" s="81"/>
      <c r="D511" s="81"/>
      <c r="E511" s="81"/>
      <c r="F511" s="81"/>
      <c r="G511" s="81"/>
    </row>
    <row r="512" spans="3:7" ht="15.75">
      <c r="C512" s="81"/>
      <c r="D512" s="81"/>
      <c r="E512" s="81"/>
      <c r="F512" s="81"/>
      <c r="G512" s="81"/>
    </row>
    <row r="513" spans="3:7" ht="15.75">
      <c r="C513" s="81"/>
      <c r="D513" s="81"/>
      <c r="E513" s="81"/>
      <c r="F513" s="81"/>
      <c r="G513" s="81"/>
    </row>
    <row r="514" spans="3:7" ht="15.75">
      <c r="C514" s="81"/>
      <c r="D514" s="81"/>
      <c r="E514" s="81"/>
      <c r="F514" s="81"/>
      <c r="G514" s="81"/>
    </row>
    <row r="515" spans="3:7" ht="15.75">
      <c r="C515" s="81"/>
      <c r="D515" s="81"/>
      <c r="E515" s="81"/>
      <c r="F515" s="81"/>
      <c r="G515" s="81"/>
    </row>
    <row r="516" spans="3:7" ht="15.75">
      <c r="C516" s="81"/>
      <c r="D516" s="81"/>
      <c r="E516" s="81"/>
      <c r="F516" s="81"/>
      <c r="G516" s="81"/>
    </row>
    <row r="517" spans="3:7" ht="15.75">
      <c r="C517" s="81"/>
      <c r="D517" s="81"/>
      <c r="E517" s="81"/>
      <c r="F517" s="81"/>
      <c r="G517" s="81"/>
    </row>
    <row r="518" spans="3:7" ht="15.75">
      <c r="C518" s="81"/>
      <c r="D518" s="81"/>
      <c r="E518" s="81"/>
      <c r="F518" s="81"/>
      <c r="G518" s="81"/>
    </row>
    <row r="519" spans="3:7" ht="15.75">
      <c r="C519" s="81"/>
      <c r="D519" s="81"/>
      <c r="E519" s="81"/>
      <c r="F519" s="81"/>
      <c r="G519" s="81"/>
    </row>
    <row r="520" spans="3:7" ht="15.75">
      <c r="C520" s="81"/>
      <c r="D520" s="81"/>
      <c r="E520" s="81"/>
      <c r="F520" s="81"/>
      <c r="G520" s="81"/>
    </row>
    <row r="521" spans="3:7" ht="15.75">
      <c r="C521" s="81"/>
      <c r="D521" s="81"/>
      <c r="E521" s="81"/>
      <c r="F521" s="81"/>
      <c r="G521" s="81"/>
    </row>
    <row r="522" spans="3:7" ht="15.75">
      <c r="C522" s="81"/>
      <c r="D522" s="81"/>
      <c r="E522" s="81"/>
      <c r="F522" s="81"/>
      <c r="G522" s="81"/>
    </row>
    <row r="523" spans="3:7" ht="15.75">
      <c r="C523" s="81"/>
      <c r="D523" s="81"/>
      <c r="E523" s="81"/>
      <c r="F523" s="81"/>
      <c r="G523" s="81"/>
    </row>
    <row r="524" spans="3:7" ht="15.75">
      <c r="C524" s="81"/>
      <c r="D524" s="81"/>
      <c r="E524" s="81"/>
      <c r="F524" s="81"/>
      <c r="G524" s="81"/>
    </row>
    <row r="525" spans="3:7" ht="15.75">
      <c r="C525" s="81"/>
      <c r="D525" s="81"/>
      <c r="E525" s="81"/>
      <c r="F525" s="81"/>
      <c r="G525" s="81"/>
    </row>
    <row r="526" spans="3:7" ht="15.75">
      <c r="C526" s="81"/>
      <c r="D526" s="81"/>
      <c r="E526" s="81"/>
      <c r="F526" s="81"/>
      <c r="G526" s="81"/>
    </row>
    <row r="527" spans="3:7" ht="15.75">
      <c r="C527" s="81"/>
      <c r="D527" s="81"/>
      <c r="E527" s="81"/>
      <c r="F527" s="81"/>
      <c r="G527" s="81"/>
    </row>
    <row r="528" spans="3:7" ht="15.75">
      <c r="C528" s="81"/>
      <c r="D528" s="81"/>
      <c r="E528" s="81"/>
      <c r="F528" s="81"/>
      <c r="G528" s="81"/>
    </row>
    <row r="529" spans="3:7" ht="15.75">
      <c r="C529" s="81"/>
      <c r="D529" s="81"/>
      <c r="E529" s="81"/>
      <c r="F529" s="81"/>
      <c r="G529" s="81"/>
    </row>
    <row r="530" spans="3:7" ht="15.75">
      <c r="C530" s="81"/>
      <c r="D530" s="81"/>
      <c r="E530" s="81"/>
      <c r="F530" s="81"/>
      <c r="G530" s="81"/>
    </row>
    <row r="531" spans="3:7" ht="15.75">
      <c r="C531" s="81"/>
      <c r="D531" s="81"/>
      <c r="E531" s="81"/>
      <c r="F531" s="81"/>
      <c r="G531" s="81"/>
    </row>
    <row r="532" spans="3:7" ht="15.75">
      <c r="C532" s="81"/>
      <c r="D532" s="81"/>
      <c r="E532" s="81"/>
      <c r="F532" s="81"/>
      <c r="G532" s="81"/>
    </row>
    <row r="533" spans="3:7" ht="15.75">
      <c r="C533" s="81"/>
      <c r="D533" s="81"/>
      <c r="E533" s="81"/>
      <c r="F533" s="81"/>
      <c r="G533" s="81"/>
    </row>
    <row r="534" spans="3:7" ht="15.75">
      <c r="C534" s="81"/>
      <c r="D534" s="81"/>
      <c r="E534" s="81"/>
      <c r="F534" s="81"/>
      <c r="G534" s="81"/>
    </row>
    <row r="535" spans="3:7" ht="15.75">
      <c r="C535" s="81"/>
      <c r="D535" s="81"/>
      <c r="E535" s="81"/>
      <c r="F535" s="81"/>
      <c r="G535" s="81"/>
    </row>
    <row r="536" spans="3:7" ht="15.75">
      <c r="C536" s="81"/>
      <c r="D536" s="81"/>
      <c r="E536" s="81"/>
      <c r="F536" s="81"/>
      <c r="G536" s="81"/>
    </row>
    <row r="537" spans="3:7" ht="15.75">
      <c r="C537" s="81"/>
      <c r="D537" s="81"/>
      <c r="E537" s="81"/>
      <c r="F537" s="81"/>
      <c r="G537" s="81"/>
    </row>
    <row r="538" spans="3:7" ht="15.75">
      <c r="C538" s="81"/>
      <c r="D538" s="81"/>
      <c r="E538" s="81"/>
      <c r="F538" s="81"/>
      <c r="G538" s="81"/>
    </row>
    <row r="539" spans="3:7" ht="15.75">
      <c r="C539" s="81"/>
      <c r="D539" s="81"/>
      <c r="E539" s="81"/>
      <c r="F539" s="81"/>
      <c r="G539" s="81"/>
    </row>
    <row r="540" spans="3:7" ht="15.75">
      <c r="C540" s="81"/>
      <c r="D540" s="81"/>
      <c r="E540" s="81"/>
      <c r="F540" s="81"/>
      <c r="G540" s="81"/>
    </row>
    <row r="541" spans="3:7" ht="15.75">
      <c r="C541" s="81"/>
      <c r="D541" s="81"/>
      <c r="E541" s="81"/>
      <c r="F541" s="81"/>
      <c r="G541" s="81"/>
    </row>
    <row r="542" spans="3:7" ht="15.75">
      <c r="C542" s="81"/>
      <c r="D542" s="81"/>
      <c r="E542" s="81"/>
      <c r="F542" s="81"/>
      <c r="G542" s="81"/>
    </row>
    <row r="543" spans="3:7" ht="15.75">
      <c r="C543" s="81"/>
      <c r="D543" s="81"/>
      <c r="E543" s="81"/>
      <c r="F543" s="81"/>
      <c r="G543" s="81"/>
    </row>
    <row r="544" spans="3:7" ht="15.75">
      <c r="C544" s="81"/>
      <c r="D544" s="81"/>
      <c r="E544" s="81"/>
      <c r="F544" s="81"/>
      <c r="G544" s="81"/>
    </row>
    <row r="545" spans="3:7" ht="15.75">
      <c r="C545" s="81"/>
      <c r="D545" s="81"/>
      <c r="E545" s="81"/>
      <c r="F545" s="81"/>
      <c r="G545" s="81"/>
    </row>
    <row r="546" spans="3:7" ht="15.75">
      <c r="C546" s="81"/>
      <c r="D546" s="81"/>
      <c r="E546" s="81"/>
      <c r="F546" s="81"/>
      <c r="G546" s="81"/>
    </row>
    <row r="547" spans="3:7" ht="15.75">
      <c r="C547" s="81"/>
      <c r="D547" s="81"/>
      <c r="E547" s="81"/>
      <c r="F547" s="81"/>
      <c r="G547" s="81"/>
    </row>
    <row r="548" spans="3:7" ht="15.75">
      <c r="C548" s="81"/>
      <c r="D548" s="81"/>
      <c r="E548" s="81"/>
      <c r="F548" s="81"/>
      <c r="G548" s="81"/>
    </row>
    <row r="549" spans="3:7" ht="15.75">
      <c r="C549" s="81"/>
      <c r="D549" s="81"/>
      <c r="E549" s="81"/>
      <c r="F549" s="81"/>
      <c r="G549" s="81"/>
    </row>
    <row r="550" spans="3:7" ht="15.75">
      <c r="C550" s="81"/>
      <c r="D550" s="81"/>
      <c r="E550" s="81"/>
      <c r="F550" s="81"/>
      <c r="G550" s="81"/>
    </row>
    <row r="551" spans="3:7" ht="15.75">
      <c r="C551" s="81"/>
      <c r="D551" s="81"/>
      <c r="E551" s="81"/>
      <c r="F551" s="81"/>
      <c r="G551" s="81"/>
    </row>
    <row r="552" spans="3:7" ht="15.75">
      <c r="C552" s="81"/>
      <c r="D552" s="81"/>
      <c r="E552" s="81"/>
      <c r="F552" s="81"/>
      <c r="G552" s="81"/>
    </row>
    <row r="553" spans="3:7" ht="15.75">
      <c r="C553" s="81"/>
      <c r="D553" s="81"/>
      <c r="E553" s="81"/>
      <c r="F553" s="81"/>
      <c r="G553" s="81"/>
    </row>
    <row r="554" spans="3:7" ht="15.75">
      <c r="C554" s="81"/>
      <c r="D554" s="81"/>
      <c r="E554" s="81"/>
      <c r="F554" s="81"/>
      <c r="G554" s="81"/>
    </row>
    <row r="555" spans="3:7" ht="15.75">
      <c r="C555" s="81"/>
      <c r="D555" s="81"/>
      <c r="E555" s="81"/>
      <c r="F555" s="81"/>
      <c r="G555" s="81"/>
    </row>
    <row r="556" spans="3:7" ht="15.75">
      <c r="C556" s="81"/>
      <c r="D556" s="81"/>
      <c r="E556" s="81"/>
      <c r="F556" s="81"/>
      <c r="G556" s="81"/>
    </row>
    <row r="557" spans="3:7" ht="15.75">
      <c r="C557" s="81"/>
      <c r="D557" s="81"/>
      <c r="E557" s="81"/>
      <c r="F557" s="81"/>
      <c r="G557" s="81"/>
    </row>
    <row r="558" spans="3:7" ht="15.75">
      <c r="C558" s="81"/>
      <c r="D558" s="81"/>
      <c r="E558" s="81"/>
      <c r="F558" s="81"/>
      <c r="G558" s="81"/>
    </row>
    <row r="559" spans="3:7" ht="15.75">
      <c r="C559" s="81"/>
      <c r="D559" s="81"/>
      <c r="E559" s="81"/>
      <c r="F559" s="81"/>
      <c r="G559" s="81"/>
    </row>
    <row r="560" spans="3:7" ht="15.75">
      <c r="C560" s="81"/>
      <c r="D560" s="81"/>
      <c r="E560" s="81"/>
      <c r="F560" s="81"/>
      <c r="G560" s="81"/>
    </row>
    <row r="561" spans="3:7" ht="15.75">
      <c r="C561" s="81"/>
      <c r="D561" s="81"/>
      <c r="E561" s="81"/>
      <c r="F561" s="81"/>
      <c r="G561" s="81"/>
    </row>
    <row r="562" spans="3:7" ht="15.75">
      <c r="C562" s="81"/>
      <c r="D562" s="81"/>
      <c r="E562" s="81"/>
      <c r="F562" s="81"/>
      <c r="G562" s="81"/>
    </row>
    <row r="563" spans="3:7" ht="15.75">
      <c r="C563" s="81"/>
      <c r="D563" s="81"/>
      <c r="E563" s="81"/>
      <c r="F563" s="81"/>
      <c r="G563" s="81"/>
    </row>
    <row r="564" spans="3:7" ht="15.75">
      <c r="C564" s="81"/>
      <c r="D564" s="81"/>
      <c r="E564" s="81"/>
      <c r="F564" s="81"/>
      <c r="G564" s="81"/>
    </row>
    <row r="565" spans="3:7" ht="15.75">
      <c r="C565" s="81"/>
      <c r="D565" s="81"/>
      <c r="E565" s="81"/>
      <c r="F565" s="81"/>
      <c r="G565" s="81"/>
    </row>
    <row r="566" spans="3:7" ht="15.75">
      <c r="C566" s="81"/>
      <c r="D566" s="81"/>
      <c r="E566" s="81"/>
      <c r="F566" s="81"/>
      <c r="G566" s="81"/>
    </row>
    <row r="567" spans="3:7" ht="15.75">
      <c r="C567" s="81"/>
      <c r="D567" s="81"/>
      <c r="E567" s="81"/>
      <c r="F567" s="81"/>
      <c r="G567" s="81"/>
    </row>
    <row r="568" spans="3:7" ht="15.75">
      <c r="C568" s="81"/>
      <c r="D568" s="81"/>
      <c r="E568" s="81"/>
      <c r="F568" s="81"/>
      <c r="G568" s="81"/>
    </row>
    <row r="569" spans="3:7" ht="15.75">
      <c r="C569" s="81"/>
      <c r="D569" s="81"/>
      <c r="E569" s="81"/>
      <c r="F569" s="81"/>
      <c r="G569" s="81"/>
    </row>
    <row r="570" spans="3:7" ht="15.75">
      <c r="C570" s="81"/>
      <c r="D570" s="81"/>
      <c r="E570" s="81"/>
      <c r="F570" s="81"/>
      <c r="G570" s="81"/>
    </row>
    <row r="571" spans="3:7" ht="15.75">
      <c r="C571" s="81"/>
      <c r="D571" s="81"/>
      <c r="E571" s="81"/>
      <c r="F571" s="81"/>
      <c r="G571" s="81"/>
    </row>
    <row r="572" spans="3:7" ht="15.75">
      <c r="C572" s="81"/>
      <c r="D572" s="81"/>
      <c r="E572" s="81"/>
      <c r="F572" s="81"/>
      <c r="G572" s="81"/>
    </row>
    <row r="573" spans="3:7" ht="15.75">
      <c r="C573" s="81"/>
      <c r="D573" s="81"/>
      <c r="E573" s="81"/>
      <c r="F573" s="81"/>
      <c r="G573" s="81"/>
    </row>
    <row r="574" spans="3:7" ht="15.75">
      <c r="C574" s="81"/>
      <c r="D574" s="81"/>
      <c r="E574" s="81"/>
      <c r="F574" s="81"/>
      <c r="G574" s="81"/>
    </row>
    <row r="575" spans="3:7" ht="15.75">
      <c r="C575" s="81"/>
      <c r="D575" s="81"/>
      <c r="E575" s="81"/>
      <c r="F575" s="81"/>
      <c r="G575" s="81"/>
    </row>
    <row r="576" spans="3:7" ht="15.75">
      <c r="C576" s="81"/>
      <c r="D576" s="81"/>
      <c r="E576" s="81"/>
      <c r="F576" s="81"/>
      <c r="G576" s="81"/>
    </row>
    <row r="577" spans="3:7" ht="15.75">
      <c r="C577" s="81"/>
      <c r="D577" s="81"/>
      <c r="E577" s="81"/>
      <c r="F577" s="81"/>
      <c r="G577" s="81"/>
    </row>
    <row r="578" spans="3:7" ht="15.75">
      <c r="C578" s="81"/>
      <c r="D578" s="81"/>
      <c r="E578" s="81"/>
      <c r="F578" s="81"/>
      <c r="G578" s="81"/>
    </row>
    <row r="579" spans="3:7" ht="15.75">
      <c r="C579" s="81"/>
      <c r="D579" s="81"/>
      <c r="E579" s="81"/>
      <c r="F579" s="81"/>
      <c r="G579" s="81"/>
    </row>
    <row r="580" spans="3:7" ht="15.75">
      <c r="C580" s="81"/>
      <c r="D580" s="81"/>
      <c r="E580" s="81"/>
      <c r="F580" s="81"/>
      <c r="G580" s="81"/>
    </row>
    <row r="581" spans="3:7" ht="15.75">
      <c r="C581" s="81"/>
      <c r="D581" s="81"/>
      <c r="E581" s="81"/>
      <c r="F581" s="81"/>
      <c r="G581" s="81"/>
    </row>
    <row r="582" spans="3:7" ht="15.75">
      <c r="C582" s="81"/>
      <c r="D582" s="81"/>
      <c r="E582" s="81"/>
      <c r="F582" s="81"/>
      <c r="G582" s="81"/>
    </row>
    <row r="583" spans="3:7" ht="15.75">
      <c r="C583" s="81"/>
      <c r="D583" s="81"/>
      <c r="E583" s="81"/>
      <c r="F583" s="81"/>
      <c r="G583" s="81"/>
    </row>
    <row r="584" spans="3:7" ht="15.75">
      <c r="C584" s="81"/>
      <c r="D584" s="81"/>
      <c r="E584" s="81"/>
      <c r="F584" s="81"/>
      <c r="G584" s="81"/>
    </row>
    <row r="585" spans="3:7" ht="15.75">
      <c r="C585" s="81"/>
      <c r="D585" s="81"/>
      <c r="E585" s="81"/>
      <c r="F585" s="81"/>
      <c r="G585" s="81"/>
    </row>
    <row r="586" spans="3:7" ht="15.75">
      <c r="C586" s="81"/>
      <c r="D586" s="81"/>
      <c r="E586" s="81"/>
      <c r="F586" s="81"/>
      <c r="G586" s="81"/>
    </row>
    <row r="587" spans="3:7" ht="15.75">
      <c r="C587" s="81"/>
      <c r="D587" s="81"/>
      <c r="E587" s="81"/>
      <c r="F587" s="81"/>
      <c r="G587" s="81"/>
    </row>
    <row r="588" spans="3:7" ht="15.75">
      <c r="C588" s="81"/>
      <c r="D588" s="81"/>
      <c r="E588" s="81"/>
      <c r="F588" s="81"/>
      <c r="G588" s="81"/>
    </row>
    <row r="589" spans="3:7" ht="15.75">
      <c r="C589" s="81"/>
      <c r="D589" s="81"/>
      <c r="E589" s="81"/>
      <c r="F589" s="81"/>
      <c r="G589" s="81"/>
    </row>
    <row r="590" spans="3:7" ht="15.75">
      <c r="C590" s="81"/>
      <c r="D590" s="81"/>
      <c r="E590" s="81"/>
      <c r="F590" s="81"/>
      <c r="G590" s="81"/>
    </row>
    <row r="591" spans="3:7" ht="15.75">
      <c r="C591" s="81"/>
      <c r="D591" s="81"/>
      <c r="E591" s="81"/>
      <c r="F591" s="81"/>
      <c r="G591" s="81"/>
    </row>
    <row r="592" spans="3:7" ht="15.75">
      <c r="C592" s="81"/>
      <c r="D592" s="81"/>
      <c r="E592" s="81"/>
      <c r="F592" s="81"/>
      <c r="G592" s="81"/>
    </row>
    <row r="593" spans="3:7" ht="15.75">
      <c r="C593" s="81"/>
      <c r="D593" s="81"/>
      <c r="E593" s="81"/>
      <c r="F593" s="81"/>
      <c r="G593" s="81"/>
    </row>
    <row r="594" spans="3:7" ht="15.75">
      <c r="C594" s="81"/>
      <c r="D594" s="81"/>
      <c r="E594" s="81"/>
      <c r="F594" s="81"/>
      <c r="G594" s="81"/>
    </row>
    <row r="595" spans="3:7" ht="15.75">
      <c r="C595" s="81"/>
      <c r="D595" s="81"/>
      <c r="E595" s="81"/>
      <c r="F595" s="81"/>
      <c r="G595" s="81"/>
    </row>
    <row r="596" spans="3:7" ht="15.75">
      <c r="C596" s="81"/>
      <c r="D596" s="81"/>
      <c r="E596" s="81"/>
      <c r="F596" s="81"/>
      <c r="G596" s="81"/>
    </row>
    <row r="597" spans="3:7" ht="15.75">
      <c r="C597" s="81"/>
      <c r="D597" s="81"/>
      <c r="E597" s="81"/>
      <c r="F597" s="81"/>
      <c r="G597" s="81"/>
    </row>
    <row r="598" spans="3:7" ht="15.75">
      <c r="C598" s="81"/>
      <c r="D598" s="81"/>
      <c r="E598" s="81"/>
      <c r="F598" s="81"/>
      <c r="G598" s="81"/>
    </row>
    <row r="599" spans="3:7" ht="15.75">
      <c r="C599" s="81"/>
      <c r="D599" s="81"/>
      <c r="E599" s="81"/>
      <c r="F599" s="81"/>
      <c r="G599" s="81"/>
    </row>
    <row r="600" spans="3:7" ht="15.75">
      <c r="C600" s="81"/>
      <c r="D600" s="81"/>
      <c r="E600" s="81"/>
      <c r="F600" s="81"/>
      <c r="G600" s="81"/>
    </row>
    <row r="601" spans="3:7" ht="15.75">
      <c r="C601" s="81"/>
      <c r="D601" s="81"/>
      <c r="E601" s="81"/>
      <c r="F601" s="81"/>
      <c r="G601" s="81"/>
    </row>
    <row r="602" spans="3:7" ht="15.75">
      <c r="C602" s="81"/>
      <c r="D602" s="81"/>
      <c r="E602" s="81"/>
      <c r="F602" s="81"/>
      <c r="G602" s="81"/>
    </row>
    <row r="603" spans="3:7" ht="15.75">
      <c r="C603" s="81"/>
      <c r="D603" s="81"/>
      <c r="E603" s="81"/>
      <c r="F603" s="81"/>
      <c r="G603" s="81"/>
    </row>
    <row r="604" spans="3:7" ht="15.75">
      <c r="C604" s="81"/>
      <c r="D604" s="81"/>
      <c r="E604" s="81"/>
      <c r="F604" s="81"/>
      <c r="G604" s="81"/>
    </row>
    <row r="605" spans="3:7" ht="15.75">
      <c r="C605" s="81"/>
      <c r="D605" s="81"/>
      <c r="E605" s="81"/>
      <c r="F605" s="81"/>
      <c r="G605" s="81"/>
    </row>
    <row r="606" spans="3:7" ht="15.75">
      <c r="C606" s="81"/>
      <c r="D606" s="81"/>
      <c r="E606" s="81"/>
      <c r="F606" s="81"/>
      <c r="G606" s="81"/>
    </row>
    <row r="607" spans="3:7" ht="15.75">
      <c r="C607" s="81"/>
      <c r="D607" s="81"/>
      <c r="E607" s="81"/>
      <c r="F607" s="81"/>
      <c r="G607" s="81"/>
    </row>
    <row r="608" spans="3:7" ht="15.75">
      <c r="C608" s="81"/>
      <c r="D608" s="81"/>
      <c r="E608" s="81"/>
      <c r="F608" s="81"/>
      <c r="G608" s="81"/>
    </row>
    <row r="609" spans="3:7" ht="15.75">
      <c r="C609" s="81"/>
      <c r="D609" s="81"/>
      <c r="E609" s="81"/>
      <c r="F609" s="81"/>
      <c r="G609" s="81"/>
    </row>
    <row r="610" spans="3:7" ht="15.75">
      <c r="C610" s="81"/>
      <c r="D610" s="81"/>
      <c r="E610" s="81"/>
      <c r="F610" s="81"/>
      <c r="G610" s="81"/>
    </row>
    <row r="611" spans="3:7" ht="15.75">
      <c r="C611" s="81"/>
      <c r="D611" s="81"/>
      <c r="E611" s="81"/>
      <c r="F611" s="81"/>
      <c r="G611" s="81"/>
    </row>
    <row r="612" spans="3:7" ht="15.75">
      <c r="C612" s="81"/>
      <c r="D612" s="81"/>
      <c r="E612" s="81"/>
      <c r="F612" s="81"/>
      <c r="G612" s="81"/>
    </row>
    <row r="613" spans="3:7" ht="15.75">
      <c r="C613" s="81"/>
      <c r="D613" s="81"/>
      <c r="E613" s="81"/>
      <c r="F613" s="81"/>
      <c r="G613" s="81"/>
    </row>
    <row r="614" spans="3:7" ht="15.75">
      <c r="C614" s="81"/>
      <c r="D614" s="81"/>
      <c r="E614" s="81"/>
      <c r="F614" s="81"/>
      <c r="G614" s="81"/>
    </row>
    <row r="615" spans="3:7" ht="15.75">
      <c r="C615" s="81"/>
      <c r="D615" s="81"/>
      <c r="E615" s="81"/>
      <c r="F615" s="81"/>
      <c r="G615" s="81"/>
    </row>
    <row r="616" spans="3:7" ht="15.75">
      <c r="C616" s="81"/>
      <c r="D616" s="81"/>
      <c r="E616" s="81"/>
      <c r="F616" s="81"/>
      <c r="G616" s="81"/>
    </row>
    <row r="617" spans="3:7" ht="15.75">
      <c r="C617" s="81"/>
      <c r="D617" s="81"/>
      <c r="E617" s="81"/>
      <c r="F617" s="81"/>
      <c r="G617" s="81"/>
    </row>
    <row r="618" spans="3:7" ht="15.75">
      <c r="C618" s="81"/>
      <c r="D618" s="81"/>
      <c r="E618" s="81"/>
      <c r="F618" s="81"/>
      <c r="G618" s="81"/>
    </row>
    <row r="619" spans="3:7" ht="15.75">
      <c r="C619" s="81"/>
      <c r="D619" s="81"/>
      <c r="E619" s="81"/>
      <c r="F619" s="81"/>
      <c r="G619" s="81"/>
    </row>
    <row r="620" spans="3:7" ht="15.75">
      <c r="C620" s="81"/>
      <c r="D620" s="81"/>
      <c r="E620" s="81"/>
      <c r="F620" s="81"/>
      <c r="G620" s="81"/>
    </row>
    <row r="621" spans="3:7" ht="15.75">
      <c r="C621" s="81"/>
      <c r="D621" s="81"/>
      <c r="E621" s="81"/>
      <c r="F621" s="81"/>
      <c r="G621" s="81"/>
    </row>
    <row r="622" spans="3:7" ht="15.75">
      <c r="C622" s="81"/>
      <c r="D622" s="81"/>
      <c r="E622" s="81"/>
      <c r="F622" s="81"/>
      <c r="G622" s="81"/>
    </row>
    <row r="623" spans="3:7" ht="15.75">
      <c r="C623" s="81"/>
      <c r="D623" s="81"/>
      <c r="E623" s="81"/>
      <c r="F623" s="81"/>
      <c r="G623" s="81"/>
    </row>
    <row r="624" spans="3:7" ht="15.75">
      <c r="C624" s="81"/>
      <c r="D624" s="81"/>
      <c r="E624" s="81"/>
      <c r="F624" s="81"/>
      <c r="G624" s="81"/>
    </row>
    <row r="625" spans="3:7" ht="15.75">
      <c r="C625" s="81"/>
      <c r="D625" s="81"/>
      <c r="E625" s="81"/>
      <c r="F625" s="81"/>
      <c r="G625" s="81"/>
    </row>
    <row r="626" spans="3:7" ht="15.75">
      <c r="C626" s="81"/>
      <c r="D626" s="81"/>
      <c r="E626" s="81"/>
      <c r="F626" s="81"/>
      <c r="G626" s="81"/>
    </row>
    <row r="627" spans="3:7" ht="15.75">
      <c r="C627" s="81"/>
      <c r="D627" s="81"/>
      <c r="E627" s="81"/>
      <c r="F627" s="81"/>
      <c r="G627" s="81"/>
    </row>
    <row r="628" spans="3:7" ht="15.75">
      <c r="C628" s="81"/>
      <c r="D628" s="81"/>
      <c r="E628" s="81"/>
      <c r="F628" s="81"/>
      <c r="G628" s="81"/>
    </row>
    <row r="629" spans="3:7" ht="15.75">
      <c r="C629" s="81"/>
      <c r="D629" s="81"/>
      <c r="E629" s="81"/>
      <c r="F629" s="81"/>
      <c r="G629" s="81"/>
    </row>
    <row r="630" spans="3:7" ht="15.75">
      <c r="C630" s="81"/>
      <c r="D630" s="81"/>
      <c r="E630" s="81"/>
      <c r="F630" s="81"/>
      <c r="G630" s="81"/>
    </row>
    <row r="631" spans="3:7" ht="15.75">
      <c r="C631" s="81"/>
      <c r="D631" s="81"/>
      <c r="E631" s="81"/>
      <c r="F631" s="81"/>
      <c r="G631" s="81"/>
    </row>
    <row r="632" spans="3:7" ht="15.75">
      <c r="C632" s="81"/>
      <c r="D632" s="81"/>
      <c r="E632" s="81"/>
      <c r="F632" s="81"/>
      <c r="G632" s="81"/>
    </row>
    <row r="633" spans="3:7" ht="15.75">
      <c r="C633" s="81"/>
      <c r="D633" s="81"/>
      <c r="E633" s="81"/>
      <c r="F633" s="81"/>
      <c r="G633" s="81"/>
    </row>
    <row r="634" spans="3:7" ht="15.75">
      <c r="C634" s="81"/>
      <c r="D634" s="81"/>
      <c r="E634" s="81"/>
      <c r="F634" s="81"/>
      <c r="G634" s="81"/>
    </row>
    <row r="635" spans="3:7" ht="15.75">
      <c r="C635" s="81"/>
      <c r="D635" s="81"/>
      <c r="E635" s="81"/>
      <c r="F635" s="81"/>
      <c r="G635" s="81"/>
    </row>
    <row r="636" spans="3:7" ht="15.75">
      <c r="C636" s="81"/>
      <c r="D636" s="81"/>
      <c r="E636" s="81"/>
      <c r="F636" s="81"/>
      <c r="G636" s="81"/>
    </row>
    <row r="637" spans="3:7" ht="15.75">
      <c r="C637" s="81"/>
      <c r="D637" s="81"/>
      <c r="E637" s="81"/>
      <c r="F637" s="81"/>
      <c r="G637" s="81"/>
    </row>
    <row r="638" spans="3:7" ht="15.75">
      <c r="C638" s="81"/>
      <c r="D638" s="81"/>
      <c r="E638" s="81"/>
      <c r="F638" s="81"/>
      <c r="G638" s="81"/>
    </row>
    <row r="639" spans="3:7" ht="15.75">
      <c r="C639" s="81"/>
      <c r="D639" s="81"/>
      <c r="E639" s="81"/>
      <c r="F639" s="81"/>
      <c r="G639" s="81"/>
    </row>
    <row r="640" spans="3:7" ht="15.75">
      <c r="C640" s="81"/>
      <c r="D640" s="81"/>
      <c r="E640" s="81"/>
      <c r="F640" s="81"/>
      <c r="G640" s="81"/>
    </row>
    <row r="641" spans="3:7" ht="15.75">
      <c r="C641" s="81"/>
      <c r="D641" s="81"/>
      <c r="E641" s="81"/>
      <c r="F641" s="81"/>
      <c r="G641" s="81"/>
    </row>
    <row r="642" spans="3:7" ht="15.75">
      <c r="C642" s="81"/>
      <c r="D642" s="81"/>
      <c r="E642" s="81"/>
      <c r="F642" s="81"/>
      <c r="G642" s="81"/>
    </row>
    <row r="643" spans="3:7" ht="15.75">
      <c r="C643" s="81"/>
      <c r="D643" s="81"/>
      <c r="E643" s="81"/>
      <c r="F643" s="81"/>
      <c r="G643" s="81"/>
    </row>
    <row r="644" spans="3:7" ht="15.75">
      <c r="C644" s="81"/>
      <c r="D644" s="81"/>
      <c r="E644" s="81"/>
      <c r="F644" s="81"/>
      <c r="G644" s="81"/>
    </row>
    <row r="645" spans="3:7" ht="15.75">
      <c r="C645" s="81"/>
      <c r="D645" s="81"/>
      <c r="E645" s="81"/>
      <c r="F645" s="81"/>
      <c r="G645" s="81"/>
    </row>
    <row r="646" spans="3:7" ht="15.75">
      <c r="C646" s="81"/>
      <c r="D646" s="81"/>
      <c r="E646" s="81"/>
      <c r="F646" s="81"/>
      <c r="G646" s="81"/>
    </row>
    <row r="647" spans="3:7" ht="15.75">
      <c r="C647" s="81"/>
      <c r="D647" s="81"/>
      <c r="E647" s="81"/>
      <c r="F647" s="81"/>
      <c r="G647" s="81"/>
    </row>
    <row r="648" spans="3:7" ht="15.75">
      <c r="C648" s="81"/>
      <c r="D648" s="81"/>
      <c r="E648" s="81"/>
      <c r="F648" s="81"/>
      <c r="G648" s="81"/>
    </row>
    <row r="649" spans="3:7" ht="15.75">
      <c r="C649" s="81"/>
      <c r="D649" s="81"/>
      <c r="E649" s="81"/>
      <c r="F649" s="81"/>
      <c r="G649" s="81"/>
    </row>
    <row r="650" spans="3:7" ht="15.75">
      <c r="C650" s="81"/>
      <c r="D650" s="81"/>
      <c r="E650" s="81"/>
      <c r="F650" s="81"/>
      <c r="G650" s="81"/>
    </row>
    <row r="651" spans="3:7" ht="15.75">
      <c r="C651" s="81"/>
      <c r="D651" s="81"/>
      <c r="E651" s="81"/>
      <c r="F651" s="81"/>
      <c r="G651" s="81"/>
    </row>
    <row r="652" spans="3:7" ht="15.75">
      <c r="C652" s="81"/>
      <c r="D652" s="81"/>
      <c r="E652" s="81"/>
      <c r="F652" s="81"/>
      <c r="G652" s="81"/>
    </row>
    <row r="653" spans="3:7" ht="15.75">
      <c r="C653" s="81"/>
      <c r="D653" s="81"/>
      <c r="E653" s="81"/>
      <c r="F653" s="81"/>
      <c r="G653" s="81"/>
    </row>
    <row r="654" spans="3:7" ht="15.75">
      <c r="C654" s="81"/>
      <c r="D654" s="81"/>
      <c r="E654" s="81"/>
      <c r="F654" s="81"/>
      <c r="G654" s="81"/>
    </row>
    <row r="655" spans="3:7" ht="15.75">
      <c r="C655" s="81"/>
      <c r="D655" s="81"/>
      <c r="E655" s="81"/>
      <c r="F655" s="81"/>
      <c r="G655" s="81"/>
    </row>
    <row r="656" spans="3:7" ht="15.75">
      <c r="C656" s="81"/>
      <c r="D656" s="81"/>
      <c r="E656" s="81"/>
      <c r="F656" s="81"/>
      <c r="G656" s="81"/>
    </row>
    <row r="657" spans="3:7" ht="15.75">
      <c r="C657" s="81"/>
      <c r="D657" s="81"/>
      <c r="E657" s="81"/>
      <c r="F657" s="81"/>
      <c r="G657" s="81"/>
    </row>
    <row r="658" spans="3:7" ht="15.75">
      <c r="C658" s="81"/>
      <c r="D658" s="81"/>
      <c r="E658" s="81"/>
      <c r="F658" s="81"/>
      <c r="G658" s="81"/>
    </row>
    <row r="659" spans="3:7" ht="15.75">
      <c r="C659" s="81"/>
      <c r="D659" s="81"/>
      <c r="E659" s="81"/>
      <c r="F659" s="81"/>
      <c r="G659" s="81"/>
    </row>
    <row r="660" spans="3:7" ht="15.75">
      <c r="C660" s="81"/>
      <c r="D660" s="81"/>
      <c r="E660" s="81"/>
      <c r="F660" s="81"/>
      <c r="G660" s="81"/>
    </row>
    <row r="661" spans="3:7" ht="15.75">
      <c r="C661" s="81"/>
      <c r="D661" s="81"/>
      <c r="E661" s="81"/>
      <c r="F661" s="81"/>
      <c r="G661" s="81"/>
    </row>
    <row r="662" spans="3:7" ht="15.75">
      <c r="C662" s="81"/>
      <c r="D662" s="81"/>
      <c r="E662" s="81"/>
      <c r="F662" s="81"/>
      <c r="G662" s="81"/>
    </row>
    <row r="663" spans="3:7" ht="15.75">
      <c r="C663" s="81"/>
      <c r="D663" s="81"/>
      <c r="E663" s="81"/>
      <c r="F663" s="81"/>
      <c r="G663" s="81"/>
    </row>
    <row r="664" spans="3:7" ht="15.75">
      <c r="C664" s="81"/>
      <c r="D664" s="81"/>
      <c r="E664" s="81"/>
      <c r="F664" s="81"/>
      <c r="G664" s="81"/>
    </row>
    <row r="665" spans="3:7" ht="15.75">
      <c r="C665" s="81"/>
      <c r="D665" s="81"/>
      <c r="E665" s="81"/>
      <c r="F665" s="81"/>
      <c r="G665" s="81"/>
    </row>
    <row r="666" spans="3:7" ht="15.75">
      <c r="C666" s="81"/>
      <c r="D666" s="81"/>
      <c r="E666" s="81"/>
      <c r="F666" s="81"/>
      <c r="G666" s="81"/>
    </row>
    <row r="667" spans="3:7" ht="15.75">
      <c r="C667" s="81"/>
      <c r="D667" s="81"/>
      <c r="E667" s="81"/>
      <c r="F667" s="81"/>
      <c r="G667" s="81"/>
    </row>
    <row r="668" spans="3:7" ht="15.75">
      <c r="C668" s="81"/>
      <c r="D668" s="81"/>
      <c r="E668" s="81"/>
      <c r="F668" s="81"/>
      <c r="G668" s="81"/>
    </row>
    <row r="669" spans="3:7" ht="15.75">
      <c r="C669" s="81"/>
      <c r="D669" s="81"/>
      <c r="E669" s="81"/>
      <c r="F669" s="81"/>
      <c r="G669" s="81"/>
    </row>
    <row r="670" spans="3:7" ht="15.75">
      <c r="C670" s="81"/>
      <c r="D670" s="81"/>
      <c r="E670" s="81"/>
      <c r="F670" s="81"/>
      <c r="G670" s="81"/>
    </row>
    <row r="671" spans="3:7" ht="15.75">
      <c r="C671" s="81"/>
      <c r="D671" s="81"/>
      <c r="E671" s="81"/>
      <c r="F671" s="81"/>
      <c r="G671" s="81"/>
    </row>
    <row r="672" spans="3:7" ht="15.75">
      <c r="C672" s="81"/>
      <c r="D672" s="81"/>
      <c r="E672" s="81"/>
      <c r="F672" s="81"/>
      <c r="G672" s="81"/>
    </row>
    <row r="673" spans="3:7" ht="15.75">
      <c r="C673" s="81"/>
      <c r="D673" s="81"/>
      <c r="E673" s="81"/>
      <c r="F673" s="81"/>
      <c r="G673" s="81"/>
    </row>
    <row r="674" spans="3:7" ht="15.75">
      <c r="C674" s="81"/>
      <c r="D674" s="81"/>
      <c r="E674" s="81"/>
      <c r="F674" s="81"/>
      <c r="G674" s="81"/>
    </row>
    <row r="675" spans="3:7" ht="15.75">
      <c r="C675" s="81"/>
      <c r="D675" s="81"/>
      <c r="E675" s="81"/>
      <c r="F675" s="81"/>
      <c r="G675" s="81"/>
    </row>
    <row r="676" spans="3:7" ht="15.75">
      <c r="C676" s="81"/>
      <c r="D676" s="81"/>
      <c r="E676" s="81"/>
      <c r="F676" s="81"/>
      <c r="G676" s="81"/>
    </row>
    <row r="677" spans="3:7" ht="15.75">
      <c r="C677" s="81"/>
      <c r="D677" s="81"/>
      <c r="E677" s="81"/>
      <c r="F677" s="81"/>
      <c r="G677" s="81"/>
    </row>
    <row r="678" spans="3:7" ht="15.75">
      <c r="C678" s="81"/>
      <c r="D678" s="81"/>
      <c r="E678" s="81"/>
      <c r="F678" s="81"/>
      <c r="G678" s="81"/>
    </row>
    <row r="679" spans="3:7" ht="15.75">
      <c r="C679" s="81"/>
      <c r="D679" s="81"/>
      <c r="E679" s="81"/>
      <c r="F679" s="81"/>
      <c r="G679" s="81"/>
    </row>
    <row r="680" spans="3:7" ht="15.75">
      <c r="C680" s="81"/>
      <c r="D680" s="81"/>
      <c r="E680" s="81"/>
      <c r="F680" s="81"/>
      <c r="G680" s="81"/>
    </row>
    <row r="681" spans="3:7" ht="15.75">
      <c r="C681" s="81"/>
      <c r="D681" s="81"/>
      <c r="E681" s="81"/>
      <c r="F681" s="81"/>
      <c r="G681" s="81"/>
    </row>
    <row r="682" spans="3:7" ht="15.75">
      <c r="C682" s="81"/>
      <c r="D682" s="81"/>
      <c r="E682" s="81"/>
      <c r="F682" s="81"/>
      <c r="G682" s="81"/>
    </row>
    <row r="683" spans="3:7" ht="15.75">
      <c r="C683" s="81"/>
      <c r="D683" s="81"/>
      <c r="E683" s="81"/>
      <c r="F683" s="81"/>
      <c r="G683" s="81"/>
    </row>
    <row r="684" spans="3:7" ht="15.75">
      <c r="C684" s="81"/>
      <c r="D684" s="81"/>
      <c r="E684" s="81"/>
      <c r="F684" s="81"/>
      <c r="G684" s="81"/>
    </row>
    <row r="685" spans="3:7" ht="15.75">
      <c r="C685" s="81"/>
      <c r="D685" s="81"/>
      <c r="E685" s="81"/>
      <c r="F685" s="81"/>
      <c r="G685" s="81"/>
    </row>
    <row r="686" spans="3:7" ht="15.75">
      <c r="C686" s="81"/>
      <c r="D686" s="81"/>
      <c r="E686" s="81"/>
      <c r="F686" s="81"/>
      <c r="G686" s="81"/>
    </row>
    <row r="687" spans="3:7" ht="15.75">
      <c r="C687" s="81"/>
      <c r="D687" s="81"/>
      <c r="E687" s="81"/>
      <c r="F687" s="81"/>
      <c r="G687" s="81"/>
    </row>
    <row r="688" spans="3:7" ht="15.75">
      <c r="C688" s="81"/>
      <c r="D688" s="81"/>
      <c r="E688" s="81"/>
      <c r="F688" s="81"/>
      <c r="G688" s="81"/>
    </row>
    <row r="689" spans="3:7" ht="15.75">
      <c r="C689" s="81"/>
      <c r="D689" s="81"/>
      <c r="E689" s="81"/>
      <c r="F689" s="81"/>
      <c r="G689" s="81"/>
    </row>
    <row r="690" spans="3:7" ht="15.75">
      <c r="C690" s="81"/>
      <c r="D690" s="81"/>
      <c r="E690" s="81"/>
      <c r="F690" s="81"/>
      <c r="G690" s="81"/>
    </row>
    <row r="691" spans="3:7" ht="15.75">
      <c r="C691" s="81"/>
      <c r="D691" s="81"/>
      <c r="E691" s="81"/>
      <c r="F691" s="81"/>
      <c r="G691" s="81"/>
    </row>
    <row r="692" spans="3:7" ht="15.75">
      <c r="C692" s="81"/>
      <c r="D692" s="81"/>
      <c r="E692" s="81"/>
      <c r="F692" s="81"/>
      <c r="G692" s="81"/>
    </row>
    <row r="693" spans="3:7" ht="15.75">
      <c r="C693" s="81"/>
      <c r="D693" s="81"/>
      <c r="E693" s="81"/>
      <c r="F693" s="81"/>
      <c r="G693" s="81"/>
    </row>
    <row r="694" spans="3:7" ht="15.75">
      <c r="C694" s="81"/>
      <c r="D694" s="81"/>
      <c r="E694" s="81"/>
      <c r="F694" s="81"/>
      <c r="G694" s="81"/>
    </row>
    <row r="695" spans="3:7" ht="15.75">
      <c r="C695" s="81"/>
      <c r="D695" s="81"/>
      <c r="E695" s="81"/>
      <c r="F695" s="81"/>
      <c r="G695" s="81"/>
    </row>
    <row r="696" spans="3:7" ht="15.75">
      <c r="C696" s="81"/>
      <c r="D696" s="81"/>
      <c r="E696" s="81"/>
      <c r="F696" s="81"/>
      <c r="G696" s="81"/>
    </row>
    <row r="697" spans="3:7" ht="15.75">
      <c r="C697" s="81"/>
      <c r="D697" s="81"/>
      <c r="E697" s="81"/>
      <c r="F697" s="81"/>
      <c r="G697" s="81"/>
    </row>
    <row r="698" spans="3:7" ht="15.75">
      <c r="C698" s="81"/>
      <c r="D698" s="81"/>
      <c r="E698" s="81"/>
      <c r="F698" s="81"/>
      <c r="G698" s="81"/>
    </row>
    <row r="699" spans="3:7" ht="15.75">
      <c r="C699" s="81"/>
      <c r="D699" s="81"/>
      <c r="E699" s="81"/>
      <c r="F699" s="81"/>
      <c r="G699" s="81"/>
    </row>
    <row r="700" spans="3:7" ht="15.75">
      <c r="C700" s="81"/>
      <c r="D700" s="81"/>
      <c r="E700" s="81"/>
      <c r="F700" s="81"/>
      <c r="G700" s="81"/>
    </row>
    <row r="701" spans="3:7" ht="15.75">
      <c r="C701" s="81"/>
      <c r="D701" s="81"/>
      <c r="E701" s="81"/>
      <c r="F701" s="81"/>
      <c r="G701" s="81"/>
    </row>
    <row r="702" spans="3:7" ht="15.75">
      <c r="C702" s="81"/>
      <c r="D702" s="81"/>
      <c r="E702" s="81"/>
      <c r="F702" s="81"/>
      <c r="G702" s="81"/>
    </row>
    <row r="703" spans="3:7" ht="15.75">
      <c r="C703" s="81"/>
      <c r="D703" s="81"/>
      <c r="E703" s="81"/>
      <c r="F703" s="81"/>
      <c r="G703" s="81"/>
    </row>
    <row r="704" spans="3:7" ht="15.75">
      <c r="C704" s="81"/>
      <c r="D704" s="81"/>
      <c r="E704" s="81"/>
      <c r="F704" s="81"/>
      <c r="G704" s="81"/>
    </row>
    <row r="705" spans="3:7" ht="15.75">
      <c r="C705" s="81"/>
      <c r="D705" s="81"/>
      <c r="E705" s="81"/>
      <c r="F705" s="81"/>
      <c r="G705" s="81"/>
    </row>
    <row r="706" spans="3:7" ht="15.75">
      <c r="C706" s="81"/>
      <c r="D706" s="81"/>
      <c r="E706" s="81"/>
      <c r="F706" s="81"/>
      <c r="G706" s="81"/>
    </row>
    <row r="707" spans="3:7" ht="15.75">
      <c r="C707" s="81"/>
      <c r="D707" s="81"/>
      <c r="E707" s="81"/>
      <c r="F707" s="81"/>
      <c r="G707" s="81"/>
    </row>
    <row r="708" spans="3:7" ht="15.75">
      <c r="C708" s="81"/>
      <c r="D708" s="81"/>
      <c r="E708" s="81"/>
      <c r="F708" s="81"/>
      <c r="G708" s="81"/>
    </row>
    <row r="709" spans="3:7" ht="15.75">
      <c r="C709" s="81"/>
      <c r="D709" s="81"/>
      <c r="E709" s="81"/>
      <c r="F709" s="81"/>
      <c r="G709" s="81"/>
    </row>
    <row r="710" spans="3:7" ht="15.75">
      <c r="C710" s="81"/>
      <c r="D710" s="81"/>
      <c r="E710" s="81"/>
      <c r="F710" s="81"/>
      <c r="G710" s="81"/>
    </row>
    <row r="711" spans="3:7" ht="15.75">
      <c r="C711" s="81"/>
      <c r="D711" s="81"/>
      <c r="E711" s="81"/>
      <c r="F711" s="81"/>
      <c r="G711" s="81"/>
    </row>
    <row r="712" spans="3:7" ht="15.75">
      <c r="C712" s="81"/>
      <c r="D712" s="81"/>
      <c r="E712" s="81"/>
      <c r="F712" s="81"/>
      <c r="G712" s="81"/>
    </row>
    <row r="713" spans="3:7" ht="15.75">
      <c r="C713" s="81"/>
      <c r="D713" s="81"/>
      <c r="E713" s="81"/>
      <c r="F713" s="81"/>
      <c r="G713" s="81"/>
    </row>
    <row r="714" spans="3:7" ht="15.75">
      <c r="C714" s="81"/>
      <c r="D714" s="81"/>
      <c r="E714" s="81"/>
      <c r="F714" s="81"/>
      <c r="G714" s="81"/>
    </row>
    <row r="715" spans="3:7" ht="15.75">
      <c r="C715" s="81"/>
      <c r="D715" s="81"/>
      <c r="E715" s="81"/>
      <c r="F715" s="81"/>
      <c r="G715" s="81"/>
    </row>
    <row r="716" spans="3:7" ht="15.75">
      <c r="C716" s="81"/>
      <c r="D716" s="81"/>
      <c r="E716" s="81"/>
      <c r="F716" s="81"/>
      <c r="G716" s="81"/>
    </row>
    <row r="717" spans="3:7" ht="15.75">
      <c r="C717" s="81"/>
      <c r="D717" s="81"/>
      <c r="E717" s="81"/>
      <c r="F717" s="81"/>
      <c r="G717" s="81"/>
    </row>
    <row r="718" spans="3:7" ht="15.75">
      <c r="C718" s="81"/>
      <c r="D718" s="81"/>
      <c r="E718" s="81"/>
      <c r="F718" s="81"/>
      <c r="G718" s="81"/>
    </row>
    <row r="719" spans="3:7" ht="15.75">
      <c r="C719" s="81"/>
      <c r="D719" s="81"/>
      <c r="E719" s="81"/>
      <c r="F719" s="81"/>
      <c r="G719" s="81"/>
    </row>
    <row r="720" spans="3:7" ht="15.75">
      <c r="C720" s="81"/>
      <c r="D720" s="81"/>
      <c r="E720" s="81"/>
      <c r="F720" s="81"/>
      <c r="G720" s="81"/>
    </row>
    <row r="721" spans="3:7" ht="15.75">
      <c r="C721" s="81"/>
      <c r="D721" s="81"/>
      <c r="E721" s="81"/>
      <c r="F721" s="81"/>
      <c r="G721" s="81"/>
    </row>
    <row r="722" spans="3:7" ht="15.75">
      <c r="C722" s="81"/>
      <c r="D722" s="81"/>
      <c r="E722" s="81"/>
      <c r="F722" s="81"/>
      <c r="G722" s="81"/>
    </row>
    <row r="723" spans="3:7" ht="15.75">
      <c r="C723" s="81"/>
      <c r="D723" s="81"/>
      <c r="E723" s="81"/>
      <c r="F723" s="81"/>
      <c r="G723" s="81"/>
    </row>
    <row r="724" spans="3:7" ht="15.75">
      <c r="C724" s="81"/>
      <c r="D724" s="81"/>
      <c r="E724" s="81"/>
      <c r="F724" s="81"/>
      <c r="G724" s="81"/>
    </row>
    <row r="725" spans="3:7" ht="15.75">
      <c r="C725" s="81"/>
      <c r="D725" s="81"/>
      <c r="E725" s="81"/>
      <c r="F725" s="81"/>
      <c r="G725" s="81"/>
    </row>
    <row r="726" spans="3:7" ht="15.75">
      <c r="C726" s="81"/>
      <c r="D726" s="81"/>
      <c r="E726" s="81"/>
      <c r="F726" s="81"/>
      <c r="G726" s="81"/>
    </row>
    <row r="727" spans="3:7" ht="15.75">
      <c r="C727" s="81"/>
      <c r="D727" s="81"/>
      <c r="E727" s="81"/>
      <c r="F727" s="81"/>
      <c r="G727" s="81"/>
    </row>
    <row r="728" spans="3:7" ht="15.75">
      <c r="C728" s="81"/>
      <c r="D728" s="81"/>
      <c r="E728" s="81"/>
      <c r="F728" s="81"/>
      <c r="G728" s="81"/>
    </row>
    <row r="729" spans="3:7" ht="15.75">
      <c r="C729" s="81"/>
      <c r="D729" s="81"/>
      <c r="E729" s="81"/>
      <c r="F729" s="81"/>
      <c r="G729" s="81"/>
    </row>
    <row r="730" spans="3:7" ht="15.75">
      <c r="C730" s="81"/>
      <c r="D730" s="81"/>
      <c r="E730" s="81"/>
      <c r="F730" s="81"/>
      <c r="G730" s="81"/>
    </row>
    <row r="731" spans="3:7" ht="15.75">
      <c r="C731" s="81"/>
      <c r="D731" s="81"/>
      <c r="E731" s="81"/>
      <c r="F731" s="81"/>
      <c r="G731" s="81"/>
    </row>
    <row r="732" spans="3:7" ht="15.75">
      <c r="C732" s="81"/>
      <c r="D732" s="81"/>
      <c r="E732" s="81"/>
      <c r="F732" s="81"/>
      <c r="G732" s="81"/>
    </row>
    <row r="733" spans="3:7" ht="15.75">
      <c r="C733" s="81"/>
      <c r="D733" s="81"/>
      <c r="E733" s="81"/>
      <c r="F733" s="81"/>
      <c r="G733" s="81"/>
    </row>
    <row r="734" spans="3:7" ht="15.75">
      <c r="C734" s="81"/>
      <c r="D734" s="81"/>
      <c r="E734" s="81"/>
      <c r="F734" s="81"/>
      <c r="G734" s="81"/>
    </row>
    <row r="735" spans="3:7" ht="15.75">
      <c r="C735" s="81"/>
      <c r="D735" s="81"/>
      <c r="E735" s="81"/>
      <c r="F735" s="81"/>
      <c r="G735" s="81"/>
    </row>
    <row r="736" spans="3:7" ht="15.75">
      <c r="C736" s="81"/>
      <c r="D736" s="81"/>
      <c r="E736" s="81"/>
      <c r="F736" s="81"/>
      <c r="G736" s="81"/>
    </row>
    <row r="737" spans="3:7" ht="15.75">
      <c r="C737" s="81"/>
      <c r="D737" s="81"/>
      <c r="E737" s="81"/>
      <c r="F737" s="81"/>
      <c r="G737" s="81"/>
    </row>
    <row r="738" spans="3:7" ht="15.75">
      <c r="C738" s="81"/>
      <c r="D738" s="81"/>
      <c r="E738" s="81"/>
      <c r="F738" s="81"/>
      <c r="G738" s="81"/>
    </row>
    <row r="739" spans="3:7" ht="15.75">
      <c r="C739" s="81"/>
      <c r="D739" s="81"/>
      <c r="E739" s="81"/>
      <c r="F739" s="81"/>
      <c r="G739" s="81"/>
    </row>
    <row r="740" spans="3:7" ht="15.75">
      <c r="C740" s="81"/>
      <c r="D740" s="81"/>
      <c r="E740" s="81"/>
      <c r="F740" s="81"/>
      <c r="G740" s="81"/>
    </row>
    <row r="741" spans="3:7" ht="15.75">
      <c r="C741" s="81"/>
      <c r="D741" s="81"/>
      <c r="E741" s="81"/>
      <c r="F741" s="81"/>
      <c r="G741" s="81"/>
    </row>
    <row r="742" spans="3:7" ht="15.75">
      <c r="C742" s="81"/>
      <c r="D742" s="81"/>
      <c r="E742" s="81"/>
      <c r="F742" s="81"/>
      <c r="G742" s="81"/>
    </row>
    <row r="743" spans="3:7" ht="15.75">
      <c r="C743" s="81"/>
      <c r="D743" s="81"/>
      <c r="E743" s="81"/>
      <c r="F743" s="81"/>
      <c r="G743" s="81"/>
    </row>
    <row r="744" spans="3:7" ht="15.75">
      <c r="C744" s="81"/>
      <c r="D744" s="81"/>
      <c r="E744" s="81"/>
      <c r="F744" s="81"/>
      <c r="G744" s="81"/>
    </row>
    <row r="745" spans="3:7" ht="15.75">
      <c r="C745" s="81"/>
      <c r="D745" s="81"/>
      <c r="E745" s="81"/>
      <c r="F745" s="81"/>
      <c r="G745" s="81"/>
    </row>
    <row r="746" spans="3:7" ht="15.75">
      <c r="C746" s="81"/>
      <c r="D746" s="81"/>
      <c r="E746" s="81"/>
      <c r="F746" s="81"/>
      <c r="G746" s="81"/>
    </row>
    <row r="747" spans="3:7" ht="15.75">
      <c r="C747" s="81"/>
      <c r="D747" s="81"/>
      <c r="E747" s="81"/>
      <c r="F747" s="81"/>
      <c r="G747" s="81"/>
    </row>
    <row r="748" spans="3:7" ht="15.75">
      <c r="C748" s="81"/>
      <c r="D748" s="81"/>
      <c r="E748" s="81"/>
      <c r="F748" s="81"/>
      <c r="G748" s="81"/>
    </row>
    <row r="749" spans="3:7" ht="15.75">
      <c r="C749" s="81"/>
      <c r="D749" s="81"/>
      <c r="E749" s="81"/>
      <c r="F749" s="81"/>
      <c r="G749" s="81"/>
    </row>
    <row r="750" spans="3:7" ht="15.75">
      <c r="C750" s="81"/>
      <c r="D750" s="81"/>
      <c r="E750" s="81"/>
      <c r="F750" s="81"/>
      <c r="G750" s="81"/>
    </row>
    <row r="751" spans="3:7" ht="15.75">
      <c r="C751" s="81"/>
      <c r="D751" s="81"/>
      <c r="E751" s="81"/>
      <c r="F751" s="81"/>
      <c r="G751" s="81"/>
    </row>
    <row r="752" spans="3:7" ht="15.75">
      <c r="C752" s="81"/>
      <c r="D752" s="81"/>
      <c r="E752" s="81"/>
      <c r="F752" s="81"/>
      <c r="G752" s="81"/>
    </row>
    <row r="753" spans="3:7" ht="15.75">
      <c r="C753" s="81"/>
      <c r="D753" s="81"/>
      <c r="E753" s="81"/>
      <c r="F753" s="81"/>
      <c r="G753" s="81"/>
    </row>
    <row r="754" spans="3:7" ht="15.75">
      <c r="C754" s="81"/>
      <c r="D754" s="81"/>
      <c r="E754" s="81"/>
      <c r="F754" s="81"/>
      <c r="G754" s="81"/>
    </row>
    <row r="755" spans="3:7" ht="15.75">
      <c r="C755" s="81"/>
      <c r="D755" s="81"/>
      <c r="E755" s="81"/>
      <c r="F755" s="81"/>
      <c r="G755" s="81"/>
    </row>
    <row r="756" spans="3:7" ht="15.75">
      <c r="C756" s="81"/>
      <c r="D756" s="81"/>
      <c r="E756" s="81"/>
      <c r="F756" s="81"/>
      <c r="G756" s="81"/>
    </row>
    <row r="757" spans="3:7" ht="15.75">
      <c r="C757" s="81"/>
      <c r="D757" s="81"/>
      <c r="E757" s="81"/>
      <c r="F757" s="81"/>
      <c r="G757" s="81"/>
    </row>
    <row r="758" spans="3:7" ht="15.75">
      <c r="C758" s="81"/>
      <c r="D758" s="81"/>
      <c r="E758" s="81"/>
      <c r="F758" s="81"/>
      <c r="G758" s="81"/>
    </row>
    <row r="759" spans="3:7" ht="15.75">
      <c r="C759" s="81"/>
      <c r="D759" s="81"/>
      <c r="E759" s="81"/>
      <c r="F759" s="81"/>
      <c r="G759" s="81"/>
    </row>
    <row r="760" spans="3:7" ht="15.75">
      <c r="C760" s="81"/>
      <c r="D760" s="81"/>
      <c r="E760" s="81"/>
      <c r="F760" s="81"/>
      <c r="G760" s="81"/>
    </row>
    <row r="761" spans="3:7" ht="15.75">
      <c r="C761" s="81"/>
      <c r="D761" s="81"/>
      <c r="E761" s="81"/>
      <c r="F761" s="81"/>
      <c r="G761" s="81"/>
    </row>
    <row r="762" spans="3:7" ht="15.75">
      <c r="C762" s="81"/>
      <c r="D762" s="81"/>
      <c r="E762" s="81"/>
      <c r="F762" s="81"/>
      <c r="G762" s="81"/>
    </row>
    <row r="763" spans="3:7" ht="15.75">
      <c r="C763" s="81"/>
      <c r="D763" s="81"/>
      <c r="E763" s="81"/>
      <c r="F763" s="81"/>
      <c r="G763" s="81"/>
    </row>
    <row r="764" spans="3:7" ht="15.75">
      <c r="C764" s="81"/>
      <c r="D764" s="81"/>
      <c r="E764" s="81"/>
      <c r="F764" s="81"/>
      <c r="G764" s="81"/>
    </row>
    <row r="765" spans="3:7" ht="15.75">
      <c r="C765" s="81"/>
      <c r="D765" s="81"/>
      <c r="E765" s="81"/>
      <c r="F765" s="81"/>
      <c r="G765" s="81"/>
    </row>
    <row r="766" spans="3:7" ht="15.75">
      <c r="C766" s="81"/>
      <c r="D766" s="81"/>
      <c r="E766" s="81"/>
      <c r="F766" s="81"/>
      <c r="G766" s="81"/>
    </row>
    <row r="767" spans="3:7" ht="15.75">
      <c r="C767" s="81"/>
      <c r="D767" s="81"/>
      <c r="E767" s="81"/>
      <c r="F767" s="81"/>
      <c r="G767" s="81"/>
    </row>
    <row r="768" spans="3:7" ht="15.75">
      <c r="C768" s="81"/>
      <c r="D768" s="81"/>
      <c r="E768" s="81"/>
      <c r="F768" s="81"/>
      <c r="G768" s="81"/>
    </row>
    <row r="769" spans="3:7" ht="15.75">
      <c r="C769" s="81"/>
      <c r="D769" s="81"/>
      <c r="E769" s="81"/>
      <c r="F769" s="81"/>
      <c r="G769" s="81"/>
    </row>
    <row r="770" spans="3:7" ht="15.75">
      <c r="C770" s="81"/>
      <c r="D770" s="81"/>
      <c r="E770" s="81"/>
      <c r="F770" s="81"/>
      <c r="G770" s="81"/>
    </row>
    <row r="771" spans="3:7" ht="15.75">
      <c r="C771" s="81"/>
      <c r="D771" s="81"/>
      <c r="E771" s="81"/>
      <c r="F771" s="81"/>
      <c r="G771" s="81"/>
    </row>
    <row r="772" spans="3:7" ht="15.75">
      <c r="C772" s="81"/>
      <c r="D772" s="81"/>
      <c r="E772" s="81"/>
      <c r="F772" s="81"/>
      <c r="G772" s="81"/>
    </row>
    <row r="773" spans="3:7" ht="15.75">
      <c r="C773" s="81"/>
      <c r="D773" s="81"/>
      <c r="E773" s="81"/>
      <c r="F773" s="81"/>
      <c r="G773" s="81"/>
    </row>
    <row r="774" spans="3:7" ht="15.75">
      <c r="C774" s="81"/>
      <c r="D774" s="81"/>
      <c r="E774" s="81"/>
      <c r="F774" s="81"/>
      <c r="G774" s="81"/>
    </row>
    <row r="775" spans="3:7" ht="15.75">
      <c r="C775" s="81"/>
      <c r="D775" s="81"/>
      <c r="E775" s="81"/>
      <c r="F775" s="81"/>
      <c r="G775" s="81"/>
    </row>
    <row r="776" spans="3:7" ht="15.75">
      <c r="C776" s="81"/>
      <c r="D776" s="81"/>
      <c r="E776" s="81"/>
      <c r="F776" s="81"/>
      <c r="G776" s="81"/>
    </row>
    <row r="777" spans="3:7" ht="15.75">
      <c r="C777" s="81"/>
      <c r="D777" s="81"/>
      <c r="E777" s="81"/>
      <c r="F777" s="81"/>
      <c r="G777" s="81"/>
    </row>
    <row r="778" spans="3:7" ht="15.75">
      <c r="C778" s="81"/>
      <c r="D778" s="81"/>
      <c r="E778" s="81"/>
      <c r="F778" s="81"/>
      <c r="G778" s="81"/>
    </row>
    <row r="779" spans="3:7" ht="15.75">
      <c r="C779" s="81"/>
      <c r="D779" s="81"/>
      <c r="E779" s="81"/>
      <c r="F779" s="81"/>
      <c r="G779" s="81"/>
    </row>
    <row r="780" spans="3:7" ht="15.75">
      <c r="C780" s="81"/>
      <c r="D780" s="81"/>
      <c r="E780" s="81"/>
      <c r="F780" s="81"/>
      <c r="G780" s="81"/>
    </row>
    <row r="781" spans="3:7" ht="15.75">
      <c r="C781" s="81"/>
      <c r="D781" s="81"/>
      <c r="E781" s="81"/>
      <c r="F781" s="81"/>
      <c r="G781" s="81"/>
    </row>
    <row r="782" spans="3:7" ht="15.75">
      <c r="C782" s="81"/>
      <c r="D782" s="81"/>
      <c r="E782" s="81"/>
      <c r="F782" s="81"/>
      <c r="G782" s="81"/>
    </row>
    <row r="783" spans="3:7" ht="15.75">
      <c r="C783" s="81"/>
      <c r="D783" s="81"/>
      <c r="E783" s="81"/>
      <c r="F783" s="81"/>
      <c r="G783" s="81"/>
    </row>
    <row r="784" spans="3:7" ht="15.75">
      <c r="C784" s="81"/>
      <c r="D784" s="81"/>
      <c r="E784" s="81"/>
      <c r="F784" s="81"/>
      <c r="G784" s="81"/>
    </row>
    <row r="785" spans="3:7" ht="15.75">
      <c r="C785" s="81"/>
      <c r="D785" s="81"/>
      <c r="E785" s="81"/>
      <c r="F785" s="81"/>
      <c r="G785" s="81"/>
    </row>
    <row r="786" spans="3:7" ht="15.75">
      <c r="C786" s="81"/>
      <c r="D786" s="81"/>
      <c r="E786" s="81"/>
      <c r="F786" s="81"/>
      <c r="G786" s="81"/>
    </row>
    <row r="787" spans="3:7" ht="15.75">
      <c r="C787" s="81"/>
      <c r="D787" s="81"/>
      <c r="E787" s="81"/>
      <c r="F787" s="81"/>
      <c r="G787" s="81"/>
    </row>
    <row r="788" spans="3:7" ht="15.75">
      <c r="C788" s="81"/>
      <c r="D788" s="81"/>
      <c r="E788" s="81"/>
      <c r="F788" s="81"/>
      <c r="G788" s="81"/>
    </row>
    <row r="789" spans="3:7" ht="15.75">
      <c r="C789" s="81"/>
      <c r="D789" s="81"/>
      <c r="E789" s="81"/>
      <c r="F789" s="81"/>
      <c r="G789" s="81"/>
    </row>
    <row r="790" spans="3:7" ht="15.75">
      <c r="C790" s="81"/>
      <c r="D790" s="81"/>
      <c r="E790" s="81"/>
      <c r="F790" s="81"/>
      <c r="G790" s="81"/>
    </row>
    <row r="791" spans="3:7" ht="15.75">
      <c r="C791" s="81"/>
      <c r="D791" s="81"/>
      <c r="E791" s="81"/>
      <c r="F791" s="81"/>
      <c r="G791" s="81"/>
    </row>
    <row r="792" spans="3:7" ht="15.75">
      <c r="C792" s="81"/>
      <c r="D792" s="81"/>
      <c r="E792" s="81"/>
      <c r="F792" s="81"/>
      <c r="G792" s="81"/>
    </row>
    <row r="793" spans="3:7" ht="15.75">
      <c r="C793" s="81"/>
      <c r="D793" s="81"/>
      <c r="E793" s="81"/>
      <c r="F793" s="81"/>
      <c r="G793" s="81"/>
    </row>
    <row r="794" spans="3:7" ht="15.75">
      <c r="C794" s="81"/>
      <c r="D794" s="81"/>
      <c r="E794" s="81"/>
      <c r="F794" s="81"/>
      <c r="G794" s="81"/>
    </row>
    <row r="795" spans="3:7" ht="15.75">
      <c r="C795" s="81"/>
      <c r="D795" s="81"/>
      <c r="E795" s="81"/>
      <c r="F795" s="81"/>
      <c r="G795" s="81"/>
    </row>
    <row r="796" spans="3:7" ht="15.75">
      <c r="C796" s="81"/>
      <c r="D796" s="81"/>
      <c r="E796" s="81"/>
      <c r="F796" s="81"/>
      <c r="G796" s="81"/>
    </row>
    <row r="797" spans="3:7" ht="15.75">
      <c r="C797" s="81"/>
      <c r="D797" s="81"/>
      <c r="E797" s="81"/>
      <c r="F797" s="81"/>
      <c r="G797" s="81"/>
    </row>
    <row r="798" spans="3:7" ht="15.75">
      <c r="C798" s="81"/>
      <c r="D798" s="81"/>
      <c r="E798" s="81"/>
      <c r="F798" s="81"/>
      <c r="G798" s="81"/>
    </row>
    <row r="799" spans="3:7" ht="15.75">
      <c r="C799" s="81"/>
      <c r="D799" s="81"/>
      <c r="E799" s="81"/>
      <c r="F799" s="81"/>
      <c r="G799" s="81"/>
    </row>
    <row r="800" spans="3:7" ht="15.75">
      <c r="C800" s="81"/>
      <c r="D800" s="81"/>
      <c r="E800" s="81"/>
      <c r="F800" s="81"/>
      <c r="G800" s="81"/>
    </row>
    <row r="801" spans="3:7" ht="15.75">
      <c r="C801" s="81"/>
      <c r="D801" s="81"/>
      <c r="E801" s="81"/>
      <c r="F801" s="81"/>
      <c r="G801" s="81"/>
    </row>
    <row r="802" spans="3:7" ht="15.75">
      <c r="C802" s="81"/>
      <c r="D802" s="81"/>
      <c r="E802" s="81"/>
      <c r="F802" s="81"/>
      <c r="G802" s="81"/>
    </row>
    <row r="803" spans="3:7" ht="15.75">
      <c r="C803" s="81"/>
      <c r="D803" s="81"/>
      <c r="E803" s="81"/>
      <c r="F803" s="81"/>
      <c r="G803" s="81"/>
    </row>
    <row r="804" spans="3:7" ht="15.75">
      <c r="C804" s="81"/>
      <c r="D804" s="81"/>
      <c r="E804" s="81"/>
      <c r="F804" s="81"/>
      <c r="G804" s="81"/>
    </row>
    <row r="805" spans="3:7" ht="15.75">
      <c r="C805" s="81"/>
      <c r="D805" s="81"/>
      <c r="E805" s="81"/>
      <c r="F805" s="81"/>
      <c r="G805" s="81"/>
    </row>
    <row r="806" spans="3:7" ht="15.75">
      <c r="C806" s="81"/>
      <c r="D806" s="81"/>
      <c r="E806" s="81"/>
      <c r="F806" s="81"/>
      <c r="G806" s="81"/>
    </row>
    <row r="807" spans="3:7" ht="15.75">
      <c r="C807" s="81"/>
      <c r="D807" s="81"/>
      <c r="E807" s="81"/>
      <c r="F807" s="81"/>
      <c r="G807" s="81"/>
    </row>
    <row r="808" spans="3:7" ht="15.75">
      <c r="C808" s="81"/>
      <c r="D808" s="81"/>
      <c r="E808" s="81"/>
      <c r="F808" s="81"/>
      <c r="G808" s="81"/>
    </row>
    <row r="809" spans="3:7" ht="15.75">
      <c r="C809" s="81"/>
      <c r="D809" s="81"/>
      <c r="E809" s="81"/>
      <c r="F809" s="81"/>
      <c r="G809" s="81"/>
    </row>
    <row r="810" spans="3:7" ht="15.75">
      <c r="C810" s="81"/>
      <c r="D810" s="81"/>
      <c r="E810" s="81"/>
      <c r="F810" s="81"/>
      <c r="G810" s="81"/>
    </row>
    <row r="811" spans="3:7" ht="15.75">
      <c r="C811" s="81"/>
      <c r="D811" s="81"/>
      <c r="E811" s="81"/>
      <c r="F811" s="81"/>
      <c r="G811" s="81"/>
    </row>
    <row r="812" spans="3:7" ht="15.75">
      <c r="C812" s="81"/>
      <c r="D812" s="81"/>
      <c r="E812" s="81"/>
      <c r="F812" s="81"/>
      <c r="G812" s="81"/>
    </row>
    <row r="813" spans="3:7" ht="15.75">
      <c r="C813" s="81"/>
      <c r="D813" s="81"/>
      <c r="E813" s="81"/>
      <c r="F813" s="81"/>
      <c r="G813" s="81"/>
    </row>
    <row r="814" spans="3:7" ht="15.75">
      <c r="C814" s="81"/>
      <c r="D814" s="81"/>
      <c r="E814" s="81"/>
      <c r="F814" s="81"/>
      <c r="G814" s="81"/>
    </row>
    <row r="815" spans="3:7" ht="15.75">
      <c r="C815" s="81"/>
      <c r="D815" s="81"/>
      <c r="E815" s="81"/>
      <c r="F815" s="81"/>
      <c r="G815" s="81"/>
    </row>
    <row r="816" spans="3:7" ht="15.75">
      <c r="C816" s="81"/>
      <c r="D816" s="81"/>
      <c r="E816" s="81"/>
      <c r="F816" s="81"/>
      <c r="G816" s="81"/>
    </row>
    <row r="817" spans="3:7" ht="15.75">
      <c r="C817" s="81"/>
      <c r="D817" s="81"/>
      <c r="E817" s="81"/>
      <c r="F817" s="81"/>
      <c r="G817" s="81"/>
    </row>
    <row r="818" spans="3:7" ht="15.75">
      <c r="C818" s="81"/>
      <c r="D818" s="81"/>
      <c r="E818" s="81"/>
      <c r="F818" s="81"/>
      <c r="G818" s="81"/>
    </row>
    <row r="819" spans="3:7" ht="15.75">
      <c r="C819" s="81"/>
      <c r="D819" s="81"/>
      <c r="E819" s="81"/>
      <c r="F819" s="81"/>
      <c r="G819" s="81"/>
    </row>
    <row r="820" spans="3:7" ht="15.75">
      <c r="C820" s="81"/>
      <c r="D820" s="81"/>
      <c r="E820" s="81"/>
      <c r="F820" s="81"/>
      <c r="G820" s="81"/>
    </row>
    <row r="821" spans="3:7" ht="15.75">
      <c r="C821" s="81"/>
      <c r="D821" s="81"/>
      <c r="E821" s="81"/>
      <c r="F821" s="81"/>
      <c r="G821" s="81"/>
    </row>
    <row r="822" spans="3:7" ht="15.75">
      <c r="C822" s="81"/>
      <c r="D822" s="81"/>
      <c r="E822" s="81"/>
      <c r="F822" s="81"/>
      <c r="G822" s="81"/>
    </row>
    <row r="823" spans="3:7" ht="15.75">
      <c r="C823" s="81"/>
      <c r="D823" s="81"/>
      <c r="E823" s="81"/>
      <c r="F823" s="81"/>
      <c r="G823" s="81"/>
    </row>
    <row r="824" spans="3:7" ht="15.75">
      <c r="C824" s="81"/>
      <c r="D824" s="81"/>
      <c r="E824" s="81"/>
      <c r="F824" s="81"/>
      <c r="G824" s="81"/>
    </row>
    <row r="825" spans="3:7" ht="15.75">
      <c r="C825" s="81"/>
      <c r="D825" s="81"/>
      <c r="E825" s="81"/>
      <c r="F825" s="81"/>
      <c r="G825" s="81"/>
    </row>
    <row r="826" spans="3:7" ht="15.75">
      <c r="C826" s="81"/>
      <c r="D826" s="81"/>
      <c r="E826" s="81"/>
      <c r="F826" s="81"/>
      <c r="G826" s="81"/>
    </row>
    <row r="827" spans="3:7" ht="15.75">
      <c r="C827" s="81"/>
      <c r="D827" s="81"/>
      <c r="E827" s="81"/>
      <c r="F827" s="81"/>
      <c r="G827" s="81"/>
    </row>
    <row r="828" spans="3:7" ht="15.75">
      <c r="C828" s="81"/>
      <c r="D828" s="81"/>
      <c r="E828" s="81"/>
      <c r="F828" s="81"/>
      <c r="G828" s="81"/>
    </row>
    <row r="829" spans="3:7" ht="15.75">
      <c r="C829" s="81"/>
      <c r="D829" s="81"/>
      <c r="E829" s="81"/>
      <c r="F829" s="81"/>
      <c r="G829" s="81"/>
    </row>
    <row r="830" spans="3:7" ht="15.75">
      <c r="C830" s="81"/>
      <c r="D830" s="81"/>
      <c r="E830" s="81"/>
      <c r="F830" s="81"/>
      <c r="G830" s="81"/>
    </row>
    <row r="831" spans="3:7" ht="15.75">
      <c r="C831" s="81"/>
      <c r="D831" s="81"/>
      <c r="E831" s="81"/>
      <c r="F831" s="81"/>
      <c r="G831" s="81"/>
    </row>
    <row r="832" spans="3:7" ht="15.75">
      <c r="C832" s="81"/>
      <c r="D832" s="81"/>
      <c r="E832" s="81"/>
      <c r="F832" s="81"/>
      <c r="G832" s="81"/>
    </row>
    <row r="833" spans="3:7" ht="15.75">
      <c r="C833" s="81"/>
      <c r="D833" s="81"/>
      <c r="E833" s="81"/>
      <c r="F833" s="81"/>
      <c r="G833" s="81"/>
    </row>
    <row r="834" spans="3:7" ht="15.75">
      <c r="C834" s="81"/>
      <c r="D834" s="81"/>
      <c r="E834" s="81"/>
      <c r="F834" s="81"/>
      <c r="G834" s="81"/>
    </row>
    <row r="835" spans="3:7" ht="15.75">
      <c r="C835" s="81"/>
      <c r="D835" s="81"/>
      <c r="E835" s="81"/>
      <c r="F835" s="81"/>
      <c r="G835" s="81"/>
    </row>
    <row r="836" spans="3:7" ht="15.75">
      <c r="C836" s="81"/>
      <c r="D836" s="81"/>
      <c r="E836" s="81"/>
      <c r="F836" s="81"/>
      <c r="G836" s="81"/>
    </row>
    <row r="837" spans="3:7" ht="15.75">
      <c r="C837" s="81"/>
      <c r="D837" s="81"/>
      <c r="E837" s="81"/>
      <c r="F837" s="81"/>
      <c r="G837" s="81"/>
    </row>
    <row r="838" spans="3:7" ht="15.75">
      <c r="C838" s="81"/>
      <c r="D838" s="81"/>
      <c r="E838" s="81"/>
      <c r="F838" s="81"/>
      <c r="G838" s="81"/>
    </row>
    <row r="839" spans="3:7" ht="15.75">
      <c r="C839" s="81"/>
      <c r="D839" s="81"/>
      <c r="E839" s="81"/>
      <c r="F839" s="81"/>
      <c r="G839" s="81"/>
    </row>
    <row r="840" spans="3:7" ht="15.75">
      <c r="C840" s="81"/>
      <c r="D840" s="81"/>
      <c r="E840" s="81"/>
      <c r="F840" s="81"/>
      <c r="G840" s="81"/>
    </row>
    <row r="841" spans="3:7" ht="15.75">
      <c r="C841" s="81"/>
      <c r="D841" s="81"/>
      <c r="E841" s="81"/>
      <c r="F841" s="81"/>
      <c r="G841" s="81"/>
    </row>
    <row r="842" spans="3:7" ht="15.75">
      <c r="C842" s="81"/>
      <c r="D842" s="81"/>
      <c r="E842" s="81"/>
      <c r="F842" s="81"/>
      <c r="G842" s="81"/>
    </row>
    <row r="843" spans="3:7" ht="15.75">
      <c r="C843" s="81"/>
      <c r="D843" s="81"/>
      <c r="E843" s="81"/>
      <c r="F843" s="81"/>
      <c r="G843" s="81"/>
    </row>
    <row r="844" spans="3:7" ht="15.75">
      <c r="C844" s="81"/>
      <c r="D844" s="81"/>
      <c r="E844" s="81"/>
      <c r="F844" s="81"/>
      <c r="G844" s="81"/>
    </row>
    <row r="845" spans="3:7" ht="15.75">
      <c r="C845" s="81"/>
      <c r="D845" s="81"/>
      <c r="E845" s="81"/>
      <c r="F845" s="81"/>
      <c r="G845" s="81"/>
    </row>
    <row r="846" spans="3:7" ht="15.75">
      <c r="C846" s="81"/>
      <c r="D846" s="81"/>
      <c r="E846" s="81"/>
      <c r="F846" s="81"/>
      <c r="G846" s="81"/>
    </row>
    <row r="847" spans="3:7" ht="15.75">
      <c r="C847" s="81"/>
      <c r="D847" s="81"/>
      <c r="E847" s="81"/>
      <c r="F847" s="81"/>
      <c r="G847" s="81"/>
    </row>
    <row r="848" spans="3:7" ht="15.75">
      <c r="C848" s="81"/>
      <c r="D848" s="81"/>
      <c r="E848" s="81"/>
      <c r="F848" s="81"/>
      <c r="G848" s="81"/>
    </row>
    <row r="849" spans="3:7" ht="15.75">
      <c r="C849" s="81"/>
      <c r="D849" s="81"/>
      <c r="E849" s="81"/>
      <c r="F849" s="81"/>
      <c r="G849" s="81"/>
    </row>
    <row r="850" spans="3:7" ht="15.75">
      <c r="C850" s="81"/>
      <c r="D850" s="81"/>
      <c r="E850" s="81"/>
      <c r="F850" s="81"/>
      <c r="G850" s="81"/>
    </row>
    <row r="851" spans="3:7" ht="15.75">
      <c r="C851" s="81"/>
      <c r="D851" s="81"/>
      <c r="E851" s="81"/>
      <c r="F851" s="81"/>
      <c r="G851" s="81"/>
    </row>
    <row r="852" spans="3:7" ht="15.75">
      <c r="C852" s="81"/>
      <c r="D852" s="81"/>
      <c r="E852" s="81"/>
      <c r="F852" s="81"/>
      <c r="G852" s="81"/>
    </row>
    <row r="853" spans="3:7" ht="15.75">
      <c r="C853" s="81"/>
      <c r="D853" s="81"/>
      <c r="E853" s="81"/>
      <c r="F853" s="81"/>
      <c r="G853" s="81"/>
    </row>
    <row r="854" spans="3:7" ht="15.75">
      <c r="C854" s="81"/>
      <c r="D854" s="81"/>
      <c r="E854" s="81"/>
      <c r="F854" s="81"/>
      <c r="G854" s="81"/>
    </row>
    <row r="855" spans="3:7" ht="15.75">
      <c r="C855" s="81"/>
      <c r="D855" s="81"/>
      <c r="E855" s="81"/>
      <c r="F855" s="81"/>
      <c r="G855" s="81"/>
    </row>
    <row r="856" spans="3:7" ht="15.75">
      <c r="C856" s="81"/>
      <c r="D856" s="81"/>
      <c r="E856" s="81"/>
      <c r="F856" s="81"/>
      <c r="G856" s="81"/>
    </row>
    <row r="857" spans="3:7" ht="15.75">
      <c r="C857" s="81"/>
      <c r="D857" s="81"/>
      <c r="E857" s="81"/>
      <c r="F857" s="81"/>
      <c r="G857" s="81"/>
    </row>
    <row r="858" spans="3:7" ht="15.75">
      <c r="C858" s="81"/>
      <c r="D858" s="81"/>
      <c r="E858" s="81"/>
      <c r="F858" s="81"/>
      <c r="G858" s="81"/>
    </row>
    <row r="859" spans="3:7" ht="15.75">
      <c r="C859" s="81"/>
      <c r="D859" s="81"/>
      <c r="E859" s="81"/>
      <c r="F859" s="81"/>
      <c r="G859" s="81"/>
    </row>
    <row r="860" spans="3:7" ht="15.75">
      <c r="C860" s="81"/>
      <c r="D860" s="81"/>
      <c r="E860" s="81"/>
      <c r="F860" s="81"/>
      <c r="G860" s="81"/>
    </row>
    <row r="861" spans="3:7" ht="15.75">
      <c r="C861" s="81"/>
      <c r="D861" s="81"/>
      <c r="E861" s="81"/>
      <c r="F861" s="81"/>
      <c r="G861" s="81"/>
    </row>
    <row r="862" spans="3:7" ht="15.75">
      <c r="C862" s="81"/>
      <c r="D862" s="81"/>
      <c r="E862" s="81"/>
      <c r="F862" s="81"/>
      <c r="G862" s="81"/>
    </row>
    <row r="863" spans="3:7" ht="15.75">
      <c r="C863" s="81"/>
      <c r="D863" s="81"/>
      <c r="E863" s="81"/>
      <c r="F863" s="81"/>
      <c r="G863" s="81"/>
    </row>
    <row r="864" spans="3:7" ht="15.75">
      <c r="C864" s="81"/>
      <c r="D864" s="81"/>
      <c r="E864" s="81"/>
      <c r="F864" s="81"/>
      <c r="G864" s="81"/>
    </row>
    <row r="865" spans="3:7" ht="15.75">
      <c r="C865" s="81"/>
      <c r="D865" s="81"/>
      <c r="E865" s="81"/>
      <c r="F865" s="81"/>
      <c r="G865" s="81"/>
    </row>
    <row r="866" spans="3:7" ht="15.75">
      <c r="C866" s="81"/>
      <c r="D866" s="81"/>
      <c r="E866" s="81"/>
      <c r="F866" s="81"/>
      <c r="G866" s="81"/>
    </row>
    <row r="867" spans="3:7" ht="15.75">
      <c r="C867" s="81"/>
      <c r="D867" s="81"/>
      <c r="E867" s="81"/>
      <c r="F867" s="81"/>
      <c r="G867" s="81"/>
    </row>
    <row r="868" spans="3:7" ht="15.75">
      <c r="C868" s="81"/>
      <c r="D868" s="81"/>
      <c r="E868" s="81"/>
      <c r="F868" s="81"/>
      <c r="G868" s="81"/>
    </row>
    <row r="869" spans="3:7" ht="15.75">
      <c r="C869" s="81"/>
      <c r="D869" s="81"/>
      <c r="E869" s="81"/>
      <c r="F869" s="81"/>
      <c r="G869" s="81"/>
    </row>
    <row r="870" spans="3:7" ht="15.75">
      <c r="C870" s="81"/>
      <c r="D870" s="81"/>
      <c r="E870" s="81"/>
      <c r="F870" s="81"/>
      <c r="G870" s="81"/>
    </row>
    <row r="871" spans="3:7" ht="15.75">
      <c r="C871" s="81"/>
      <c r="D871" s="81"/>
      <c r="E871" s="81"/>
      <c r="F871" s="81"/>
      <c r="G871" s="81"/>
    </row>
    <row r="872" spans="3:7" ht="15.75">
      <c r="C872" s="81"/>
      <c r="D872" s="81"/>
      <c r="E872" s="81"/>
      <c r="F872" s="81"/>
      <c r="G872" s="81"/>
    </row>
    <row r="873" spans="3:7" ht="15.75">
      <c r="C873" s="81"/>
      <c r="D873" s="81"/>
      <c r="E873" s="81"/>
      <c r="F873" s="81"/>
      <c r="G873" s="81"/>
    </row>
    <row r="874" spans="3:7" ht="15.75">
      <c r="C874" s="81"/>
      <c r="D874" s="81"/>
      <c r="E874" s="81"/>
      <c r="F874" s="81"/>
      <c r="G874" s="81"/>
    </row>
    <row r="875" spans="3:7" ht="15.75">
      <c r="C875" s="81"/>
      <c r="D875" s="81"/>
      <c r="E875" s="81"/>
      <c r="F875" s="81"/>
      <c r="G875" s="81"/>
    </row>
    <row r="876" spans="3:7" ht="15.75">
      <c r="C876" s="81"/>
      <c r="D876" s="81"/>
      <c r="E876" s="81"/>
      <c r="F876" s="81"/>
      <c r="G876" s="81"/>
    </row>
    <row r="877" spans="3:7" ht="15.75">
      <c r="C877" s="81"/>
      <c r="D877" s="81"/>
      <c r="E877" s="81"/>
      <c r="F877" s="81"/>
      <c r="G877" s="81"/>
    </row>
    <row r="878" spans="3:7" ht="15.75">
      <c r="C878" s="81"/>
      <c r="D878" s="81"/>
      <c r="E878" s="81"/>
      <c r="F878" s="81"/>
      <c r="G878" s="81"/>
    </row>
    <row r="879" spans="3:7" ht="15.75">
      <c r="C879" s="81"/>
      <c r="D879" s="81"/>
      <c r="E879" s="81"/>
      <c r="F879" s="81"/>
      <c r="G879" s="81"/>
    </row>
    <row r="880" spans="3:7" ht="15.75">
      <c r="C880" s="81"/>
      <c r="D880" s="81"/>
      <c r="E880" s="81"/>
      <c r="F880" s="81"/>
      <c r="G880" s="81"/>
    </row>
    <row r="881" spans="3:7" ht="15.75">
      <c r="C881" s="81"/>
      <c r="D881" s="81"/>
      <c r="E881" s="81"/>
      <c r="F881" s="81"/>
      <c r="G881" s="81"/>
    </row>
    <row r="882" spans="3:7" ht="15.75">
      <c r="C882" s="81"/>
      <c r="D882" s="81"/>
      <c r="E882" s="81"/>
      <c r="F882" s="81"/>
      <c r="G882" s="81"/>
    </row>
    <row r="883" spans="3:7" ht="15.75">
      <c r="C883" s="81"/>
      <c r="D883" s="81"/>
      <c r="E883" s="81"/>
      <c r="F883" s="81"/>
      <c r="G883" s="81"/>
    </row>
    <row r="884" spans="3:7" ht="15.75">
      <c r="C884" s="81"/>
      <c r="D884" s="81"/>
      <c r="E884" s="81"/>
      <c r="F884" s="81"/>
      <c r="G884" s="81"/>
    </row>
    <row r="885" spans="3:7" ht="15.75">
      <c r="C885" s="81"/>
      <c r="D885" s="81"/>
      <c r="E885" s="81"/>
      <c r="F885" s="81"/>
      <c r="G885" s="81"/>
    </row>
    <row r="886" spans="3:7" ht="15.75">
      <c r="C886" s="81"/>
      <c r="D886" s="81"/>
      <c r="E886" s="81"/>
      <c r="F886" s="81"/>
      <c r="G886" s="81"/>
    </row>
    <row r="887" spans="3:7" ht="15.75">
      <c r="C887" s="81"/>
      <c r="D887" s="81"/>
      <c r="E887" s="81"/>
      <c r="F887" s="81"/>
      <c r="G887" s="81"/>
    </row>
    <row r="888" spans="3:7" ht="15.75">
      <c r="C888" s="81"/>
      <c r="D888" s="81"/>
      <c r="E888" s="81"/>
      <c r="F888" s="81"/>
      <c r="G888" s="81"/>
    </row>
    <row r="889" spans="3:7" ht="15.75">
      <c r="C889" s="81"/>
      <c r="D889" s="81"/>
      <c r="E889" s="81"/>
      <c r="F889" s="81"/>
      <c r="G889" s="81"/>
    </row>
    <row r="890" spans="3:7" ht="15.75">
      <c r="C890" s="81"/>
      <c r="D890" s="81"/>
      <c r="E890" s="81"/>
      <c r="F890" s="81"/>
      <c r="G890" s="81"/>
    </row>
    <row r="891" spans="3:7" ht="15.75">
      <c r="C891" s="81"/>
      <c r="D891" s="81"/>
      <c r="E891" s="81"/>
      <c r="F891" s="81"/>
      <c r="G891" s="81"/>
    </row>
    <row r="892" spans="3:7" ht="15.75">
      <c r="C892" s="81"/>
      <c r="D892" s="81"/>
      <c r="E892" s="81"/>
      <c r="F892" s="81"/>
      <c r="G892" s="81"/>
    </row>
    <row r="893" spans="3:7" ht="15.75">
      <c r="C893" s="81"/>
      <c r="D893" s="81"/>
      <c r="E893" s="81"/>
      <c r="F893" s="81"/>
      <c r="G893" s="81"/>
    </row>
    <row r="894" spans="3:7" ht="15.75">
      <c r="C894" s="81"/>
      <c r="D894" s="81"/>
      <c r="E894" s="81"/>
      <c r="F894" s="81"/>
      <c r="G894" s="81"/>
    </row>
    <row r="895" spans="3:7" ht="15.75">
      <c r="C895" s="81"/>
      <c r="D895" s="81"/>
      <c r="E895" s="81"/>
      <c r="F895" s="81"/>
      <c r="G895" s="81"/>
    </row>
    <row r="896" spans="3:7" ht="15.75">
      <c r="C896" s="81"/>
      <c r="D896" s="81"/>
      <c r="E896" s="81"/>
      <c r="F896" s="81"/>
      <c r="G896" s="81"/>
    </row>
    <row r="897" spans="3:7" ht="15.75">
      <c r="C897" s="81"/>
      <c r="D897" s="81"/>
      <c r="E897" s="81"/>
      <c r="F897" s="81"/>
      <c r="G897" s="81"/>
    </row>
    <row r="898" spans="3:7" ht="15.75">
      <c r="C898" s="81"/>
      <c r="D898" s="81"/>
      <c r="E898" s="81"/>
      <c r="F898" s="81"/>
      <c r="G898" s="81"/>
    </row>
    <row r="899" spans="3:7" ht="15.75">
      <c r="C899" s="81"/>
      <c r="D899" s="81"/>
      <c r="E899" s="81"/>
      <c r="F899" s="81"/>
      <c r="G899" s="81"/>
    </row>
    <row r="900" spans="3:7" ht="15.75">
      <c r="C900" s="81"/>
      <c r="D900" s="81"/>
      <c r="E900" s="81"/>
      <c r="F900" s="81"/>
      <c r="G900" s="81"/>
    </row>
    <row r="901" spans="3:7" ht="15.75">
      <c r="C901" s="81"/>
      <c r="D901" s="81"/>
      <c r="E901" s="81"/>
      <c r="F901" s="81"/>
      <c r="G901" s="81"/>
    </row>
    <row r="902" spans="3:7" ht="15.75">
      <c r="C902" s="81"/>
      <c r="D902" s="81"/>
      <c r="E902" s="81"/>
      <c r="F902" s="81"/>
      <c r="G902" s="81"/>
    </row>
    <row r="903" spans="3:7" ht="15.75">
      <c r="C903" s="81"/>
      <c r="D903" s="81"/>
      <c r="E903" s="81"/>
      <c r="F903" s="81"/>
      <c r="G903" s="81"/>
    </row>
    <row r="904" spans="3:7" ht="15.75">
      <c r="C904" s="81"/>
      <c r="D904" s="81"/>
      <c r="E904" s="81"/>
      <c r="F904" s="81"/>
      <c r="G904" s="81"/>
    </row>
    <row r="905" spans="3:7" ht="15.75">
      <c r="C905" s="81"/>
      <c r="D905" s="81"/>
      <c r="E905" s="81"/>
      <c r="F905" s="81"/>
      <c r="G905" s="81"/>
    </row>
    <row r="906" spans="3:7" ht="15.75">
      <c r="C906" s="81"/>
      <c r="D906" s="81"/>
      <c r="E906" s="81"/>
      <c r="F906" s="81"/>
      <c r="G906" s="81"/>
    </row>
    <row r="907" spans="3:7" ht="15.75">
      <c r="C907" s="81"/>
      <c r="D907" s="81"/>
      <c r="E907" s="81"/>
      <c r="F907" s="81"/>
      <c r="G907" s="81"/>
    </row>
    <row r="908" spans="3:7" ht="15.75">
      <c r="C908" s="81"/>
      <c r="D908" s="81"/>
      <c r="E908" s="81"/>
      <c r="F908" s="81"/>
      <c r="G908" s="81"/>
    </row>
    <row r="909" spans="3:7" ht="15.75">
      <c r="C909" s="81"/>
      <c r="D909" s="81"/>
      <c r="E909" s="81"/>
      <c r="F909" s="81"/>
      <c r="G909" s="81"/>
    </row>
    <row r="910" spans="3:7" ht="15.75">
      <c r="C910" s="81"/>
      <c r="D910" s="81"/>
      <c r="E910" s="81"/>
      <c r="F910" s="81"/>
      <c r="G910" s="81"/>
    </row>
    <row r="911" spans="3:7" ht="15.75">
      <c r="C911" s="81"/>
      <c r="D911" s="81"/>
      <c r="E911" s="81"/>
      <c r="F911" s="81"/>
      <c r="G911" s="81"/>
    </row>
    <row r="912" spans="3:7" ht="15.75">
      <c r="C912" s="81"/>
      <c r="D912" s="81"/>
      <c r="E912" s="81"/>
      <c r="F912" s="81"/>
      <c r="G912" s="81"/>
    </row>
    <row r="913" spans="3:7" ht="15.75">
      <c r="C913" s="81"/>
      <c r="D913" s="81"/>
      <c r="E913" s="81"/>
      <c r="F913" s="81"/>
      <c r="G913" s="81"/>
    </row>
    <row r="914" spans="3:7" ht="15.75">
      <c r="C914" s="81"/>
      <c r="D914" s="81"/>
      <c r="E914" s="81"/>
      <c r="F914" s="81"/>
      <c r="G914" s="81"/>
    </row>
    <row r="915" spans="3:7" ht="15.75">
      <c r="C915" s="81"/>
      <c r="D915" s="81"/>
      <c r="E915" s="81"/>
      <c r="F915" s="81"/>
      <c r="G915" s="81"/>
    </row>
    <row r="916" spans="3:7" ht="15.75">
      <c r="C916" s="81"/>
      <c r="D916" s="81"/>
      <c r="E916" s="81"/>
      <c r="F916" s="81"/>
      <c r="G916" s="81"/>
    </row>
    <row r="917" spans="3:7" ht="15.75">
      <c r="C917" s="81"/>
      <c r="D917" s="81"/>
      <c r="E917" s="81"/>
      <c r="F917" s="81"/>
      <c r="G917" s="81"/>
    </row>
    <row r="918" spans="3:7" ht="15.75">
      <c r="C918" s="81"/>
      <c r="D918" s="81"/>
      <c r="E918" s="81"/>
      <c r="F918" s="81"/>
      <c r="G918" s="81"/>
    </row>
    <row r="919" spans="3:7" ht="15.75">
      <c r="C919" s="81"/>
      <c r="D919" s="81"/>
      <c r="E919" s="81"/>
      <c r="F919" s="81"/>
      <c r="G919" s="81"/>
    </row>
    <row r="920" spans="3:7" ht="15.75">
      <c r="C920" s="81"/>
      <c r="D920" s="81"/>
      <c r="E920" s="81"/>
      <c r="F920" s="81"/>
      <c r="G920" s="81"/>
    </row>
    <row r="921" spans="3:7" ht="15.75">
      <c r="C921" s="81"/>
      <c r="D921" s="81"/>
      <c r="E921" s="81"/>
      <c r="F921" s="81"/>
      <c r="G921" s="81"/>
    </row>
    <row r="922" spans="3:7" ht="15.75">
      <c r="C922" s="81"/>
      <c r="D922" s="81"/>
      <c r="E922" s="81"/>
      <c r="F922" s="81"/>
      <c r="G922" s="81"/>
    </row>
    <row r="923" spans="3:7" ht="15.75">
      <c r="C923" s="81"/>
      <c r="D923" s="81"/>
      <c r="E923" s="81"/>
      <c r="F923" s="81"/>
      <c r="G923" s="81"/>
    </row>
    <row r="924" spans="3:7" ht="15.75">
      <c r="C924" s="81"/>
      <c r="D924" s="81"/>
      <c r="E924" s="81"/>
      <c r="F924" s="81"/>
      <c r="G924" s="81"/>
    </row>
    <row r="925" spans="3:7" ht="15.75">
      <c r="C925" s="81"/>
      <c r="D925" s="81"/>
      <c r="E925" s="81"/>
      <c r="F925" s="81"/>
      <c r="G925" s="81"/>
    </row>
    <row r="926" spans="3:7" ht="15.75">
      <c r="C926" s="81"/>
      <c r="D926" s="81"/>
      <c r="E926" s="81"/>
      <c r="F926" s="81"/>
      <c r="G926" s="81"/>
    </row>
    <row r="927" spans="3:7" ht="15.75">
      <c r="C927" s="81"/>
      <c r="D927" s="81"/>
      <c r="E927" s="81"/>
      <c r="F927" s="81"/>
      <c r="G927" s="81"/>
    </row>
    <row r="928" spans="3:7" ht="15.75">
      <c r="C928" s="81"/>
      <c r="D928" s="81"/>
      <c r="E928" s="81"/>
      <c r="F928" s="81"/>
      <c r="G928" s="81"/>
    </row>
    <row r="929" spans="3:7" ht="15.75">
      <c r="C929" s="81"/>
      <c r="D929" s="81"/>
      <c r="E929" s="81"/>
      <c r="F929" s="81"/>
      <c r="G929" s="81"/>
    </row>
    <row r="930" spans="3:7" ht="15.75">
      <c r="C930" s="81"/>
      <c r="D930" s="81"/>
      <c r="E930" s="81"/>
      <c r="F930" s="81"/>
      <c r="G930" s="81"/>
    </row>
    <row r="931" spans="3:7" ht="15.75">
      <c r="C931" s="81"/>
      <c r="D931" s="81"/>
      <c r="E931" s="81"/>
      <c r="F931" s="81"/>
      <c r="G931" s="81"/>
    </row>
    <row r="932" spans="3:7" ht="15.75">
      <c r="C932" s="81"/>
      <c r="D932" s="81"/>
      <c r="E932" s="81"/>
      <c r="F932" s="81"/>
      <c r="G932" s="81"/>
    </row>
    <row r="933" spans="3:7" ht="15.75">
      <c r="C933" s="81"/>
      <c r="D933" s="81"/>
      <c r="E933" s="81"/>
      <c r="F933" s="81"/>
      <c r="G933" s="81"/>
    </row>
    <row r="934" spans="3:7" ht="15.75">
      <c r="C934" s="81"/>
      <c r="D934" s="81"/>
      <c r="E934" s="81"/>
      <c r="F934" s="81"/>
      <c r="G934" s="81"/>
    </row>
    <row r="935" spans="3:7" ht="15.75">
      <c r="C935" s="81"/>
      <c r="D935" s="81"/>
      <c r="E935" s="81"/>
      <c r="F935" s="81"/>
      <c r="G935" s="81"/>
    </row>
    <row r="936" spans="3:7" ht="15.75">
      <c r="C936" s="81"/>
      <c r="D936" s="81"/>
      <c r="E936" s="81"/>
      <c r="F936" s="81"/>
      <c r="G936" s="81"/>
    </row>
    <row r="937" spans="3:7" ht="15.75">
      <c r="C937" s="81"/>
      <c r="D937" s="81"/>
      <c r="E937" s="81"/>
      <c r="F937" s="81"/>
      <c r="G937" s="81"/>
    </row>
    <row r="938" spans="3:7" ht="15.75">
      <c r="C938" s="81"/>
      <c r="D938" s="81"/>
      <c r="E938" s="81"/>
      <c r="F938" s="81"/>
      <c r="G938" s="81"/>
    </row>
    <row r="939" spans="3:7" ht="15.75">
      <c r="C939" s="81"/>
      <c r="D939" s="81"/>
      <c r="E939" s="81"/>
      <c r="F939" s="81"/>
      <c r="G939" s="81"/>
    </row>
    <row r="940" spans="3:7" ht="15.75">
      <c r="C940" s="81"/>
      <c r="D940" s="81"/>
      <c r="E940" s="81"/>
      <c r="F940" s="81"/>
      <c r="G940" s="81"/>
    </row>
    <row r="941" spans="3:7" ht="15.75">
      <c r="C941" s="81"/>
      <c r="D941" s="81"/>
      <c r="E941" s="81"/>
      <c r="F941" s="81"/>
      <c r="G941" s="81"/>
    </row>
    <row r="942" spans="3:7" ht="15.75">
      <c r="C942" s="81"/>
      <c r="D942" s="81"/>
      <c r="E942" s="81"/>
      <c r="F942" s="81"/>
      <c r="G942" s="81"/>
    </row>
    <row r="943" spans="3:7" ht="15.75">
      <c r="C943" s="81"/>
      <c r="D943" s="81"/>
      <c r="E943" s="81"/>
      <c r="F943" s="81"/>
      <c r="G943" s="81"/>
    </row>
    <row r="944" spans="3:7" ht="15.75">
      <c r="C944" s="81"/>
      <c r="D944" s="81"/>
      <c r="E944" s="81"/>
      <c r="F944" s="81"/>
      <c r="G944" s="81"/>
    </row>
    <row r="945" spans="3:7" ht="15.75">
      <c r="C945" s="81"/>
      <c r="D945" s="81"/>
      <c r="E945" s="81"/>
      <c r="F945" s="81"/>
      <c r="G945" s="81"/>
    </row>
    <row r="946" spans="3:7" ht="15.75">
      <c r="C946" s="81"/>
      <c r="D946" s="81"/>
      <c r="E946" s="81"/>
      <c r="F946" s="81"/>
      <c r="G946" s="81"/>
    </row>
    <row r="947" spans="3:7" ht="15.75">
      <c r="C947" s="81"/>
      <c r="D947" s="81"/>
      <c r="E947" s="81"/>
      <c r="F947" s="81"/>
      <c r="G947" s="81"/>
    </row>
    <row r="948" spans="3:7" ht="15.75">
      <c r="C948" s="81"/>
      <c r="D948" s="81"/>
      <c r="E948" s="81"/>
      <c r="F948" s="81"/>
      <c r="G948" s="81"/>
    </row>
    <row r="949" spans="3:7" ht="15.75">
      <c r="C949" s="81"/>
      <c r="D949" s="81"/>
      <c r="E949" s="81"/>
      <c r="F949" s="81"/>
      <c r="G949" s="81"/>
    </row>
    <row r="950" spans="3:7" ht="15.75">
      <c r="C950" s="81"/>
      <c r="D950" s="81"/>
      <c r="E950" s="81"/>
      <c r="F950" s="81"/>
      <c r="G950" s="81"/>
    </row>
    <row r="951" spans="3:7" ht="15.75">
      <c r="C951" s="81"/>
      <c r="D951" s="81"/>
      <c r="E951" s="81"/>
      <c r="F951" s="81"/>
      <c r="G951" s="81"/>
    </row>
    <row r="952" spans="3:7" ht="15.75">
      <c r="C952" s="81"/>
      <c r="D952" s="81"/>
      <c r="E952" s="81"/>
      <c r="F952" s="81"/>
      <c r="G952" s="81"/>
    </row>
    <row r="953" spans="3:7" ht="15.75">
      <c r="C953" s="81"/>
      <c r="D953" s="81"/>
      <c r="E953" s="81"/>
      <c r="F953" s="81"/>
      <c r="G953" s="81"/>
    </row>
    <row r="954" spans="3:7" ht="15.75">
      <c r="C954" s="81"/>
      <c r="D954" s="81"/>
      <c r="E954" s="81"/>
      <c r="F954" s="81"/>
      <c r="G954" s="81"/>
    </row>
    <row r="955" spans="3:7" ht="15.75">
      <c r="C955" s="81"/>
      <c r="D955" s="81"/>
      <c r="E955" s="81"/>
      <c r="F955" s="81"/>
      <c r="G955" s="81"/>
    </row>
    <row r="956" spans="3:7" ht="15.75">
      <c r="C956" s="81"/>
      <c r="D956" s="81"/>
      <c r="E956" s="81"/>
      <c r="F956" s="81"/>
      <c r="G956" s="81"/>
    </row>
    <row r="957" spans="3:7" ht="15.75">
      <c r="C957" s="81"/>
      <c r="D957" s="81"/>
      <c r="E957" s="81"/>
      <c r="F957" s="81"/>
      <c r="G957" s="81"/>
    </row>
    <row r="958" spans="3:7" ht="15.75">
      <c r="C958" s="81"/>
      <c r="D958" s="81"/>
      <c r="E958" s="81"/>
      <c r="F958" s="81"/>
      <c r="G958" s="81"/>
    </row>
    <row r="959" spans="3:7" ht="15.75">
      <c r="C959" s="81"/>
      <c r="D959" s="81"/>
      <c r="E959" s="81"/>
      <c r="F959" s="81"/>
      <c r="G959" s="81"/>
    </row>
    <row r="960" spans="3:7" ht="15.75">
      <c r="C960" s="81"/>
      <c r="D960" s="81"/>
      <c r="E960" s="81"/>
      <c r="F960" s="81"/>
      <c r="G960" s="81"/>
    </row>
    <row r="961" spans="3:7" ht="15.75">
      <c r="C961" s="81"/>
      <c r="D961" s="81"/>
      <c r="E961" s="81"/>
      <c r="F961" s="81"/>
      <c r="G961" s="81"/>
    </row>
    <row r="962" spans="3:7" ht="15.75">
      <c r="C962" s="81"/>
      <c r="D962" s="81"/>
      <c r="E962" s="81"/>
      <c r="F962" s="81"/>
      <c r="G962" s="81"/>
    </row>
    <row r="963" spans="3:7" ht="15.75">
      <c r="C963" s="81"/>
      <c r="D963" s="81"/>
      <c r="E963" s="81"/>
      <c r="F963" s="81"/>
      <c r="G963" s="81"/>
    </row>
    <row r="964" spans="3:7" ht="15.75">
      <c r="C964" s="81"/>
      <c r="D964" s="81"/>
      <c r="E964" s="81"/>
      <c r="F964" s="81"/>
      <c r="G964" s="81"/>
    </row>
    <row r="965" spans="3:7" ht="15.75">
      <c r="C965" s="81"/>
      <c r="D965" s="81"/>
      <c r="E965" s="81"/>
      <c r="F965" s="81"/>
      <c r="G965" s="81"/>
    </row>
    <row r="966" spans="3:7" ht="15.75">
      <c r="C966" s="81"/>
      <c r="D966" s="81"/>
      <c r="E966" s="81"/>
      <c r="F966" s="81"/>
      <c r="G966" s="81"/>
    </row>
    <row r="967" spans="3:7" ht="15.75">
      <c r="C967" s="81"/>
      <c r="D967" s="81"/>
      <c r="E967" s="81"/>
      <c r="F967" s="81"/>
      <c r="G967" s="81"/>
    </row>
    <row r="968" spans="3:7" ht="15.75">
      <c r="C968" s="81"/>
      <c r="D968" s="81"/>
      <c r="E968" s="81"/>
      <c r="F968" s="81"/>
      <c r="G968" s="81"/>
    </row>
    <row r="969" spans="3:7" ht="15.75">
      <c r="C969" s="81"/>
      <c r="D969" s="81"/>
      <c r="E969" s="81"/>
      <c r="F969" s="81"/>
      <c r="G969" s="81"/>
    </row>
    <row r="970" spans="3:7" ht="15.75">
      <c r="C970" s="81"/>
      <c r="D970" s="81"/>
      <c r="E970" s="81"/>
      <c r="F970" s="81"/>
      <c r="G970" s="81"/>
    </row>
    <row r="971" spans="3:7" ht="15.75">
      <c r="C971" s="81"/>
      <c r="D971" s="81"/>
      <c r="E971" s="81"/>
      <c r="F971" s="81"/>
      <c r="G971" s="81"/>
    </row>
    <row r="972" spans="3:7" ht="15.75">
      <c r="C972" s="81"/>
      <c r="D972" s="81"/>
      <c r="E972" s="81"/>
      <c r="F972" s="81"/>
      <c r="G972" s="81"/>
    </row>
    <row r="973" spans="3:7" ht="15.75">
      <c r="C973" s="81"/>
      <c r="D973" s="81"/>
      <c r="E973" s="81"/>
      <c r="F973" s="81"/>
      <c r="G973" s="81"/>
    </row>
    <row r="974" spans="3:7" ht="15.75">
      <c r="C974" s="81"/>
      <c r="D974" s="81"/>
      <c r="E974" s="81"/>
      <c r="F974" s="81"/>
      <c r="G974" s="81"/>
    </row>
  </sheetData>
  <mergeCells count="33">
    <mergeCell ref="H58:S58"/>
    <mergeCell ref="C59:F59"/>
    <mergeCell ref="C60:F60"/>
    <mergeCell ref="C61:F61"/>
    <mergeCell ref="C62:F62"/>
    <mergeCell ref="C27:G27"/>
    <mergeCell ref="C28:G28"/>
    <mergeCell ref="C29:G29"/>
    <mergeCell ref="C63:F63"/>
    <mergeCell ref="C64:F64"/>
    <mergeCell ref="C30:G30"/>
    <mergeCell ref="C58:F58"/>
    <mergeCell ref="C14:G14"/>
    <mergeCell ref="C15:G15"/>
    <mergeCell ref="A21:A22"/>
    <mergeCell ref="A23:A24"/>
    <mergeCell ref="A25:A28"/>
    <mergeCell ref="C16:G16"/>
    <mergeCell ref="C17:G17"/>
    <mergeCell ref="C18:G18"/>
    <mergeCell ref="C19:G19"/>
    <mergeCell ref="C20:G20"/>
    <mergeCell ref="C21:G21"/>
    <mergeCell ref="C22:G22"/>
    <mergeCell ref="C23:G23"/>
    <mergeCell ref="C24:G24"/>
    <mergeCell ref="C25:G25"/>
    <mergeCell ref="C26:G26"/>
    <mergeCell ref="C4:G4"/>
    <mergeCell ref="C5:G5"/>
    <mergeCell ref="C6:G6"/>
    <mergeCell ref="C7:G7"/>
    <mergeCell ref="C13:G13"/>
  </mergeCells>
  <dataValidations count="18">
    <dataValidation type="list" allowBlank="1" showErrorMessage="1" sqref="C16">
      <formula1>#REF!</formula1>
    </dataValidation>
    <dataValidation type="list" allowBlank="1" showErrorMessage="1" sqref="C21">
      <formula1>#REF!</formula1>
    </dataValidation>
    <dataValidation type="list" allowBlank="1" showErrorMessage="1" sqref="C26">
      <formula1>#REF!</formula1>
    </dataValidation>
    <dataValidation type="list" allowBlank="1" showErrorMessage="1" sqref="C17">
      <formula1>#REF!</formula1>
    </dataValidation>
    <dataValidation type="list" allowBlank="1" showErrorMessage="1" sqref="C25">
      <formula1>#REF!</formula1>
    </dataValidation>
    <dataValidation type="list" allowBlank="1" showErrorMessage="1" sqref="C14">
      <formula1>#REF!</formula1>
    </dataValidation>
    <dataValidation type="list" allowBlank="1" showErrorMessage="1" sqref="A40">
      <formula1>#REF!</formula1>
    </dataValidation>
    <dataValidation type="list" allowBlank="1" showErrorMessage="1" sqref="C20">
      <formula1>#REF!</formula1>
    </dataValidation>
    <dataValidation type="list" allowBlank="1" showErrorMessage="1" sqref="C22">
      <formula1>#REF!</formula1>
    </dataValidation>
    <dataValidation type="list" allowBlank="1" showErrorMessage="1" sqref="C58">
      <formula1>#REF!</formula1>
    </dataValidation>
    <dataValidation type="list" allowBlank="1" showErrorMessage="1" sqref="A35 A38 C60">
      <formula1>#REF!</formula1>
    </dataValidation>
    <dataValidation type="list" allowBlank="1" showErrorMessage="1" sqref="C59">
      <formula1>#REF!</formula1>
    </dataValidation>
    <dataValidation type="list" allowBlank="1" showErrorMessage="1" sqref="C15">
      <formula1>#REF!</formula1>
    </dataValidation>
    <dataValidation type="list" allowBlank="1" showErrorMessage="1" sqref="C27">
      <formula1>#REF!</formula1>
    </dataValidation>
    <dataValidation type="list" allowBlank="1" showErrorMessage="1" sqref="C62">
      <formula1>#REF!</formula1>
    </dataValidation>
    <dataValidation type="list" allowBlank="1" showErrorMessage="1" sqref="C18">
      <formula1>#REF!</formula1>
    </dataValidation>
    <dataValidation type="list" allowBlank="1" showErrorMessage="1" sqref="C24">
      <formula1>#REF!</formula1>
    </dataValidation>
    <dataValidation type="list" allowBlank="1" showErrorMessage="1" sqref="C23">
      <formula1>#REF!</formula1>
    </dataValidation>
  </dataValidations>
  <printOptions gridLines="1"/>
  <pageMargins left="0.31496062992125984" right="0.31496062992125984" top="0.39370078740157477" bottom="0.39370078740157477" header="0" footer="0"/>
  <pageSetup paperSize="5" scale="45"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M661"/>
  <sheetViews>
    <sheetView workbookViewId="0"/>
  </sheetViews>
  <sheetFormatPr baseColWidth="10" defaultColWidth="14.42578125" defaultRowHeight="15" customHeight="1"/>
  <sheetData>
    <row r="1" spans="1:13">
      <c r="A1" s="89" t="str">
        <f ca="1">IFERROR(__xludf.DUMMYFUNCTION("QUERY(IMPORTRANGE(""1FwOKR1Wd8CiIMKrhY4aqdfQeQD4i3Z0kL8Yz2rETErQ"",""'ESTADÍSTICAS MIR'!A:M""),""SELECT * WHERE Col4='Guadalajara: Capital de las niñas y los niños'"")"),"ID")</f>
        <v>ID</v>
      </c>
      <c r="B1" s="89" t="str">
        <f ca="1">IFERROR(__xludf.DUMMYFUNCTION("""COMPUTED_VALUE"""),"Responsable")</f>
        <v>Responsable</v>
      </c>
      <c r="C1" s="89" t="str">
        <f ca="1">IFERROR(__xludf.DUMMYFUNCTION("""COMPUTED_VALUE"""),"Coordinación")</f>
        <v>Coordinación</v>
      </c>
      <c r="D1" s="89" t="str">
        <f ca="1">IFERROR(__xludf.DUMMYFUNCTION("""COMPUTED_VALUE"""),"Eje")</f>
        <v>Eje</v>
      </c>
      <c r="E1" s="89" t="str">
        <f ca="1">IFERROR(__xludf.DUMMYFUNCTION("""COMPUTED_VALUE"""),"Programa")</f>
        <v>Programa</v>
      </c>
      <c r="F1" s="89" t="str">
        <f ca="1">IFERROR(__xludf.DUMMYFUNCTION("""COMPUTED_VALUE"""),"NIVEL")</f>
        <v>NIVEL</v>
      </c>
      <c r="G1" s="89" t="str">
        <f ca="1">IFERROR(__xludf.DUMMYFUNCTION("""COMPUTED_VALUE"""),"INDICADOR")</f>
        <v>INDICADOR</v>
      </c>
      <c r="H1" s="89" t="str">
        <f ca="1">IFERROR(__xludf.DUMMYFUNCTION("""COMPUTED_VALUE"""),"Mes-pob")</f>
        <v>Mes-pob</v>
      </c>
      <c r="I1" s="89" t="str">
        <f ca="1">IFERROR(__xludf.DUMMYFUNCTION("""COMPUTED_VALUE"""),"Mes")</f>
        <v>Mes</v>
      </c>
      <c r="J1" s="89" t="str">
        <f ca="1">IFERROR(__xludf.DUMMYFUNCTION("""COMPUTED_VALUE"""),"Pob")</f>
        <v>Pob</v>
      </c>
      <c r="K1" s="89" t="str">
        <f ca="1">IFERROR(__xludf.DUMMYFUNCTION("""COMPUTED_VALUE"""),"Total")</f>
        <v>Total</v>
      </c>
      <c r="L1" s="89" t="str">
        <f ca="1">IFERROR(__xludf.DUMMYFUNCTION("""COMPUTED_VALUE"""),"TRIMESTRE")</f>
        <v>TRIMESTRE</v>
      </c>
      <c r="M1" s="89" t="str">
        <f ca="1">IFERROR(__xludf.DUMMYFUNCTION("""COMPUTED_VALUE"""),"GRUPO ETARIO")</f>
        <v>GRUPO ETARIO</v>
      </c>
    </row>
    <row r="2" spans="1:13">
      <c r="A2" s="89" t="str">
        <f ca="1">IFERROR(__xludf.DUMMYFUNCTION("""COMPUTED_VALUE"""),"4.1.2.2")</f>
        <v>4.1.2.2</v>
      </c>
      <c r="B2" s="89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2" s="89" t="str">
        <f ca="1">IFERROR(__xludf.DUMMYFUNCTION("""COMPUTED_VALUE"""),"4. Programas")</f>
        <v>4. Programas</v>
      </c>
      <c r="D2" s="89" t="str">
        <f ca="1">IFERROR(__xludf.DUMMYFUNCTION("""COMPUTED_VALUE"""),"Guadalajara: Capital de las niñas y los niños")</f>
        <v>Guadalajara: Capital de las niñas y los niños</v>
      </c>
      <c r="E2" s="89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2" s="89" t="str">
        <f ca="1">IFERROR(__xludf.DUMMYFUNCTION("""COMPUTED_VALUE"""),"A2C2. Raciones alimentarias entregadas a NNA y sus cuidadores")</f>
        <v>A2C2. Raciones alimentarias entregadas a NNA y sus cuidadores</v>
      </c>
      <c r="G2" s="89" t="str">
        <f ca="1">IFERROR(__xludf.DUMMYFUNCTION("""COMPUTED_VALUE"""),"Porcentaje de raciones entregadas a NNA y sus cuidadores, en 2023")</f>
        <v>Porcentaje de raciones entregadas a NNA y sus cuidadores, en 2023</v>
      </c>
      <c r="H2" s="89" t="str">
        <f ca="1">IFERROR(__xludf.DUMMYFUNCTION("""COMPUTED_VALUE"""),"NAS enero")</f>
        <v>NAS enero</v>
      </c>
      <c r="I2" s="89" t="str">
        <f ca="1">IFERROR(__xludf.DUMMYFUNCTION("""COMPUTED_VALUE"""),"Enero")</f>
        <v>Enero</v>
      </c>
      <c r="J2" s="89" t="str">
        <f ca="1">IFERROR(__xludf.DUMMYFUNCTION("""COMPUTED_VALUE"""),"NAS")</f>
        <v>NAS</v>
      </c>
      <c r="K2" s="92">
        <f ca="1">IFERROR(__xludf.DUMMYFUNCTION("""COMPUTED_VALUE"""),164)</f>
        <v>164</v>
      </c>
      <c r="L2" s="89" t="str">
        <f ca="1">IFERROR(__xludf.DUMMYFUNCTION("""COMPUTED_VALUE"""),"TRIMESTRE 1")</f>
        <v>TRIMESTRE 1</v>
      </c>
      <c r="M2" s="89" t="str">
        <f ca="1">IFERROR(__xludf.DUMMYFUNCTION("""COMPUTED_VALUE"""),"NIÑAS")</f>
        <v>NIÑAS</v>
      </c>
    </row>
    <row r="3" spans="1:13">
      <c r="A3" s="89" t="str">
        <f ca="1">IFERROR(__xludf.DUMMYFUNCTION("""COMPUTED_VALUE"""),"4.1.2.2")</f>
        <v>4.1.2.2</v>
      </c>
      <c r="B3" s="89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3" s="89" t="str">
        <f ca="1">IFERROR(__xludf.DUMMYFUNCTION("""COMPUTED_VALUE"""),"4. Programas")</f>
        <v>4. Programas</v>
      </c>
      <c r="D3" s="89" t="str">
        <f ca="1">IFERROR(__xludf.DUMMYFUNCTION("""COMPUTED_VALUE"""),"Guadalajara: Capital de las niñas y los niños")</f>
        <v>Guadalajara: Capital de las niñas y los niños</v>
      </c>
      <c r="E3" s="89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3" s="89" t="str">
        <f ca="1">IFERROR(__xludf.DUMMYFUNCTION("""COMPUTED_VALUE"""),"A2C2. Raciones alimentarias entregadas a NNA y sus cuidadores")</f>
        <v>A2C2. Raciones alimentarias entregadas a NNA y sus cuidadores</v>
      </c>
      <c r="G3" s="89" t="str">
        <f ca="1">IFERROR(__xludf.DUMMYFUNCTION("""COMPUTED_VALUE"""),"Porcentaje de raciones entregadas a NNA y sus cuidadores, en 2023")</f>
        <v>Porcentaje de raciones entregadas a NNA y sus cuidadores, en 2023</v>
      </c>
      <c r="H3" s="89" t="str">
        <f ca="1">IFERROR(__xludf.DUMMYFUNCTION("""COMPUTED_VALUE"""),"NOS enero")</f>
        <v>NOS enero</v>
      </c>
      <c r="I3" s="89" t="str">
        <f ca="1">IFERROR(__xludf.DUMMYFUNCTION("""COMPUTED_VALUE"""),"Enero")</f>
        <v>Enero</v>
      </c>
      <c r="J3" s="89" t="str">
        <f ca="1">IFERROR(__xludf.DUMMYFUNCTION("""COMPUTED_VALUE"""),"NOS")</f>
        <v>NOS</v>
      </c>
      <c r="K3" s="92">
        <f ca="1">IFERROR(__xludf.DUMMYFUNCTION("""COMPUTED_VALUE"""),217)</f>
        <v>217</v>
      </c>
      <c r="L3" s="89" t="str">
        <f ca="1">IFERROR(__xludf.DUMMYFUNCTION("""COMPUTED_VALUE"""),"TRIMESTRE 1")</f>
        <v>TRIMESTRE 1</v>
      </c>
      <c r="M3" s="89" t="str">
        <f ca="1">IFERROR(__xludf.DUMMYFUNCTION("""COMPUTED_VALUE"""),"NIÑOS")</f>
        <v>NIÑOS</v>
      </c>
    </row>
    <row r="4" spans="1:13">
      <c r="A4" s="89" t="str">
        <f ca="1">IFERROR(__xludf.DUMMYFUNCTION("""COMPUTED_VALUE"""),"4.1.2.2")</f>
        <v>4.1.2.2</v>
      </c>
      <c r="B4" s="89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4" s="89" t="str">
        <f ca="1">IFERROR(__xludf.DUMMYFUNCTION("""COMPUTED_VALUE"""),"4. Programas")</f>
        <v>4. Programas</v>
      </c>
      <c r="D4" s="89" t="str">
        <f ca="1">IFERROR(__xludf.DUMMYFUNCTION("""COMPUTED_VALUE"""),"Guadalajara: Capital de las niñas y los niños")</f>
        <v>Guadalajara: Capital de las niñas y los niños</v>
      </c>
      <c r="E4" s="89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4" s="89" t="str">
        <f ca="1">IFERROR(__xludf.DUMMYFUNCTION("""COMPUTED_VALUE"""),"A2C2. Raciones alimentarias entregadas a NNA y sus cuidadores")</f>
        <v>A2C2. Raciones alimentarias entregadas a NNA y sus cuidadores</v>
      </c>
      <c r="G4" s="89" t="str">
        <f ca="1">IFERROR(__xludf.DUMMYFUNCTION("""COMPUTED_VALUE"""),"Porcentaje de raciones entregadas a NNA y sus cuidadores, en 2023")</f>
        <v>Porcentaje de raciones entregadas a NNA y sus cuidadores, en 2023</v>
      </c>
      <c r="H4" s="89" t="str">
        <f ca="1">IFERROR(__xludf.DUMMYFUNCTION("""COMPUTED_VALUE"""),"AM enero")</f>
        <v>AM enero</v>
      </c>
      <c r="I4" s="89" t="str">
        <f ca="1">IFERROR(__xludf.DUMMYFUNCTION("""COMPUTED_VALUE"""),"Enero")</f>
        <v>Enero</v>
      </c>
      <c r="J4" s="89" t="str">
        <f ca="1">IFERROR(__xludf.DUMMYFUNCTION("""COMPUTED_VALUE"""),"AM")</f>
        <v>AM</v>
      </c>
      <c r="K4" s="92">
        <f ca="1">IFERROR(__xludf.DUMMYFUNCTION("""COMPUTED_VALUE"""),42)</f>
        <v>42</v>
      </c>
      <c r="L4" s="89" t="str">
        <f ca="1">IFERROR(__xludf.DUMMYFUNCTION("""COMPUTED_VALUE"""),"TRIMESTRE 1")</f>
        <v>TRIMESTRE 1</v>
      </c>
      <c r="M4" s="89" t="str">
        <f ca="1">IFERROR(__xludf.DUMMYFUNCTION("""COMPUTED_VALUE"""),"ADOLESCENTES MUJERES")</f>
        <v>ADOLESCENTES MUJERES</v>
      </c>
    </row>
    <row r="5" spans="1:13">
      <c r="A5" s="89" t="str">
        <f ca="1">IFERROR(__xludf.DUMMYFUNCTION("""COMPUTED_VALUE"""),"4.1.2.2")</f>
        <v>4.1.2.2</v>
      </c>
      <c r="B5" s="89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5" s="89" t="str">
        <f ca="1">IFERROR(__xludf.DUMMYFUNCTION("""COMPUTED_VALUE"""),"4. Programas")</f>
        <v>4. Programas</v>
      </c>
      <c r="D5" s="89" t="str">
        <f ca="1">IFERROR(__xludf.DUMMYFUNCTION("""COMPUTED_VALUE"""),"Guadalajara: Capital de las niñas y los niños")</f>
        <v>Guadalajara: Capital de las niñas y los niños</v>
      </c>
      <c r="E5" s="89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5" s="89" t="str">
        <f ca="1">IFERROR(__xludf.DUMMYFUNCTION("""COMPUTED_VALUE"""),"A2C2. Raciones alimentarias entregadas a NNA y sus cuidadores")</f>
        <v>A2C2. Raciones alimentarias entregadas a NNA y sus cuidadores</v>
      </c>
      <c r="G5" s="89" t="str">
        <f ca="1">IFERROR(__xludf.DUMMYFUNCTION("""COMPUTED_VALUE"""),"Porcentaje de raciones entregadas a NNA y sus cuidadores, en 2023")</f>
        <v>Porcentaje de raciones entregadas a NNA y sus cuidadores, en 2023</v>
      </c>
      <c r="H5" s="89" t="str">
        <f ca="1">IFERROR(__xludf.DUMMYFUNCTION("""COMPUTED_VALUE"""),"AH enero")</f>
        <v>AH enero</v>
      </c>
      <c r="I5" s="89" t="str">
        <f ca="1">IFERROR(__xludf.DUMMYFUNCTION("""COMPUTED_VALUE"""),"Enero")</f>
        <v>Enero</v>
      </c>
      <c r="J5" s="89" t="str">
        <f ca="1">IFERROR(__xludf.DUMMYFUNCTION("""COMPUTED_VALUE"""),"AH")</f>
        <v>AH</v>
      </c>
      <c r="K5" s="92">
        <f ca="1">IFERROR(__xludf.DUMMYFUNCTION("""COMPUTED_VALUE"""),34)</f>
        <v>34</v>
      </c>
      <c r="L5" s="89" t="str">
        <f ca="1">IFERROR(__xludf.DUMMYFUNCTION("""COMPUTED_VALUE"""),"TRIMESTRE 1")</f>
        <v>TRIMESTRE 1</v>
      </c>
      <c r="M5" s="89" t="str">
        <f ca="1">IFERROR(__xludf.DUMMYFUNCTION("""COMPUTED_VALUE"""),"ADOLESCENTES HOMBRES")</f>
        <v>ADOLESCENTES HOMBRES</v>
      </c>
    </row>
    <row r="6" spans="1:13">
      <c r="A6" s="89" t="str">
        <f ca="1">IFERROR(__xludf.DUMMYFUNCTION("""COMPUTED_VALUE"""),"4.1.2.2")</f>
        <v>4.1.2.2</v>
      </c>
      <c r="B6" s="89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6" s="89" t="str">
        <f ca="1">IFERROR(__xludf.DUMMYFUNCTION("""COMPUTED_VALUE"""),"4. Programas")</f>
        <v>4. Programas</v>
      </c>
      <c r="D6" s="89" t="str">
        <f ca="1">IFERROR(__xludf.DUMMYFUNCTION("""COMPUTED_VALUE"""),"Guadalajara: Capital de las niñas y los niños")</f>
        <v>Guadalajara: Capital de las niñas y los niños</v>
      </c>
      <c r="E6" s="89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6" s="89" t="str">
        <f ca="1">IFERROR(__xludf.DUMMYFUNCTION("""COMPUTED_VALUE"""),"A2C2. Raciones alimentarias entregadas a NNA y sus cuidadores")</f>
        <v>A2C2. Raciones alimentarias entregadas a NNA y sus cuidadores</v>
      </c>
      <c r="G6" s="89" t="str">
        <f ca="1">IFERROR(__xludf.DUMMYFUNCTION("""COMPUTED_VALUE"""),"Porcentaje de raciones entregadas a NNA y sus cuidadores, en 2023")</f>
        <v>Porcentaje de raciones entregadas a NNA y sus cuidadores, en 2023</v>
      </c>
      <c r="H6" s="89" t="str">
        <f ca="1">IFERROR(__xludf.DUMMYFUNCTION("""COMPUTED_VALUE"""),"MUJ enero")</f>
        <v>MUJ enero</v>
      </c>
      <c r="I6" s="89" t="str">
        <f ca="1">IFERROR(__xludf.DUMMYFUNCTION("""COMPUTED_VALUE"""),"Enero")</f>
        <v>Enero</v>
      </c>
      <c r="J6" s="89" t="str">
        <f ca="1">IFERROR(__xludf.DUMMYFUNCTION("""COMPUTED_VALUE"""),"MUJ")</f>
        <v>MUJ</v>
      </c>
      <c r="K6" s="92">
        <f ca="1">IFERROR(__xludf.DUMMYFUNCTION("""COMPUTED_VALUE"""),37)</f>
        <v>37</v>
      </c>
      <c r="L6" s="89" t="str">
        <f ca="1">IFERROR(__xludf.DUMMYFUNCTION("""COMPUTED_VALUE"""),"TRIMESTRE 1")</f>
        <v>TRIMESTRE 1</v>
      </c>
      <c r="M6" s="89" t="str">
        <f ca="1">IFERROR(__xludf.DUMMYFUNCTION("""COMPUTED_VALUE"""),"MUJERES ADULTAS")</f>
        <v>MUJERES ADULTAS</v>
      </c>
    </row>
    <row r="7" spans="1:13">
      <c r="A7" s="89" t="str">
        <f ca="1">IFERROR(__xludf.DUMMYFUNCTION("""COMPUTED_VALUE"""),"4.1.2.2")</f>
        <v>4.1.2.2</v>
      </c>
      <c r="B7" s="89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7" s="89" t="str">
        <f ca="1">IFERROR(__xludf.DUMMYFUNCTION("""COMPUTED_VALUE"""),"4. Programas")</f>
        <v>4. Programas</v>
      </c>
      <c r="D7" s="89" t="str">
        <f ca="1">IFERROR(__xludf.DUMMYFUNCTION("""COMPUTED_VALUE"""),"Guadalajara: Capital de las niñas y los niños")</f>
        <v>Guadalajara: Capital de las niñas y los niños</v>
      </c>
      <c r="E7" s="89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7" s="89" t="str">
        <f ca="1">IFERROR(__xludf.DUMMYFUNCTION("""COMPUTED_VALUE"""),"A2C2. Raciones alimentarias entregadas a NNA y sus cuidadores")</f>
        <v>A2C2. Raciones alimentarias entregadas a NNA y sus cuidadores</v>
      </c>
      <c r="G7" s="89" t="str">
        <f ca="1">IFERROR(__xludf.DUMMYFUNCTION("""COMPUTED_VALUE"""),"Porcentaje de raciones entregadas a NNA y sus cuidadores, en 2023")</f>
        <v>Porcentaje de raciones entregadas a NNA y sus cuidadores, en 2023</v>
      </c>
      <c r="H7" s="89" t="str">
        <f ca="1">IFERROR(__xludf.DUMMYFUNCTION("""COMPUTED_VALUE"""),"HOM enero")</f>
        <v>HOM enero</v>
      </c>
      <c r="I7" s="89" t="str">
        <f ca="1">IFERROR(__xludf.DUMMYFUNCTION("""COMPUTED_VALUE"""),"Enero")</f>
        <v>Enero</v>
      </c>
      <c r="J7" s="89" t="str">
        <f ca="1">IFERROR(__xludf.DUMMYFUNCTION("""COMPUTED_VALUE"""),"HOM")</f>
        <v>HOM</v>
      </c>
      <c r="K7" s="92">
        <f ca="1">IFERROR(__xludf.DUMMYFUNCTION("""COMPUTED_VALUE"""),21)</f>
        <v>21</v>
      </c>
      <c r="L7" s="89" t="str">
        <f ca="1">IFERROR(__xludf.DUMMYFUNCTION("""COMPUTED_VALUE"""),"TRIMESTRE 1")</f>
        <v>TRIMESTRE 1</v>
      </c>
      <c r="M7" s="89" t="str">
        <f ca="1">IFERROR(__xludf.DUMMYFUNCTION("""COMPUTED_VALUE"""),"HOMBRES ADULTOS")</f>
        <v>HOMBRES ADULTOS</v>
      </c>
    </row>
    <row r="8" spans="1:13">
      <c r="A8" s="89" t="str">
        <f ca="1">IFERROR(__xludf.DUMMYFUNCTION("""COMPUTED_VALUE"""),"4.1.2.2")</f>
        <v>4.1.2.2</v>
      </c>
      <c r="B8" s="89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8" s="89" t="str">
        <f ca="1">IFERROR(__xludf.DUMMYFUNCTION("""COMPUTED_VALUE"""),"4. Programas")</f>
        <v>4. Programas</v>
      </c>
      <c r="D8" s="89" t="str">
        <f ca="1">IFERROR(__xludf.DUMMYFUNCTION("""COMPUTED_VALUE"""),"Guadalajara: Capital de las niñas y los niños")</f>
        <v>Guadalajara: Capital de las niñas y los niños</v>
      </c>
      <c r="E8" s="89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8" s="89" t="str">
        <f ca="1">IFERROR(__xludf.DUMMYFUNCTION("""COMPUTED_VALUE"""),"A2C2. Raciones alimentarias entregadas a NNA y sus cuidadores")</f>
        <v>A2C2. Raciones alimentarias entregadas a NNA y sus cuidadores</v>
      </c>
      <c r="G8" s="89" t="str">
        <f ca="1">IFERROR(__xludf.DUMMYFUNCTION("""COMPUTED_VALUE"""),"Porcentaje de raciones entregadas a NNA y sus cuidadores, en 2023")</f>
        <v>Porcentaje de raciones entregadas a NNA y sus cuidadores, en 2023</v>
      </c>
      <c r="H8" s="89" t="str">
        <f ca="1">IFERROR(__xludf.DUMMYFUNCTION("""COMPUTED_VALUE"""),"AMM enero")</f>
        <v>AMM enero</v>
      </c>
      <c r="I8" s="89" t="str">
        <f ca="1">IFERROR(__xludf.DUMMYFUNCTION("""COMPUTED_VALUE"""),"Enero")</f>
        <v>Enero</v>
      </c>
      <c r="J8" s="89" t="str">
        <f ca="1">IFERROR(__xludf.DUMMYFUNCTION("""COMPUTED_VALUE"""),"AMM")</f>
        <v>AMM</v>
      </c>
      <c r="K8" s="92">
        <f ca="1">IFERROR(__xludf.DUMMYFUNCTION("""COMPUTED_VALUE"""),0)</f>
        <v>0</v>
      </c>
      <c r="L8" s="89" t="str">
        <f ca="1">IFERROR(__xludf.DUMMYFUNCTION("""COMPUTED_VALUE"""),"TRIMESTRE 1")</f>
        <v>TRIMESTRE 1</v>
      </c>
      <c r="M8" s="89" t="str">
        <f ca="1">IFERROR(__xludf.DUMMYFUNCTION("""COMPUTED_VALUE"""),"ADULTA MAYOR MUJER")</f>
        <v>ADULTA MAYOR MUJER</v>
      </c>
    </row>
    <row r="9" spans="1:13">
      <c r="A9" s="89" t="str">
        <f ca="1">IFERROR(__xludf.DUMMYFUNCTION("""COMPUTED_VALUE"""),"4.1.2.2")</f>
        <v>4.1.2.2</v>
      </c>
      <c r="B9" s="89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9" s="89" t="str">
        <f ca="1">IFERROR(__xludf.DUMMYFUNCTION("""COMPUTED_VALUE"""),"4. Programas")</f>
        <v>4. Programas</v>
      </c>
      <c r="D9" s="89" t="str">
        <f ca="1">IFERROR(__xludf.DUMMYFUNCTION("""COMPUTED_VALUE"""),"Guadalajara: Capital de las niñas y los niños")</f>
        <v>Guadalajara: Capital de las niñas y los niños</v>
      </c>
      <c r="E9" s="89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9" s="89" t="str">
        <f ca="1">IFERROR(__xludf.DUMMYFUNCTION("""COMPUTED_VALUE"""),"A2C2. Raciones alimentarias entregadas a NNA y sus cuidadores")</f>
        <v>A2C2. Raciones alimentarias entregadas a NNA y sus cuidadores</v>
      </c>
      <c r="G9" s="89" t="str">
        <f ca="1">IFERROR(__xludf.DUMMYFUNCTION("""COMPUTED_VALUE"""),"Porcentaje de raciones entregadas a NNA y sus cuidadores, en 2023")</f>
        <v>Porcentaje de raciones entregadas a NNA y sus cuidadores, en 2023</v>
      </c>
      <c r="H9" s="89" t="str">
        <f ca="1">IFERROR(__xludf.DUMMYFUNCTION("""COMPUTED_VALUE"""),"AMH enero")</f>
        <v>AMH enero</v>
      </c>
      <c r="I9" s="89" t="str">
        <f ca="1">IFERROR(__xludf.DUMMYFUNCTION("""COMPUTED_VALUE"""),"Enero")</f>
        <v>Enero</v>
      </c>
      <c r="J9" s="89" t="str">
        <f ca="1">IFERROR(__xludf.DUMMYFUNCTION("""COMPUTED_VALUE"""),"AMH")</f>
        <v>AMH</v>
      </c>
      <c r="K9" s="92">
        <f ca="1">IFERROR(__xludf.DUMMYFUNCTION("""COMPUTED_VALUE"""),0)</f>
        <v>0</v>
      </c>
      <c r="L9" s="89" t="str">
        <f ca="1">IFERROR(__xludf.DUMMYFUNCTION("""COMPUTED_VALUE"""),"TRIMESTRE 1")</f>
        <v>TRIMESTRE 1</v>
      </c>
      <c r="M9" s="89" t="str">
        <f ca="1">IFERROR(__xludf.DUMMYFUNCTION("""COMPUTED_VALUE"""),"ADULTO MAYOR HOMBRE")</f>
        <v>ADULTO MAYOR HOMBRE</v>
      </c>
    </row>
    <row r="10" spans="1:13">
      <c r="A10" s="89" t="str">
        <f ca="1">IFERROR(__xludf.DUMMYFUNCTION("""COMPUTED_VALUE"""),"4.1.2.3")</f>
        <v>4.1.2.3</v>
      </c>
      <c r="B10" s="89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10" s="89" t="str">
        <f ca="1">IFERROR(__xludf.DUMMYFUNCTION("""COMPUTED_VALUE"""),"4. Programas")</f>
        <v>4. Programas</v>
      </c>
      <c r="D10" s="89" t="str">
        <f ca="1">IFERROR(__xludf.DUMMYFUNCTION("""COMPUTED_VALUE"""),"Guadalajara: Capital de las niñas y los niños")</f>
        <v>Guadalajara: Capital de las niñas y los niños</v>
      </c>
      <c r="E10" s="89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10" s="89" t="str">
        <f ca="1">IFERROR(__xludf.DUMMYFUNCTION("""COMPUTED_VALUE"""),"A3C2. Apoyos asistenciales entregados a madres en etapa adolescente")</f>
        <v>A3C2. Apoyos asistenciales entregados a madres en etapa adolescente</v>
      </c>
      <c r="G10" s="89" t="str">
        <f ca="1">IFERROR(__xludf.DUMMYFUNCTION("""COMPUTED_VALUE"""),"Apoyos asistenciales entregados a madres adolescentes, en 2023")</f>
        <v>Apoyos asistenciales entregados a madres adolescentes, en 2023</v>
      </c>
      <c r="H10" s="89" t="str">
        <f ca="1">IFERROR(__xludf.DUMMYFUNCTION("""COMPUTED_VALUE"""),"NAS enero")</f>
        <v>NAS enero</v>
      </c>
      <c r="I10" s="89" t="str">
        <f ca="1">IFERROR(__xludf.DUMMYFUNCTION("""COMPUTED_VALUE"""),"Enero")</f>
        <v>Enero</v>
      </c>
      <c r="J10" s="89" t="str">
        <f ca="1">IFERROR(__xludf.DUMMYFUNCTION("""COMPUTED_VALUE"""),"NAS")</f>
        <v>NAS</v>
      </c>
      <c r="K10" s="92">
        <f ca="1">IFERROR(__xludf.DUMMYFUNCTION("""COMPUTED_VALUE"""),0)</f>
        <v>0</v>
      </c>
      <c r="L10" s="89" t="str">
        <f ca="1">IFERROR(__xludf.DUMMYFUNCTION("""COMPUTED_VALUE"""),"TRIMESTRE 1")</f>
        <v>TRIMESTRE 1</v>
      </c>
      <c r="M10" s="89" t="str">
        <f ca="1">IFERROR(__xludf.DUMMYFUNCTION("""COMPUTED_VALUE"""),"NIÑAS")</f>
        <v>NIÑAS</v>
      </c>
    </row>
    <row r="11" spans="1:13">
      <c r="A11" s="89" t="str">
        <f ca="1">IFERROR(__xludf.DUMMYFUNCTION("""COMPUTED_VALUE"""),"4.1.2.3")</f>
        <v>4.1.2.3</v>
      </c>
      <c r="B11" s="89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11" s="89" t="str">
        <f ca="1">IFERROR(__xludf.DUMMYFUNCTION("""COMPUTED_VALUE"""),"4. Programas")</f>
        <v>4. Programas</v>
      </c>
      <c r="D11" s="89" t="str">
        <f ca="1">IFERROR(__xludf.DUMMYFUNCTION("""COMPUTED_VALUE"""),"Guadalajara: Capital de las niñas y los niños")</f>
        <v>Guadalajara: Capital de las niñas y los niños</v>
      </c>
      <c r="E11" s="89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11" s="89" t="str">
        <f ca="1">IFERROR(__xludf.DUMMYFUNCTION("""COMPUTED_VALUE"""),"A3C2. Apoyos asistenciales entregados a madres en etapa adolescente")</f>
        <v>A3C2. Apoyos asistenciales entregados a madres en etapa adolescente</v>
      </c>
      <c r="G11" s="89" t="str">
        <f ca="1">IFERROR(__xludf.DUMMYFUNCTION("""COMPUTED_VALUE"""),"Apoyos asistenciales entregados a madres adolescentes, en 2023")</f>
        <v>Apoyos asistenciales entregados a madres adolescentes, en 2023</v>
      </c>
      <c r="H11" s="89" t="str">
        <f ca="1">IFERROR(__xludf.DUMMYFUNCTION("""COMPUTED_VALUE"""),"NOS enero")</f>
        <v>NOS enero</v>
      </c>
      <c r="I11" s="89" t="str">
        <f ca="1">IFERROR(__xludf.DUMMYFUNCTION("""COMPUTED_VALUE"""),"Enero")</f>
        <v>Enero</v>
      </c>
      <c r="J11" s="89" t="str">
        <f ca="1">IFERROR(__xludf.DUMMYFUNCTION("""COMPUTED_VALUE"""),"NOS")</f>
        <v>NOS</v>
      </c>
      <c r="K11" s="92">
        <f ca="1">IFERROR(__xludf.DUMMYFUNCTION("""COMPUTED_VALUE"""),0)</f>
        <v>0</v>
      </c>
      <c r="L11" s="89" t="str">
        <f ca="1">IFERROR(__xludf.DUMMYFUNCTION("""COMPUTED_VALUE"""),"TRIMESTRE 1")</f>
        <v>TRIMESTRE 1</v>
      </c>
      <c r="M11" s="89" t="str">
        <f ca="1">IFERROR(__xludf.DUMMYFUNCTION("""COMPUTED_VALUE"""),"NIÑOS")</f>
        <v>NIÑOS</v>
      </c>
    </row>
    <row r="12" spans="1:13">
      <c r="A12" s="89" t="str">
        <f ca="1">IFERROR(__xludf.DUMMYFUNCTION("""COMPUTED_VALUE"""),"4.1.2.3")</f>
        <v>4.1.2.3</v>
      </c>
      <c r="B12" s="89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12" s="89" t="str">
        <f ca="1">IFERROR(__xludf.DUMMYFUNCTION("""COMPUTED_VALUE"""),"4. Programas")</f>
        <v>4. Programas</v>
      </c>
      <c r="D12" s="89" t="str">
        <f ca="1">IFERROR(__xludf.DUMMYFUNCTION("""COMPUTED_VALUE"""),"Guadalajara: Capital de las niñas y los niños")</f>
        <v>Guadalajara: Capital de las niñas y los niños</v>
      </c>
      <c r="E12" s="89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12" s="89" t="str">
        <f ca="1">IFERROR(__xludf.DUMMYFUNCTION("""COMPUTED_VALUE"""),"A3C2. Apoyos asistenciales entregados a madres en etapa adolescente")</f>
        <v>A3C2. Apoyos asistenciales entregados a madres en etapa adolescente</v>
      </c>
      <c r="G12" s="89" t="str">
        <f ca="1">IFERROR(__xludf.DUMMYFUNCTION("""COMPUTED_VALUE"""),"Apoyos asistenciales entregados a madres adolescentes, en 2023")</f>
        <v>Apoyos asistenciales entregados a madres adolescentes, en 2023</v>
      </c>
      <c r="H12" s="89" t="str">
        <f ca="1">IFERROR(__xludf.DUMMYFUNCTION("""COMPUTED_VALUE"""),"AM enero")</f>
        <v>AM enero</v>
      </c>
      <c r="I12" s="89" t="str">
        <f ca="1">IFERROR(__xludf.DUMMYFUNCTION("""COMPUTED_VALUE"""),"Enero")</f>
        <v>Enero</v>
      </c>
      <c r="J12" s="89" t="str">
        <f ca="1">IFERROR(__xludf.DUMMYFUNCTION("""COMPUTED_VALUE"""),"AM")</f>
        <v>AM</v>
      </c>
      <c r="K12" s="92">
        <f ca="1">IFERROR(__xludf.DUMMYFUNCTION("""COMPUTED_VALUE"""),8)</f>
        <v>8</v>
      </c>
      <c r="L12" s="89" t="str">
        <f ca="1">IFERROR(__xludf.DUMMYFUNCTION("""COMPUTED_VALUE"""),"TRIMESTRE 1")</f>
        <v>TRIMESTRE 1</v>
      </c>
      <c r="M12" s="89" t="str">
        <f ca="1">IFERROR(__xludf.DUMMYFUNCTION("""COMPUTED_VALUE"""),"ADOLESCENTES MUJERES")</f>
        <v>ADOLESCENTES MUJERES</v>
      </c>
    </row>
    <row r="13" spans="1:13">
      <c r="A13" s="89" t="str">
        <f ca="1">IFERROR(__xludf.DUMMYFUNCTION("""COMPUTED_VALUE"""),"4.1.2.3")</f>
        <v>4.1.2.3</v>
      </c>
      <c r="B13" s="89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13" s="89" t="str">
        <f ca="1">IFERROR(__xludf.DUMMYFUNCTION("""COMPUTED_VALUE"""),"4. Programas")</f>
        <v>4. Programas</v>
      </c>
      <c r="D13" s="89" t="str">
        <f ca="1">IFERROR(__xludf.DUMMYFUNCTION("""COMPUTED_VALUE"""),"Guadalajara: Capital de las niñas y los niños")</f>
        <v>Guadalajara: Capital de las niñas y los niños</v>
      </c>
      <c r="E13" s="89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13" s="89" t="str">
        <f ca="1">IFERROR(__xludf.DUMMYFUNCTION("""COMPUTED_VALUE"""),"A3C2. Apoyos asistenciales entregados a madres en etapa adolescente")</f>
        <v>A3C2. Apoyos asistenciales entregados a madres en etapa adolescente</v>
      </c>
      <c r="G13" s="89" t="str">
        <f ca="1">IFERROR(__xludf.DUMMYFUNCTION("""COMPUTED_VALUE"""),"Apoyos asistenciales entregados a madres adolescentes, en 2023")</f>
        <v>Apoyos asistenciales entregados a madres adolescentes, en 2023</v>
      </c>
      <c r="H13" s="89" t="str">
        <f ca="1">IFERROR(__xludf.DUMMYFUNCTION("""COMPUTED_VALUE"""),"AH enero")</f>
        <v>AH enero</v>
      </c>
      <c r="I13" s="89" t="str">
        <f ca="1">IFERROR(__xludf.DUMMYFUNCTION("""COMPUTED_VALUE"""),"Enero")</f>
        <v>Enero</v>
      </c>
      <c r="J13" s="89" t="str">
        <f ca="1">IFERROR(__xludf.DUMMYFUNCTION("""COMPUTED_VALUE"""),"AH")</f>
        <v>AH</v>
      </c>
      <c r="K13" s="92">
        <f ca="1">IFERROR(__xludf.DUMMYFUNCTION("""COMPUTED_VALUE"""),0)</f>
        <v>0</v>
      </c>
      <c r="L13" s="89" t="str">
        <f ca="1">IFERROR(__xludf.DUMMYFUNCTION("""COMPUTED_VALUE"""),"TRIMESTRE 1")</f>
        <v>TRIMESTRE 1</v>
      </c>
      <c r="M13" s="89" t="str">
        <f ca="1">IFERROR(__xludf.DUMMYFUNCTION("""COMPUTED_VALUE"""),"ADOLESCENTES HOMBRES")</f>
        <v>ADOLESCENTES HOMBRES</v>
      </c>
    </row>
    <row r="14" spans="1:13">
      <c r="A14" s="89" t="str">
        <f ca="1">IFERROR(__xludf.DUMMYFUNCTION("""COMPUTED_VALUE"""),"4.1.2.3")</f>
        <v>4.1.2.3</v>
      </c>
      <c r="B14" s="89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14" s="89" t="str">
        <f ca="1">IFERROR(__xludf.DUMMYFUNCTION("""COMPUTED_VALUE"""),"4. Programas")</f>
        <v>4. Programas</v>
      </c>
      <c r="D14" s="89" t="str">
        <f ca="1">IFERROR(__xludf.DUMMYFUNCTION("""COMPUTED_VALUE"""),"Guadalajara: Capital de las niñas y los niños")</f>
        <v>Guadalajara: Capital de las niñas y los niños</v>
      </c>
      <c r="E14" s="89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14" s="89" t="str">
        <f ca="1">IFERROR(__xludf.DUMMYFUNCTION("""COMPUTED_VALUE"""),"A3C2. Apoyos asistenciales entregados a madres en etapa adolescente")</f>
        <v>A3C2. Apoyos asistenciales entregados a madres en etapa adolescente</v>
      </c>
      <c r="G14" s="89" t="str">
        <f ca="1">IFERROR(__xludf.DUMMYFUNCTION("""COMPUTED_VALUE"""),"Apoyos asistenciales entregados a madres adolescentes, en 2023")</f>
        <v>Apoyos asistenciales entregados a madres adolescentes, en 2023</v>
      </c>
      <c r="H14" s="89" t="str">
        <f ca="1">IFERROR(__xludf.DUMMYFUNCTION("""COMPUTED_VALUE"""),"MUJ enero")</f>
        <v>MUJ enero</v>
      </c>
      <c r="I14" s="89" t="str">
        <f ca="1">IFERROR(__xludf.DUMMYFUNCTION("""COMPUTED_VALUE"""),"Enero")</f>
        <v>Enero</v>
      </c>
      <c r="J14" s="89" t="str">
        <f ca="1">IFERROR(__xludf.DUMMYFUNCTION("""COMPUTED_VALUE"""),"MUJ")</f>
        <v>MUJ</v>
      </c>
      <c r="K14" s="92"/>
      <c r="L14" s="89" t="str">
        <f ca="1">IFERROR(__xludf.DUMMYFUNCTION("""COMPUTED_VALUE"""),"TRIMESTRE 1")</f>
        <v>TRIMESTRE 1</v>
      </c>
      <c r="M14" s="89" t="str">
        <f ca="1">IFERROR(__xludf.DUMMYFUNCTION("""COMPUTED_VALUE"""),"MUJERES ADULTAS")</f>
        <v>MUJERES ADULTAS</v>
      </c>
    </row>
    <row r="15" spans="1:13">
      <c r="A15" s="89" t="str">
        <f ca="1">IFERROR(__xludf.DUMMYFUNCTION("""COMPUTED_VALUE"""),"4.1.2.3")</f>
        <v>4.1.2.3</v>
      </c>
      <c r="B15" s="89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15" s="89" t="str">
        <f ca="1">IFERROR(__xludf.DUMMYFUNCTION("""COMPUTED_VALUE"""),"4. Programas")</f>
        <v>4. Programas</v>
      </c>
      <c r="D15" s="89" t="str">
        <f ca="1">IFERROR(__xludf.DUMMYFUNCTION("""COMPUTED_VALUE"""),"Guadalajara: Capital de las niñas y los niños")</f>
        <v>Guadalajara: Capital de las niñas y los niños</v>
      </c>
      <c r="E15" s="89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15" s="89" t="str">
        <f ca="1">IFERROR(__xludf.DUMMYFUNCTION("""COMPUTED_VALUE"""),"A3C2. Apoyos asistenciales entregados a madres en etapa adolescente")</f>
        <v>A3C2. Apoyos asistenciales entregados a madres en etapa adolescente</v>
      </c>
      <c r="G15" s="89" t="str">
        <f ca="1">IFERROR(__xludf.DUMMYFUNCTION("""COMPUTED_VALUE"""),"Apoyos asistenciales entregados a madres adolescentes, en 2023")</f>
        <v>Apoyos asistenciales entregados a madres adolescentes, en 2023</v>
      </c>
      <c r="H15" s="89" t="str">
        <f ca="1">IFERROR(__xludf.DUMMYFUNCTION("""COMPUTED_VALUE"""),"HOM enero")</f>
        <v>HOM enero</v>
      </c>
      <c r="I15" s="89" t="str">
        <f ca="1">IFERROR(__xludf.DUMMYFUNCTION("""COMPUTED_VALUE"""),"Enero")</f>
        <v>Enero</v>
      </c>
      <c r="J15" s="89" t="str">
        <f ca="1">IFERROR(__xludf.DUMMYFUNCTION("""COMPUTED_VALUE"""),"HOM")</f>
        <v>HOM</v>
      </c>
      <c r="K15" s="92"/>
      <c r="L15" s="89" t="str">
        <f ca="1">IFERROR(__xludf.DUMMYFUNCTION("""COMPUTED_VALUE"""),"TRIMESTRE 1")</f>
        <v>TRIMESTRE 1</v>
      </c>
      <c r="M15" s="89" t="str">
        <f ca="1">IFERROR(__xludf.DUMMYFUNCTION("""COMPUTED_VALUE"""),"HOMBRES ADULTOS")</f>
        <v>HOMBRES ADULTOS</v>
      </c>
    </row>
    <row r="16" spans="1:13">
      <c r="A16" s="89" t="str">
        <f ca="1">IFERROR(__xludf.DUMMYFUNCTION("""COMPUTED_VALUE"""),"4.1.2.3")</f>
        <v>4.1.2.3</v>
      </c>
      <c r="B16" s="89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16" s="89" t="str">
        <f ca="1">IFERROR(__xludf.DUMMYFUNCTION("""COMPUTED_VALUE"""),"4. Programas")</f>
        <v>4. Programas</v>
      </c>
      <c r="D16" s="89" t="str">
        <f ca="1">IFERROR(__xludf.DUMMYFUNCTION("""COMPUTED_VALUE"""),"Guadalajara: Capital de las niñas y los niños")</f>
        <v>Guadalajara: Capital de las niñas y los niños</v>
      </c>
      <c r="E16" s="89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16" s="89" t="str">
        <f ca="1">IFERROR(__xludf.DUMMYFUNCTION("""COMPUTED_VALUE"""),"A3C2. Apoyos asistenciales entregados a madres en etapa adolescente")</f>
        <v>A3C2. Apoyos asistenciales entregados a madres en etapa adolescente</v>
      </c>
      <c r="G16" s="89" t="str">
        <f ca="1">IFERROR(__xludf.DUMMYFUNCTION("""COMPUTED_VALUE"""),"Apoyos asistenciales entregados a madres adolescentes, en 2023")</f>
        <v>Apoyos asistenciales entregados a madres adolescentes, en 2023</v>
      </c>
      <c r="H16" s="89" t="str">
        <f ca="1">IFERROR(__xludf.DUMMYFUNCTION("""COMPUTED_VALUE"""),"AMM enero")</f>
        <v>AMM enero</v>
      </c>
      <c r="I16" s="89" t="str">
        <f ca="1">IFERROR(__xludf.DUMMYFUNCTION("""COMPUTED_VALUE"""),"Enero")</f>
        <v>Enero</v>
      </c>
      <c r="J16" s="89" t="str">
        <f ca="1">IFERROR(__xludf.DUMMYFUNCTION("""COMPUTED_VALUE"""),"AMM")</f>
        <v>AMM</v>
      </c>
      <c r="K16" s="92"/>
      <c r="L16" s="89" t="str">
        <f ca="1">IFERROR(__xludf.DUMMYFUNCTION("""COMPUTED_VALUE"""),"TRIMESTRE 1")</f>
        <v>TRIMESTRE 1</v>
      </c>
      <c r="M16" s="89" t="str">
        <f ca="1">IFERROR(__xludf.DUMMYFUNCTION("""COMPUTED_VALUE"""),"ADULTA MAYOR MUJER")</f>
        <v>ADULTA MAYOR MUJER</v>
      </c>
    </row>
    <row r="17" spans="1:13">
      <c r="A17" s="89" t="str">
        <f ca="1">IFERROR(__xludf.DUMMYFUNCTION("""COMPUTED_VALUE"""),"4.1.2.3")</f>
        <v>4.1.2.3</v>
      </c>
      <c r="B17" s="89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17" s="89" t="str">
        <f ca="1">IFERROR(__xludf.DUMMYFUNCTION("""COMPUTED_VALUE"""),"4. Programas")</f>
        <v>4. Programas</v>
      </c>
      <c r="D17" s="89" t="str">
        <f ca="1">IFERROR(__xludf.DUMMYFUNCTION("""COMPUTED_VALUE"""),"Guadalajara: Capital de las niñas y los niños")</f>
        <v>Guadalajara: Capital de las niñas y los niños</v>
      </c>
      <c r="E17" s="89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17" s="89" t="str">
        <f ca="1">IFERROR(__xludf.DUMMYFUNCTION("""COMPUTED_VALUE"""),"A3C2. Apoyos asistenciales entregados a madres en etapa adolescente")</f>
        <v>A3C2. Apoyos asistenciales entregados a madres en etapa adolescente</v>
      </c>
      <c r="G17" s="89" t="str">
        <f ca="1">IFERROR(__xludf.DUMMYFUNCTION("""COMPUTED_VALUE"""),"Apoyos asistenciales entregados a madres adolescentes, en 2023")</f>
        <v>Apoyos asistenciales entregados a madres adolescentes, en 2023</v>
      </c>
      <c r="H17" s="89" t="str">
        <f ca="1">IFERROR(__xludf.DUMMYFUNCTION("""COMPUTED_VALUE"""),"AMH enero")</f>
        <v>AMH enero</v>
      </c>
      <c r="I17" s="89" t="str">
        <f ca="1">IFERROR(__xludf.DUMMYFUNCTION("""COMPUTED_VALUE"""),"Enero")</f>
        <v>Enero</v>
      </c>
      <c r="J17" s="89" t="str">
        <f ca="1">IFERROR(__xludf.DUMMYFUNCTION("""COMPUTED_VALUE"""),"AMH")</f>
        <v>AMH</v>
      </c>
      <c r="K17" s="92"/>
      <c r="L17" s="89" t="str">
        <f ca="1">IFERROR(__xludf.DUMMYFUNCTION("""COMPUTED_VALUE"""),"TRIMESTRE 1")</f>
        <v>TRIMESTRE 1</v>
      </c>
      <c r="M17" s="89" t="str">
        <f ca="1">IFERROR(__xludf.DUMMYFUNCTION("""COMPUTED_VALUE"""),"ADULTO MAYOR HOMBRE")</f>
        <v>ADULTO MAYOR HOMBRE</v>
      </c>
    </row>
    <row r="18" spans="1:13">
      <c r="A18" s="89" t="str">
        <f ca="1">IFERROR(__xludf.DUMMYFUNCTION("""COMPUTED_VALUE"""),"4.1.2.2")</f>
        <v>4.1.2.2</v>
      </c>
      <c r="B18" s="89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18" s="89" t="str">
        <f ca="1">IFERROR(__xludf.DUMMYFUNCTION("""COMPUTED_VALUE"""),"4. Programas")</f>
        <v>4. Programas</v>
      </c>
      <c r="D18" s="89" t="str">
        <f ca="1">IFERROR(__xludf.DUMMYFUNCTION("""COMPUTED_VALUE"""),"Guadalajara: Capital de las niñas y los niños")</f>
        <v>Guadalajara: Capital de las niñas y los niños</v>
      </c>
      <c r="E18" s="89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18" s="89" t="str">
        <f ca="1">IFERROR(__xludf.DUMMYFUNCTION("""COMPUTED_VALUE"""),"A2C2. Raciones alimentarias entregadas a NNA y sus cuidadores")</f>
        <v>A2C2. Raciones alimentarias entregadas a NNA y sus cuidadores</v>
      </c>
      <c r="G18" s="89" t="str">
        <f ca="1">IFERROR(__xludf.DUMMYFUNCTION("""COMPUTED_VALUE"""),"Porcentaje de raciones entregadas a NNA y sus cuidadores, en 2023")</f>
        <v>Porcentaje de raciones entregadas a NNA y sus cuidadores, en 2023</v>
      </c>
      <c r="H18" s="89" t="str">
        <f ca="1">IFERROR(__xludf.DUMMYFUNCTION("""COMPUTED_VALUE"""),"NAS FEBRERO")</f>
        <v>NAS FEBRERO</v>
      </c>
      <c r="I18" s="89" t="str">
        <f ca="1">IFERROR(__xludf.DUMMYFUNCTION("""COMPUTED_VALUE"""),"Febrero")</f>
        <v>Febrero</v>
      </c>
      <c r="J18" s="89" t="str">
        <f ca="1">IFERROR(__xludf.DUMMYFUNCTION("""COMPUTED_VALUE"""),"NAS")</f>
        <v>NAS</v>
      </c>
      <c r="K18" s="92">
        <f ca="1">IFERROR(__xludf.DUMMYFUNCTION("""COMPUTED_VALUE"""),144)</f>
        <v>144</v>
      </c>
      <c r="L18" s="89" t="str">
        <f ca="1">IFERROR(__xludf.DUMMYFUNCTION("""COMPUTED_VALUE"""),"TRIMESTRE 1")</f>
        <v>TRIMESTRE 1</v>
      </c>
      <c r="M18" s="89" t="str">
        <f ca="1">IFERROR(__xludf.DUMMYFUNCTION("""COMPUTED_VALUE"""),"NIÑAS")</f>
        <v>NIÑAS</v>
      </c>
    </row>
    <row r="19" spans="1:13">
      <c r="A19" s="89" t="str">
        <f ca="1">IFERROR(__xludf.DUMMYFUNCTION("""COMPUTED_VALUE"""),"4.1.2.2")</f>
        <v>4.1.2.2</v>
      </c>
      <c r="B19" s="89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19" s="89" t="str">
        <f ca="1">IFERROR(__xludf.DUMMYFUNCTION("""COMPUTED_VALUE"""),"4. Programas")</f>
        <v>4. Programas</v>
      </c>
      <c r="D19" s="89" t="str">
        <f ca="1">IFERROR(__xludf.DUMMYFUNCTION("""COMPUTED_VALUE"""),"Guadalajara: Capital de las niñas y los niños")</f>
        <v>Guadalajara: Capital de las niñas y los niños</v>
      </c>
      <c r="E19" s="89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19" s="89" t="str">
        <f ca="1">IFERROR(__xludf.DUMMYFUNCTION("""COMPUTED_VALUE"""),"A2C2. Raciones alimentarias entregadas a NNA y sus cuidadores")</f>
        <v>A2C2. Raciones alimentarias entregadas a NNA y sus cuidadores</v>
      </c>
      <c r="G19" s="89" t="str">
        <f ca="1">IFERROR(__xludf.DUMMYFUNCTION("""COMPUTED_VALUE"""),"Porcentaje de raciones entregadas a NNA y sus cuidadores, en 2023")</f>
        <v>Porcentaje de raciones entregadas a NNA y sus cuidadores, en 2023</v>
      </c>
      <c r="H19" s="89" t="str">
        <f ca="1">IFERROR(__xludf.DUMMYFUNCTION("""COMPUTED_VALUE"""),"NOS FEBRERO")</f>
        <v>NOS FEBRERO</v>
      </c>
      <c r="I19" s="89" t="str">
        <f ca="1">IFERROR(__xludf.DUMMYFUNCTION("""COMPUTED_VALUE"""),"Febrero")</f>
        <v>Febrero</v>
      </c>
      <c r="J19" s="89" t="str">
        <f ca="1">IFERROR(__xludf.DUMMYFUNCTION("""COMPUTED_VALUE"""),"NOS")</f>
        <v>NOS</v>
      </c>
      <c r="K19" s="92">
        <f ca="1">IFERROR(__xludf.DUMMYFUNCTION("""COMPUTED_VALUE"""),146)</f>
        <v>146</v>
      </c>
      <c r="L19" s="89" t="str">
        <f ca="1">IFERROR(__xludf.DUMMYFUNCTION("""COMPUTED_VALUE"""),"TRIMESTRE 1")</f>
        <v>TRIMESTRE 1</v>
      </c>
      <c r="M19" s="89" t="str">
        <f ca="1">IFERROR(__xludf.DUMMYFUNCTION("""COMPUTED_VALUE"""),"NIÑOS")</f>
        <v>NIÑOS</v>
      </c>
    </row>
    <row r="20" spans="1:13">
      <c r="A20" s="89" t="str">
        <f ca="1">IFERROR(__xludf.DUMMYFUNCTION("""COMPUTED_VALUE"""),"4.1.2.2")</f>
        <v>4.1.2.2</v>
      </c>
      <c r="B20" s="89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20" s="89" t="str">
        <f ca="1">IFERROR(__xludf.DUMMYFUNCTION("""COMPUTED_VALUE"""),"4. Programas")</f>
        <v>4. Programas</v>
      </c>
      <c r="D20" s="89" t="str">
        <f ca="1">IFERROR(__xludf.DUMMYFUNCTION("""COMPUTED_VALUE"""),"Guadalajara: Capital de las niñas y los niños")</f>
        <v>Guadalajara: Capital de las niñas y los niños</v>
      </c>
      <c r="E20" s="89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20" s="89" t="str">
        <f ca="1">IFERROR(__xludf.DUMMYFUNCTION("""COMPUTED_VALUE"""),"A2C2. Raciones alimentarias entregadas a NNA y sus cuidadores")</f>
        <v>A2C2. Raciones alimentarias entregadas a NNA y sus cuidadores</v>
      </c>
      <c r="G20" s="89" t="str">
        <f ca="1">IFERROR(__xludf.DUMMYFUNCTION("""COMPUTED_VALUE"""),"Porcentaje de raciones entregadas a NNA y sus cuidadores, en 2023")</f>
        <v>Porcentaje de raciones entregadas a NNA y sus cuidadores, en 2023</v>
      </c>
      <c r="H20" s="89" t="str">
        <f ca="1">IFERROR(__xludf.DUMMYFUNCTION("""COMPUTED_VALUE"""),"AM FEBRERo")</f>
        <v>AM FEBRERo</v>
      </c>
      <c r="I20" s="89" t="str">
        <f ca="1">IFERROR(__xludf.DUMMYFUNCTION("""COMPUTED_VALUE"""),"Febrero")</f>
        <v>Febrero</v>
      </c>
      <c r="J20" s="89" t="str">
        <f ca="1">IFERROR(__xludf.DUMMYFUNCTION("""COMPUTED_VALUE"""),"AM")</f>
        <v>AM</v>
      </c>
      <c r="K20" s="92">
        <f ca="1">IFERROR(__xludf.DUMMYFUNCTION("""COMPUTED_VALUE"""),49)</f>
        <v>49</v>
      </c>
      <c r="L20" s="89" t="str">
        <f ca="1">IFERROR(__xludf.DUMMYFUNCTION("""COMPUTED_VALUE"""),"TRIMESTRE 1")</f>
        <v>TRIMESTRE 1</v>
      </c>
      <c r="M20" s="89" t="str">
        <f ca="1">IFERROR(__xludf.DUMMYFUNCTION("""COMPUTED_VALUE"""),"ADOLESCENTES MUJERES")</f>
        <v>ADOLESCENTES MUJERES</v>
      </c>
    </row>
    <row r="21" spans="1:13">
      <c r="A21" s="89" t="str">
        <f ca="1">IFERROR(__xludf.DUMMYFUNCTION("""COMPUTED_VALUE"""),"4.1.2.2")</f>
        <v>4.1.2.2</v>
      </c>
      <c r="B21" s="89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21" s="89" t="str">
        <f ca="1">IFERROR(__xludf.DUMMYFUNCTION("""COMPUTED_VALUE"""),"4. Programas")</f>
        <v>4. Programas</v>
      </c>
      <c r="D21" s="89" t="str">
        <f ca="1">IFERROR(__xludf.DUMMYFUNCTION("""COMPUTED_VALUE"""),"Guadalajara: Capital de las niñas y los niños")</f>
        <v>Guadalajara: Capital de las niñas y los niños</v>
      </c>
      <c r="E21" s="89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21" s="89" t="str">
        <f ca="1">IFERROR(__xludf.DUMMYFUNCTION("""COMPUTED_VALUE"""),"A2C2. Raciones alimentarias entregadas a NNA y sus cuidadores")</f>
        <v>A2C2. Raciones alimentarias entregadas a NNA y sus cuidadores</v>
      </c>
      <c r="G21" s="89" t="str">
        <f ca="1">IFERROR(__xludf.DUMMYFUNCTION("""COMPUTED_VALUE"""),"Porcentaje de raciones entregadas a NNA y sus cuidadores, en 2023")</f>
        <v>Porcentaje de raciones entregadas a NNA y sus cuidadores, en 2023</v>
      </c>
      <c r="H21" s="89" t="str">
        <f ca="1">IFERROR(__xludf.DUMMYFUNCTION("""COMPUTED_VALUE"""),"AH FEBRERO")</f>
        <v>AH FEBRERO</v>
      </c>
      <c r="I21" s="89" t="str">
        <f ca="1">IFERROR(__xludf.DUMMYFUNCTION("""COMPUTED_VALUE"""),"Febrero")</f>
        <v>Febrero</v>
      </c>
      <c r="J21" s="89" t="str">
        <f ca="1">IFERROR(__xludf.DUMMYFUNCTION("""COMPUTED_VALUE"""),"AH")</f>
        <v>AH</v>
      </c>
      <c r="K21" s="92">
        <f ca="1">IFERROR(__xludf.DUMMYFUNCTION("""COMPUTED_VALUE"""),45)</f>
        <v>45</v>
      </c>
      <c r="L21" s="89" t="str">
        <f ca="1">IFERROR(__xludf.DUMMYFUNCTION("""COMPUTED_VALUE"""),"TRIMESTRE 1")</f>
        <v>TRIMESTRE 1</v>
      </c>
      <c r="M21" s="89" t="str">
        <f ca="1">IFERROR(__xludf.DUMMYFUNCTION("""COMPUTED_VALUE"""),"ADOLESCENTES HOMBRES")</f>
        <v>ADOLESCENTES HOMBRES</v>
      </c>
    </row>
    <row r="22" spans="1:13">
      <c r="A22" s="89" t="str">
        <f ca="1">IFERROR(__xludf.DUMMYFUNCTION("""COMPUTED_VALUE"""),"4.1.2.2")</f>
        <v>4.1.2.2</v>
      </c>
      <c r="B22" s="89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22" s="89" t="str">
        <f ca="1">IFERROR(__xludf.DUMMYFUNCTION("""COMPUTED_VALUE"""),"4. Programas")</f>
        <v>4. Programas</v>
      </c>
      <c r="D22" s="89" t="str">
        <f ca="1">IFERROR(__xludf.DUMMYFUNCTION("""COMPUTED_VALUE"""),"Guadalajara: Capital de las niñas y los niños")</f>
        <v>Guadalajara: Capital de las niñas y los niños</v>
      </c>
      <c r="E22" s="89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22" s="89" t="str">
        <f ca="1">IFERROR(__xludf.DUMMYFUNCTION("""COMPUTED_VALUE"""),"A2C2. Raciones alimentarias entregadas a NNA y sus cuidadores")</f>
        <v>A2C2. Raciones alimentarias entregadas a NNA y sus cuidadores</v>
      </c>
      <c r="G22" s="89" t="str">
        <f ca="1">IFERROR(__xludf.DUMMYFUNCTION("""COMPUTED_VALUE"""),"Porcentaje de raciones entregadas a NNA y sus cuidadores, en 2023")</f>
        <v>Porcentaje de raciones entregadas a NNA y sus cuidadores, en 2023</v>
      </c>
      <c r="H22" s="89" t="str">
        <f ca="1">IFERROR(__xludf.DUMMYFUNCTION("""COMPUTED_VALUE"""),"MUJ Febrero")</f>
        <v>MUJ Febrero</v>
      </c>
      <c r="I22" s="89" t="str">
        <f ca="1">IFERROR(__xludf.DUMMYFUNCTION("""COMPUTED_VALUE"""),"Febrero")</f>
        <v>Febrero</v>
      </c>
      <c r="J22" s="89" t="str">
        <f ca="1">IFERROR(__xludf.DUMMYFUNCTION("""COMPUTED_VALUE"""),"MUJ")</f>
        <v>MUJ</v>
      </c>
      <c r="K22" s="92">
        <f ca="1">IFERROR(__xludf.DUMMYFUNCTION("""COMPUTED_VALUE"""),27)</f>
        <v>27</v>
      </c>
      <c r="L22" s="89" t="str">
        <f ca="1">IFERROR(__xludf.DUMMYFUNCTION("""COMPUTED_VALUE"""),"TRIMESTRE 1")</f>
        <v>TRIMESTRE 1</v>
      </c>
      <c r="M22" s="89" t="str">
        <f ca="1">IFERROR(__xludf.DUMMYFUNCTION("""COMPUTED_VALUE"""),"MUJERES ADULTAS")</f>
        <v>MUJERES ADULTAS</v>
      </c>
    </row>
    <row r="23" spans="1:13">
      <c r="A23" s="89" t="str">
        <f ca="1">IFERROR(__xludf.DUMMYFUNCTION("""COMPUTED_VALUE"""),"4.1.2.2")</f>
        <v>4.1.2.2</v>
      </c>
      <c r="B23" s="89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23" s="89" t="str">
        <f ca="1">IFERROR(__xludf.DUMMYFUNCTION("""COMPUTED_VALUE"""),"4. Programas")</f>
        <v>4. Programas</v>
      </c>
      <c r="D23" s="89" t="str">
        <f ca="1">IFERROR(__xludf.DUMMYFUNCTION("""COMPUTED_VALUE"""),"Guadalajara: Capital de las niñas y los niños")</f>
        <v>Guadalajara: Capital de las niñas y los niños</v>
      </c>
      <c r="E23" s="89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23" s="89" t="str">
        <f ca="1">IFERROR(__xludf.DUMMYFUNCTION("""COMPUTED_VALUE"""),"A2C2. Raciones alimentarias entregadas a NNA y sus cuidadores")</f>
        <v>A2C2. Raciones alimentarias entregadas a NNA y sus cuidadores</v>
      </c>
      <c r="G23" s="89" t="str">
        <f ca="1">IFERROR(__xludf.DUMMYFUNCTION("""COMPUTED_VALUE"""),"Porcentaje de raciones entregadas a NNA y sus cuidadores, en 2023")</f>
        <v>Porcentaje de raciones entregadas a NNA y sus cuidadores, en 2023</v>
      </c>
      <c r="H23" s="89" t="str">
        <f ca="1">IFERROR(__xludf.DUMMYFUNCTION("""COMPUTED_VALUE"""),"HOM FEBRERO")</f>
        <v>HOM FEBRERO</v>
      </c>
      <c r="I23" s="89" t="str">
        <f ca="1">IFERROR(__xludf.DUMMYFUNCTION("""COMPUTED_VALUE"""),"Febrero")</f>
        <v>Febrero</v>
      </c>
      <c r="J23" s="89" t="str">
        <f ca="1">IFERROR(__xludf.DUMMYFUNCTION("""COMPUTED_VALUE"""),"HOM")</f>
        <v>HOM</v>
      </c>
      <c r="K23" s="92">
        <f ca="1">IFERROR(__xludf.DUMMYFUNCTION("""COMPUTED_VALUE"""),17)</f>
        <v>17</v>
      </c>
      <c r="L23" s="89" t="str">
        <f ca="1">IFERROR(__xludf.DUMMYFUNCTION("""COMPUTED_VALUE"""),"TRIMESTRE 1")</f>
        <v>TRIMESTRE 1</v>
      </c>
      <c r="M23" s="89" t="str">
        <f ca="1">IFERROR(__xludf.DUMMYFUNCTION("""COMPUTED_VALUE"""),"HOMBRES ADULTOS")</f>
        <v>HOMBRES ADULTOS</v>
      </c>
    </row>
    <row r="24" spans="1:13">
      <c r="A24" s="89" t="str">
        <f ca="1">IFERROR(__xludf.DUMMYFUNCTION("""COMPUTED_VALUE"""),"4.1.2.2")</f>
        <v>4.1.2.2</v>
      </c>
      <c r="B24" s="89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24" s="89" t="str">
        <f ca="1">IFERROR(__xludf.DUMMYFUNCTION("""COMPUTED_VALUE"""),"4. Programas")</f>
        <v>4. Programas</v>
      </c>
      <c r="D24" s="89" t="str">
        <f ca="1">IFERROR(__xludf.DUMMYFUNCTION("""COMPUTED_VALUE"""),"Guadalajara: Capital de las niñas y los niños")</f>
        <v>Guadalajara: Capital de las niñas y los niños</v>
      </c>
      <c r="E24" s="89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24" s="89" t="str">
        <f ca="1">IFERROR(__xludf.DUMMYFUNCTION("""COMPUTED_VALUE"""),"A2C2. Raciones alimentarias entregadas a NNA y sus cuidadores")</f>
        <v>A2C2. Raciones alimentarias entregadas a NNA y sus cuidadores</v>
      </c>
      <c r="G24" s="89" t="str">
        <f ca="1">IFERROR(__xludf.DUMMYFUNCTION("""COMPUTED_VALUE"""),"Porcentaje de raciones entregadas a NNA y sus cuidadores, en 2023")</f>
        <v>Porcentaje de raciones entregadas a NNA y sus cuidadores, en 2023</v>
      </c>
      <c r="H24" s="89" t="str">
        <f ca="1">IFERROR(__xludf.DUMMYFUNCTION("""COMPUTED_VALUE"""),"AMM FEBRERO")</f>
        <v>AMM FEBRERO</v>
      </c>
      <c r="I24" s="89" t="str">
        <f ca="1">IFERROR(__xludf.DUMMYFUNCTION("""COMPUTED_VALUE"""),"Febrero")</f>
        <v>Febrero</v>
      </c>
      <c r="J24" s="89" t="str">
        <f ca="1">IFERROR(__xludf.DUMMYFUNCTION("""COMPUTED_VALUE"""),"AMM")</f>
        <v>AMM</v>
      </c>
      <c r="K24" s="92">
        <f ca="1">IFERROR(__xludf.DUMMYFUNCTION("""COMPUTED_VALUE"""),1)</f>
        <v>1</v>
      </c>
      <c r="L24" s="89" t="str">
        <f ca="1">IFERROR(__xludf.DUMMYFUNCTION("""COMPUTED_VALUE"""),"TRIMESTRE 1")</f>
        <v>TRIMESTRE 1</v>
      </c>
      <c r="M24" s="89" t="str">
        <f ca="1">IFERROR(__xludf.DUMMYFUNCTION("""COMPUTED_VALUE"""),"ADULTA MAYOR MUJER")</f>
        <v>ADULTA MAYOR MUJER</v>
      </c>
    </row>
    <row r="25" spans="1:13">
      <c r="A25" s="89" t="str">
        <f ca="1">IFERROR(__xludf.DUMMYFUNCTION("""COMPUTED_VALUE"""),"4.1.2.2")</f>
        <v>4.1.2.2</v>
      </c>
      <c r="B25" s="89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25" s="89" t="str">
        <f ca="1">IFERROR(__xludf.DUMMYFUNCTION("""COMPUTED_VALUE"""),"4. Programas")</f>
        <v>4. Programas</v>
      </c>
      <c r="D25" s="89" t="str">
        <f ca="1">IFERROR(__xludf.DUMMYFUNCTION("""COMPUTED_VALUE"""),"Guadalajara: Capital de las niñas y los niños")</f>
        <v>Guadalajara: Capital de las niñas y los niños</v>
      </c>
      <c r="E25" s="89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25" s="89" t="str">
        <f ca="1">IFERROR(__xludf.DUMMYFUNCTION("""COMPUTED_VALUE"""),"A2C2. Raciones alimentarias entregadas a NNA y sus cuidadores")</f>
        <v>A2C2. Raciones alimentarias entregadas a NNA y sus cuidadores</v>
      </c>
      <c r="G25" s="89" t="str">
        <f ca="1">IFERROR(__xludf.DUMMYFUNCTION("""COMPUTED_VALUE"""),"Porcentaje de raciones entregadas a NNA y sus cuidadores, en 2023")</f>
        <v>Porcentaje de raciones entregadas a NNA y sus cuidadores, en 2023</v>
      </c>
      <c r="H25" s="89" t="str">
        <f ca="1">IFERROR(__xludf.DUMMYFUNCTION("""COMPUTED_VALUE"""),"AMH FEBRERO")</f>
        <v>AMH FEBRERO</v>
      </c>
      <c r="I25" s="89" t="str">
        <f ca="1">IFERROR(__xludf.DUMMYFUNCTION("""COMPUTED_VALUE"""),"Febrero")</f>
        <v>Febrero</v>
      </c>
      <c r="J25" s="89" t="str">
        <f ca="1">IFERROR(__xludf.DUMMYFUNCTION("""COMPUTED_VALUE"""),"AMH")</f>
        <v>AMH</v>
      </c>
      <c r="K25" s="92">
        <f ca="1">IFERROR(__xludf.DUMMYFUNCTION("""COMPUTED_VALUE"""),0)</f>
        <v>0</v>
      </c>
      <c r="L25" s="89" t="str">
        <f ca="1">IFERROR(__xludf.DUMMYFUNCTION("""COMPUTED_VALUE"""),"TRIMESTRE 1")</f>
        <v>TRIMESTRE 1</v>
      </c>
      <c r="M25" s="89" t="str">
        <f ca="1">IFERROR(__xludf.DUMMYFUNCTION("""COMPUTED_VALUE"""),"ADULTO MAYOR HOMBRE")</f>
        <v>ADULTO MAYOR HOMBRE</v>
      </c>
    </row>
    <row r="26" spans="1:13">
      <c r="A26" s="89" t="str">
        <f ca="1">IFERROR(__xludf.DUMMYFUNCTION("""COMPUTED_VALUE"""),"4.1.2.3")</f>
        <v>4.1.2.3</v>
      </c>
      <c r="B26" s="89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26" s="89" t="str">
        <f ca="1">IFERROR(__xludf.DUMMYFUNCTION("""COMPUTED_VALUE"""),"4. Programas")</f>
        <v>4. Programas</v>
      </c>
      <c r="D26" s="89" t="str">
        <f ca="1">IFERROR(__xludf.DUMMYFUNCTION("""COMPUTED_VALUE"""),"Guadalajara: Capital de las niñas y los niños")</f>
        <v>Guadalajara: Capital de las niñas y los niños</v>
      </c>
      <c r="E26" s="89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26" s="89" t="str">
        <f ca="1">IFERROR(__xludf.DUMMYFUNCTION("""COMPUTED_VALUE"""),"A3C2. Apoyos asistenciales entregados a madres en etapa adolescente")</f>
        <v>A3C2. Apoyos asistenciales entregados a madres en etapa adolescente</v>
      </c>
      <c r="G26" s="89" t="str">
        <f ca="1">IFERROR(__xludf.DUMMYFUNCTION("""COMPUTED_VALUE"""),"Apoyos asistenciales entregados a madres adolescentes, en 2023")</f>
        <v>Apoyos asistenciales entregados a madres adolescentes, en 2023</v>
      </c>
      <c r="H26" s="89" t="str">
        <f ca="1">IFERROR(__xludf.DUMMYFUNCTION("""COMPUTED_VALUE"""),"NAS FEBRERO")</f>
        <v>NAS FEBRERO</v>
      </c>
      <c r="I26" s="89" t="str">
        <f ca="1">IFERROR(__xludf.DUMMYFUNCTION("""COMPUTED_VALUE"""),"Febrero")</f>
        <v>Febrero</v>
      </c>
      <c r="J26" s="89" t="str">
        <f ca="1">IFERROR(__xludf.DUMMYFUNCTION("""COMPUTED_VALUE"""),"NAS")</f>
        <v>NAS</v>
      </c>
      <c r="K26" s="92">
        <f ca="1">IFERROR(__xludf.DUMMYFUNCTION("""COMPUTED_VALUE"""),0)</f>
        <v>0</v>
      </c>
      <c r="L26" s="89" t="str">
        <f ca="1">IFERROR(__xludf.DUMMYFUNCTION("""COMPUTED_VALUE"""),"TRIMESTRE 1")</f>
        <v>TRIMESTRE 1</v>
      </c>
      <c r="M26" s="89" t="str">
        <f ca="1">IFERROR(__xludf.DUMMYFUNCTION("""COMPUTED_VALUE"""),"NIÑAS")</f>
        <v>NIÑAS</v>
      </c>
    </row>
    <row r="27" spans="1:13">
      <c r="A27" s="89" t="str">
        <f ca="1">IFERROR(__xludf.DUMMYFUNCTION("""COMPUTED_VALUE"""),"4.1.2.3")</f>
        <v>4.1.2.3</v>
      </c>
      <c r="B27" s="89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27" s="89" t="str">
        <f ca="1">IFERROR(__xludf.DUMMYFUNCTION("""COMPUTED_VALUE"""),"4. Programas")</f>
        <v>4. Programas</v>
      </c>
      <c r="D27" s="89" t="str">
        <f ca="1">IFERROR(__xludf.DUMMYFUNCTION("""COMPUTED_VALUE"""),"Guadalajara: Capital de las niñas y los niños")</f>
        <v>Guadalajara: Capital de las niñas y los niños</v>
      </c>
      <c r="E27" s="89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27" s="89" t="str">
        <f ca="1">IFERROR(__xludf.DUMMYFUNCTION("""COMPUTED_VALUE"""),"A3C2. Apoyos asistenciales entregados a madres en etapa adolescente")</f>
        <v>A3C2. Apoyos asistenciales entregados a madres en etapa adolescente</v>
      </c>
      <c r="G27" s="89" t="str">
        <f ca="1">IFERROR(__xludf.DUMMYFUNCTION("""COMPUTED_VALUE"""),"Apoyos asistenciales entregados a madres adolescentes, en 2023")</f>
        <v>Apoyos asistenciales entregados a madres adolescentes, en 2023</v>
      </c>
      <c r="H27" s="89" t="str">
        <f ca="1">IFERROR(__xludf.DUMMYFUNCTION("""COMPUTED_VALUE"""),"NOS FEBRERO")</f>
        <v>NOS FEBRERO</v>
      </c>
      <c r="I27" s="89" t="str">
        <f ca="1">IFERROR(__xludf.DUMMYFUNCTION("""COMPUTED_VALUE"""),"Febrero")</f>
        <v>Febrero</v>
      </c>
      <c r="J27" s="89" t="str">
        <f ca="1">IFERROR(__xludf.DUMMYFUNCTION("""COMPUTED_VALUE"""),"NOS")</f>
        <v>NOS</v>
      </c>
      <c r="K27" s="92">
        <f ca="1">IFERROR(__xludf.DUMMYFUNCTION("""COMPUTED_VALUE"""),0)</f>
        <v>0</v>
      </c>
      <c r="L27" s="89" t="str">
        <f ca="1">IFERROR(__xludf.DUMMYFUNCTION("""COMPUTED_VALUE"""),"TRIMESTRE 1")</f>
        <v>TRIMESTRE 1</v>
      </c>
      <c r="M27" s="89" t="str">
        <f ca="1">IFERROR(__xludf.DUMMYFUNCTION("""COMPUTED_VALUE"""),"NIÑOS")</f>
        <v>NIÑOS</v>
      </c>
    </row>
    <row r="28" spans="1:13">
      <c r="A28" s="89" t="str">
        <f ca="1">IFERROR(__xludf.DUMMYFUNCTION("""COMPUTED_VALUE"""),"4.1.2.3")</f>
        <v>4.1.2.3</v>
      </c>
      <c r="B28" s="89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28" s="89" t="str">
        <f ca="1">IFERROR(__xludf.DUMMYFUNCTION("""COMPUTED_VALUE"""),"4. Programas")</f>
        <v>4. Programas</v>
      </c>
      <c r="D28" s="89" t="str">
        <f ca="1">IFERROR(__xludf.DUMMYFUNCTION("""COMPUTED_VALUE"""),"Guadalajara: Capital de las niñas y los niños")</f>
        <v>Guadalajara: Capital de las niñas y los niños</v>
      </c>
      <c r="E28" s="89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28" s="89" t="str">
        <f ca="1">IFERROR(__xludf.DUMMYFUNCTION("""COMPUTED_VALUE"""),"A3C2. Apoyos asistenciales entregados a madres en etapa adolescente")</f>
        <v>A3C2. Apoyos asistenciales entregados a madres en etapa adolescente</v>
      </c>
      <c r="G28" s="89" t="str">
        <f ca="1">IFERROR(__xludf.DUMMYFUNCTION("""COMPUTED_VALUE"""),"Apoyos asistenciales entregados a madres adolescentes, en 2023")</f>
        <v>Apoyos asistenciales entregados a madres adolescentes, en 2023</v>
      </c>
      <c r="H28" s="89" t="str">
        <f ca="1">IFERROR(__xludf.DUMMYFUNCTION("""COMPUTED_VALUE"""),"AM FEBRERo")</f>
        <v>AM FEBRERo</v>
      </c>
      <c r="I28" s="89" t="str">
        <f ca="1">IFERROR(__xludf.DUMMYFUNCTION("""COMPUTED_VALUE"""),"Febrero")</f>
        <v>Febrero</v>
      </c>
      <c r="J28" s="89" t="str">
        <f ca="1">IFERROR(__xludf.DUMMYFUNCTION("""COMPUTED_VALUE"""),"AM")</f>
        <v>AM</v>
      </c>
      <c r="K28" s="92">
        <f ca="1">IFERROR(__xludf.DUMMYFUNCTION("""COMPUTED_VALUE"""),11)</f>
        <v>11</v>
      </c>
      <c r="L28" s="89" t="str">
        <f ca="1">IFERROR(__xludf.DUMMYFUNCTION("""COMPUTED_VALUE"""),"TRIMESTRE 1")</f>
        <v>TRIMESTRE 1</v>
      </c>
      <c r="M28" s="89" t="str">
        <f ca="1">IFERROR(__xludf.DUMMYFUNCTION("""COMPUTED_VALUE"""),"ADOLESCENTES MUJERES")</f>
        <v>ADOLESCENTES MUJERES</v>
      </c>
    </row>
    <row r="29" spans="1:13">
      <c r="A29" s="89" t="str">
        <f ca="1">IFERROR(__xludf.DUMMYFUNCTION("""COMPUTED_VALUE"""),"4.1.2.3")</f>
        <v>4.1.2.3</v>
      </c>
      <c r="B29" s="89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29" s="89" t="str">
        <f ca="1">IFERROR(__xludf.DUMMYFUNCTION("""COMPUTED_VALUE"""),"4. Programas")</f>
        <v>4. Programas</v>
      </c>
      <c r="D29" s="89" t="str">
        <f ca="1">IFERROR(__xludf.DUMMYFUNCTION("""COMPUTED_VALUE"""),"Guadalajara: Capital de las niñas y los niños")</f>
        <v>Guadalajara: Capital de las niñas y los niños</v>
      </c>
      <c r="E29" s="89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29" s="89" t="str">
        <f ca="1">IFERROR(__xludf.DUMMYFUNCTION("""COMPUTED_VALUE"""),"A3C2. Apoyos asistenciales entregados a madres en etapa adolescente")</f>
        <v>A3C2. Apoyos asistenciales entregados a madres en etapa adolescente</v>
      </c>
      <c r="G29" s="89" t="str">
        <f ca="1">IFERROR(__xludf.DUMMYFUNCTION("""COMPUTED_VALUE"""),"Apoyos asistenciales entregados a madres adolescentes, en 2023")</f>
        <v>Apoyos asistenciales entregados a madres adolescentes, en 2023</v>
      </c>
      <c r="H29" s="89" t="str">
        <f ca="1">IFERROR(__xludf.DUMMYFUNCTION("""COMPUTED_VALUE"""),"AH FEBRERO")</f>
        <v>AH FEBRERO</v>
      </c>
      <c r="I29" s="89" t="str">
        <f ca="1">IFERROR(__xludf.DUMMYFUNCTION("""COMPUTED_VALUE"""),"Febrero")</f>
        <v>Febrero</v>
      </c>
      <c r="J29" s="89" t="str">
        <f ca="1">IFERROR(__xludf.DUMMYFUNCTION("""COMPUTED_VALUE"""),"AH")</f>
        <v>AH</v>
      </c>
      <c r="K29" s="92">
        <f ca="1">IFERROR(__xludf.DUMMYFUNCTION("""COMPUTED_VALUE"""),0)</f>
        <v>0</v>
      </c>
      <c r="L29" s="89" t="str">
        <f ca="1">IFERROR(__xludf.DUMMYFUNCTION("""COMPUTED_VALUE"""),"TRIMESTRE 1")</f>
        <v>TRIMESTRE 1</v>
      </c>
      <c r="M29" s="89" t="str">
        <f ca="1">IFERROR(__xludf.DUMMYFUNCTION("""COMPUTED_VALUE"""),"ADOLESCENTES HOMBRES")</f>
        <v>ADOLESCENTES HOMBRES</v>
      </c>
    </row>
    <row r="30" spans="1:13">
      <c r="A30" s="89" t="str">
        <f ca="1">IFERROR(__xludf.DUMMYFUNCTION("""COMPUTED_VALUE"""),"4.1.2.3")</f>
        <v>4.1.2.3</v>
      </c>
      <c r="B30" s="89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30" s="89" t="str">
        <f ca="1">IFERROR(__xludf.DUMMYFUNCTION("""COMPUTED_VALUE"""),"4. Programas")</f>
        <v>4. Programas</v>
      </c>
      <c r="D30" s="89" t="str">
        <f ca="1">IFERROR(__xludf.DUMMYFUNCTION("""COMPUTED_VALUE"""),"Guadalajara: Capital de las niñas y los niños")</f>
        <v>Guadalajara: Capital de las niñas y los niños</v>
      </c>
      <c r="E30" s="89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30" s="89" t="str">
        <f ca="1">IFERROR(__xludf.DUMMYFUNCTION("""COMPUTED_VALUE"""),"A3C2. Apoyos asistenciales entregados a madres en etapa adolescente")</f>
        <v>A3C2. Apoyos asistenciales entregados a madres en etapa adolescente</v>
      </c>
      <c r="G30" s="89" t="str">
        <f ca="1">IFERROR(__xludf.DUMMYFUNCTION("""COMPUTED_VALUE"""),"Apoyos asistenciales entregados a madres adolescentes, en 2023")</f>
        <v>Apoyos asistenciales entregados a madres adolescentes, en 2023</v>
      </c>
      <c r="H30" s="89" t="str">
        <f ca="1">IFERROR(__xludf.DUMMYFUNCTION("""COMPUTED_VALUE"""),"MUJ FEBRero")</f>
        <v>MUJ FEBRero</v>
      </c>
      <c r="I30" s="89" t="str">
        <f ca="1">IFERROR(__xludf.DUMMYFUNCTION("""COMPUTED_VALUE"""),"Febrero")</f>
        <v>Febrero</v>
      </c>
      <c r="J30" s="89" t="str">
        <f ca="1">IFERROR(__xludf.DUMMYFUNCTION("""COMPUTED_VALUE"""),"MUJ")</f>
        <v>MUJ</v>
      </c>
      <c r="K30" s="92"/>
      <c r="L30" s="89" t="str">
        <f ca="1">IFERROR(__xludf.DUMMYFUNCTION("""COMPUTED_VALUE"""),"TRIMESTRE 1")</f>
        <v>TRIMESTRE 1</v>
      </c>
      <c r="M30" s="89" t="str">
        <f ca="1">IFERROR(__xludf.DUMMYFUNCTION("""COMPUTED_VALUE"""),"MUJERES ADULTAS")</f>
        <v>MUJERES ADULTAS</v>
      </c>
    </row>
    <row r="31" spans="1:13">
      <c r="A31" s="89" t="str">
        <f ca="1">IFERROR(__xludf.DUMMYFUNCTION("""COMPUTED_VALUE"""),"4.1.2.3")</f>
        <v>4.1.2.3</v>
      </c>
      <c r="B31" s="89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31" s="89" t="str">
        <f ca="1">IFERROR(__xludf.DUMMYFUNCTION("""COMPUTED_VALUE"""),"4. Programas")</f>
        <v>4. Programas</v>
      </c>
      <c r="D31" s="89" t="str">
        <f ca="1">IFERROR(__xludf.DUMMYFUNCTION("""COMPUTED_VALUE"""),"Guadalajara: Capital de las niñas y los niños")</f>
        <v>Guadalajara: Capital de las niñas y los niños</v>
      </c>
      <c r="E31" s="89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31" s="89" t="str">
        <f ca="1">IFERROR(__xludf.DUMMYFUNCTION("""COMPUTED_VALUE"""),"A3C2. Apoyos asistenciales entregados a madres en etapa adolescente")</f>
        <v>A3C2. Apoyos asistenciales entregados a madres en etapa adolescente</v>
      </c>
      <c r="G31" s="89" t="str">
        <f ca="1">IFERROR(__xludf.DUMMYFUNCTION("""COMPUTED_VALUE"""),"Apoyos asistenciales entregados a madres adolescentes, en 2023")</f>
        <v>Apoyos asistenciales entregados a madres adolescentes, en 2023</v>
      </c>
      <c r="H31" s="89" t="str">
        <f ca="1">IFERROR(__xludf.DUMMYFUNCTION("""COMPUTED_VALUE"""),"HOM FEBRERO")</f>
        <v>HOM FEBRERO</v>
      </c>
      <c r="I31" s="89" t="str">
        <f ca="1">IFERROR(__xludf.DUMMYFUNCTION("""COMPUTED_VALUE"""),"Febrero")</f>
        <v>Febrero</v>
      </c>
      <c r="J31" s="89" t="str">
        <f ca="1">IFERROR(__xludf.DUMMYFUNCTION("""COMPUTED_VALUE"""),"HOM")</f>
        <v>HOM</v>
      </c>
      <c r="K31" s="92"/>
      <c r="L31" s="89" t="str">
        <f ca="1">IFERROR(__xludf.DUMMYFUNCTION("""COMPUTED_VALUE"""),"TRIMESTRE 1")</f>
        <v>TRIMESTRE 1</v>
      </c>
      <c r="M31" s="89" t="str">
        <f ca="1">IFERROR(__xludf.DUMMYFUNCTION("""COMPUTED_VALUE"""),"HOMBRES ADULTOS")</f>
        <v>HOMBRES ADULTOS</v>
      </c>
    </row>
    <row r="32" spans="1:13">
      <c r="A32" s="89" t="str">
        <f ca="1">IFERROR(__xludf.DUMMYFUNCTION("""COMPUTED_VALUE"""),"4.1.2.3")</f>
        <v>4.1.2.3</v>
      </c>
      <c r="B32" s="89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32" s="89" t="str">
        <f ca="1">IFERROR(__xludf.DUMMYFUNCTION("""COMPUTED_VALUE"""),"4. Programas")</f>
        <v>4. Programas</v>
      </c>
      <c r="D32" s="89" t="str">
        <f ca="1">IFERROR(__xludf.DUMMYFUNCTION("""COMPUTED_VALUE"""),"Guadalajara: Capital de las niñas y los niños")</f>
        <v>Guadalajara: Capital de las niñas y los niños</v>
      </c>
      <c r="E32" s="89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32" s="89" t="str">
        <f ca="1">IFERROR(__xludf.DUMMYFUNCTION("""COMPUTED_VALUE"""),"A3C2. Apoyos asistenciales entregados a madres en etapa adolescente")</f>
        <v>A3C2. Apoyos asistenciales entregados a madres en etapa adolescente</v>
      </c>
      <c r="G32" s="89" t="str">
        <f ca="1">IFERROR(__xludf.DUMMYFUNCTION("""COMPUTED_VALUE"""),"Apoyos asistenciales entregados a madres adolescentes, en 2023")</f>
        <v>Apoyos asistenciales entregados a madres adolescentes, en 2023</v>
      </c>
      <c r="H32" s="89" t="str">
        <f ca="1">IFERROR(__xludf.DUMMYFUNCTION("""COMPUTED_VALUE"""),"AMM FEBRERO")</f>
        <v>AMM FEBRERO</v>
      </c>
      <c r="I32" s="89" t="str">
        <f ca="1">IFERROR(__xludf.DUMMYFUNCTION("""COMPUTED_VALUE"""),"Febrero")</f>
        <v>Febrero</v>
      </c>
      <c r="J32" s="89" t="str">
        <f ca="1">IFERROR(__xludf.DUMMYFUNCTION("""COMPUTED_VALUE"""),"AMM")</f>
        <v>AMM</v>
      </c>
      <c r="K32" s="92"/>
      <c r="L32" s="89" t="str">
        <f ca="1">IFERROR(__xludf.DUMMYFUNCTION("""COMPUTED_VALUE"""),"TRIMESTRE 1")</f>
        <v>TRIMESTRE 1</v>
      </c>
      <c r="M32" s="89" t="str">
        <f ca="1">IFERROR(__xludf.DUMMYFUNCTION("""COMPUTED_VALUE"""),"ADULTA MAYOR MUJER")</f>
        <v>ADULTA MAYOR MUJER</v>
      </c>
    </row>
    <row r="33" spans="1:13">
      <c r="A33" s="89" t="str">
        <f ca="1">IFERROR(__xludf.DUMMYFUNCTION("""COMPUTED_VALUE"""),"4.1.2.3")</f>
        <v>4.1.2.3</v>
      </c>
      <c r="B33" s="89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33" s="89" t="str">
        <f ca="1">IFERROR(__xludf.DUMMYFUNCTION("""COMPUTED_VALUE"""),"4. Programas")</f>
        <v>4. Programas</v>
      </c>
      <c r="D33" s="89" t="str">
        <f ca="1">IFERROR(__xludf.DUMMYFUNCTION("""COMPUTED_VALUE"""),"Guadalajara: Capital de las niñas y los niños")</f>
        <v>Guadalajara: Capital de las niñas y los niños</v>
      </c>
      <c r="E33" s="89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33" s="89" t="str">
        <f ca="1">IFERROR(__xludf.DUMMYFUNCTION("""COMPUTED_VALUE"""),"A3C2. Apoyos asistenciales entregados a madres en etapa adolescente")</f>
        <v>A3C2. Apoyos asistenciales entregados a madres en etapa adolescente</v>
      </c>
      <c r="G33" s="89" t="str">
        <f ca="1">IFERROR(__xludf.DUMMYFUNCTION("""COMPUTED_VALUE"""),"Apoyos asistenciales entregados a madres adolescentes, en 2023")</f>
        <v>Apoyos asistenciales entregados a madres adolescentes, en 2023</v>
      </c>
      <c r="H33" s="89" t="str">
        <f ca="1">IFERROR(__xludf.DUMMYFUNCTION("""COMPUTED_VALUE"""),"AMH FEBRERO")</f>
        <v>AMH FEBRERO</v>
      </c>
      <c r="I33" s="89" t="str">
        <f ca="1">IFERROR(__xludf.DUMMYFUNCTION("""COMPUTED_VALUE"""),"Febrero")</f>
        <v>Febrero</v>
      </c>
      <c r="J33" s="89" t="str">
        <f ca="1">IFERROR(__xludf.DUMMYFUNCTION("""COMPUTED_VALUE"""),"AMH")</f>
        <v>AMH</v>
      </c>
      <c r="K33" s="92"/>
      <c r="L33" s="89" t="str">
        <f ca="1">IFERROR(__xludf.DUMMYFUNCTION("""COMPUTED_VALUE"""),"TRIMESTRE 1")</f>
        <v>TRIMESTRE 1</v>
      </c>
      <c r="M33" s="89" t="str">
        <f ca="1">IFERROR(__xludf.DUMMYFUNCTION("""COMPUTED_VALUE"""),"ADULTO MAYOR HOMBRE")</f>
        <v>ADULTO MAYOR HOMBRE</v>
      </c>
    </row>
    <row r="34" spans="1:13">
      <c r="A34" s="89" t="str">
        <f ca="1">IFERROR(__xludf.DUMMYFUNCTION("""COMPUTED_VALUE"""),"4.1.2.2")</f>
        <v>4.1.2.2</v>
      </c>
      <c r="B34" s="89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34" s="89" t="str">
        <f ca="1">IFERROR(__xludf.DUMMYFUNCTION("""COMPUTED_VALUE"""),"4. Programas")</f>
        <v>4. Programas</v>
      </c>
      <c r="D34" s="89" t="str">
        <f ca="1">IFERROR(__xludf.DUMMYFUNCTION("""COMPUTED_VALUE"""),"Guadalajara: Capital de las niñas y los niños")</f>
        <v>Guadalajara: Capital de las niñas y los niños</v>
      </c>
      <c r="E34" s="89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34" s="89" t="str">
        <f ca="1">IFERROR(__xludf.DUMMYFUNCTION("""COMPUTED_VALUE"""),"A2C2. Raciones alimentarias entregadas a NNA y sus cuidadores")</f>
        <v>A2C2. Raciones alimentarias entregadas a NNA y sus cuidadores</v>
      </c>
      <c r="G34" s="89" t="str">
        <f ca="1">IFERROR(__xludf.DUMMYFUNCTION("""COMPUTED_VALUE"""),"Porcentaje de raciones entregadas a NNA y sus cuidadores, en 2023")</f>
        <v>Porcentaje de raciones entregadas a NNA y sus cuidadores, en 2023</v>
      </c>
      <c r="H34" s="89" t="str">
        <f ca="1">IFERROR(__xludf.DUMMYFUNCTION("""COMPUTED_VALUE"""),"NAS Marzo")</f>
        <v>NAS Marzo</v>
      </c>
      <c r="I34" s="89" t="str">
        <f ca="1">IFERROR(__xludf.DUMMYFUNCTION("""COMPUTED_VALUE"""),"Marzo")</f>
        <v>Marzo</v>
      </c>
      <c r="J34" s="89" t="str">
        <f ca="1">IFERROR(__xludf.DUMMYFUNCTION("""COMPUTED_VALUE"""),"NAS")</f>
        <v>NAS</v>
      </c>
      <c r="K34" s="92">
        <f ca="1">IFERROR(__xludf.DUMMYFUNCTION("""COMPUTED_VALUE"""),127)</f>
        <v>127</v>
      </c>
      <c r="L34" s="89" t="str">
        <f ca="1">IFERROR(__xludf.DUMMYFUNCTION("""COMPUTED_VALUE"""),"TRIMESTRE 1")</f>
        <v>TRIMESTRE 1</v>
      </c>
      <c r="M34" s="89" t="str">
        <f ca="1">IFERROR(__xludf.DUMMYFUNCTION("""COMPUTED_VALUE"""),"NIÑAS")</f>
        <v>NIÑAS</v>
      </c>
    </row>
    <row r="35" spans="1:13">
      <c r="A35" s="89" t="str">
        <f ca="1">IFERROR(__xludf.DUMMYFUNCTION("""COMPUTED_VALUE"""),"4.1.2.2")</f>
        <v>4.1.2.2</v>
      </c>
      <c r="B35" s="89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35" s="89" t="str">
        <f ca="1">IFERROR(__xludf.DUMMYFUNCTION("""COMPUTED_VALUE"""),"4. Programas")</f>
        <v>4. Programas</v>
      </c>
      <c r="D35" s="89" t="str">
        <f ca="1">IFERROR(__xludf.DUMMYFUNCTION("""COMPUTED_VALUE"""),"Guadalajara: Capital de las niñas y los niños")</f>
        <v>Guadalajara: Capital de las niñas y los niños</v>
      </c>
      <c r="E35" s="89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35" s="89" t="str">
        <f ca="1">IFERROR(__xludf.DUMMYFUNCTION("""COMPUTED_VALUE"""),"A2C2. Raciones alimentarias entregadas a NNA y sus cuidadores")</f>
        <v>A2C2. Raciones alimentarias entregadas a NNA y sus cuidadores</v>
      </c>
      <c r="G35" s="89" t="str">
        <f ca="1">IFERROR(__xludf.DUMMYFUNCTION("""COMPUTED_VALUE"""),"Porcentaje de raciones entregadas a NNA y sus cuidadores, en 2023")</f>
        <v>Porcentaje de raciones entregadas a NNA y sus cuidadores, en 2023</v>
      </c>
      <c r="H35" s="89" t="str">
        <f ca="1">IFERROR(__xludf.DUMMYFUNCTION("""COMPUTED_VALUE"""),"NOS Marzo")</f>
        <v>NOS Marzo</v>
      </c>
      <c r="I35" s="89" t="str">
        <f ca="1">IFERROR(__xludf.DUMMYFUNCTION("""COMPUTED_VALUE"""),"Marzo")</f>
        <v>Marzo</v>
      </c>
      <c r="J35" s="89" t="str">
        <f ca="1">IFERROR(__xludf.DUMMYFUNCTION("""COMPUTED_VALUE"""),"NOS")</f>
        <v>NOS</v>
      </c>
      <c r="K35" s="92">
        <f ca="1">IFERROR(__xludf.DUMMYFUNCTION("""COMPUTED_VALUE"""),143)</f>
        <v>143</v>
      </c>
      <c r="L35" s="89" t="str">
        <f ca="1">IFERROR(__xludf.DUMMYFUNCTION("""COMPUTED_VALUE"""),"TRIMESTRE 1")</f>
        <v>TRIMESTRE 1</v>
      </c>
      <c r="M35" s="89" t="str">
        <f ca="1">IFERROR(__xludf.DUMMYFUNCTION("""COMPUTED_VALUE"""),"NIÑOS")</f>
        <v>NIÑOS</v>
      </c>
    </row>
    <row r="36" spans="1:13">
      <c r="A36" s="89" t="str">
        <f ca="1">IFERROR(__xludf.DUMMYFUNCTION("""COMPUTED_VALUE"""),"4.1.2.2")</f>
        <v>4.1.2.2</v>
      </c>
      <c r="B36" s="89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36" s="89" t="str">
        <f ca="1">IFERROR(__xludf.DUMMYFUNCTION("""COMPUTED_VALUE"""),"4. Programas")</f>
        <v>4. Programas</v>
      </c>
      <c r="D36" s="89" t="str">
        <f ca="1">IFERROR(__xludf.DUMMYFUNCTION("""COMPUTED_VALUE"""),"Guadalajara: Capital de las niñas y los niños")</f>
        <v>Guadalajara: Capital de las niñas y los niños</v>
      </c>
      <c r="E36" s="89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36" s="89" t="str">
        <f ca="1">IFERROR(__xludf.DUMMYFUNCTION("""COMPUTED_VALUE"""),"A2C2. Raciones alimentarias entregadas a NNA y sus cuidadores")</f>
        <v>A2C2. Raciones alimentarias entregadas a NNA y sus cuidadores</v>
      </c>
      <c r="G36" s="89" t="str">
        <f ca="1">IFERROR(__xludf.DUMMYFUNCTION("""COMPUTED_VALUE"""),"Porcentaje de raciones entregadas a NNA y sus cuidadores, en 2023")</f>
        <v>Porcentaje de raciones entregadas a NNA y sus cuidadores, en 2023</v>
      </c>
      <c r="H36" s="89" t="str">
        <f ca="1">IFERROR(__xludf.DUMMYFUNCTION("""COMPUTED_VALUE"""),"AM MARZO")</f>
        <v>AM MARZO</v>
      </c>
      <c r="I36" s="89" t="str">
        <f ca="1">IFERROR(__xludf.DUMMYFUNCTION("""COMPUTED_VALUE"""),"Marzo")</f>
        <v>Marzo</v>
      </c>
      <c r="J36" s="89" t="str">
        <f ca="1">IFERROR(__xludf.DUMMYFUNCTION("""COMPUTED_VALUE"""),"AM")</f>
        <v>AM</v>
      </c>
      <c r="K36" s="92">
        <f ca="1">IFERROR(__xludf.DUMMYFUNCTION("""COMPUTED_VALUE"""),85)</f>
        <v>85</v>
      </c>
      <c r="L36" s="89" t="str">
        <f ca="1">IFERROR(__xludf.DUMMYFUNCTION("""COMPUTED_VALUE"""),"TRIMESTRE 1")</f>
        <v>TRIMESTRE 1</v>
      </c>
      <c r="M36" s="89" t="str">
        <f ca="1">IFERROR(__xludf.DUMMYFUNCTION("""COMPUTED_VALUE"""),"ADOLESCENTES MUJERES")</f>
        <v>ADOLESCENTES MUJERES</v>
      </c>
    </row>
    <row r="37" spans="1:13">
      <c r="A37" s="89" t="str">
        <f ca="1">IFERROR(__xludf.DUMMYFUNCTION("""COMPUTED_VALUE"""),"4.1.2.2")</f>
        <v>4.1.2.2</v>
      </c>
      <c r="B37" s="89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37" s="89" t="str">
        <f ca="1">IFERROR(__xludf.DUMMYFUNCTION("""COMPUTED_VALUE"""),"4. Programas")</f>
        <v>4. Programas</v>
      </c>
      <c r="D37" s="89" t="str">
        <f ca="1">IFERROR(__xludf.DUMMYFUNCTION("""COMPUTED_VALUE"""),"Guadalajara: Capital de las niñas y los niños")</f>
        <v>Guadalajara: Capital de las niñas y los niños</v>
      </c>
      <c r="E37" s="89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37" s="89" t="str">
        <f ca="1">IFERROR(__xludf.DUMMYFUNCTION("""COMPUTED_VALUE"""),"A2C2. Raciones alimentarias entregadas a NNA y sus cuidadores")</f>
        <v>A2C2. Raciones alimentarias entregadas a NNA y sus cuidadores</v>
      </c>
      <c r="G37" s="89" t="str">
        <f ca="1">IFERROR(__xludf.DUMMYFUNCTION("""COMPUTED_VALUE"""),"Porcentaje de raciones entregadas a NNA y sus cuidadores, en 2023")</f>
        <v>Porcentaje de raciones entregadas a NNA y sus cuidadores, en 2023</v>
      </c>
      <c r="H37" s="89" t="str">
        <f ca="1">IFERROR(__xludf.DUMMYFUNCTION("""COMPUTED_VALUE"""),"AH MARZO")</f>
        <v>AH MARZO</v>
      </c>
      <c r="I37" s="89" t="str">
        <f ca="1">IFERROR(__xludf.DUMMYFUNCTION("""COMPUTED_VALUE"""),"Marzo")</f>
        <v>Marzo</v>
      </c>
      <c r="J37" s="89" t="str">
        <f ca="1">IFERROR(__xludf.DUMMYFUNCTION("""COMPUTED_VALUE"""),"AH")</f>
        <v>AH</v>
      </c>
      <c r="K37" s="92">
        <f ca="1">IFERROR(__xludf.DUMMYFUNCTION("""COMPUTED_VALUE"""),29)</f>
        <v>29</v>
      </c>
      <c r="L37" s="89" t="str">
        <f ca="1">IFERROR(__xludf.DUMMYFUNCTION("""COMPUTED_VALUE"""),"TRIMESTRE 1")</f>
        <v>TRIMESTRE 1</v>
      </c>
      <c r="M37" s="89" t="str">
        <f ca="1">IFERROR(__xludf.DUMMYFUNCTION("""COMPUTED_VALUE"""),"ADOLESCENTES HOMBRES")</f>
        <v>ADOLESCENTES HOMBRES</v>
      </c>
    </row>
    <row r="38" spans="1:13">
      <c r="A38" s="89" t="str">
        <f ca="1">IFERROR(__xludf.DUMMYFUNCTION("""COMPUTED_VALUE"""),"4.1.2.2")</f>
        <v>4.1.2.2</v>
      </c>
      <c r="B38" s="89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38" s="89" t="str">
        <f ca="1">IFERROR(__xludf.DUMMYFUNCTION("""COMPUTED_VALUE"""),"4. Programas")</f>
        <v>4. Programas</v>
      </c>
      <c r="D38" s="89" t="str">
        <f ca="1">IFERROR(__xludf.DUMMYFUNCTION("""COMPUTED_VALUE"""),"Guadalajara: Capital de las niñas y los niños")</f>
        <v>Guadalajara: Capital de las niñas y los niños</v>
      </c>
      <c r="E38" s="89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38" s="89" t="str">
        <f ca="1">IFERROR(__xludf.DUMMYFUNCTION("""COMPUTED_VALUE"""),"A2C2. Raciones alimentarias entregadas a NNA y sus cuidadores")</f>
        <v>A2C2. Raciones alimentarias entregadas a NNA y sus cuidadores</v>
      </c>
      <c r="G38" s="89" t="str">
        <f ca="1">IFERROR(__xludf.DUMMYFUNCTION("""COMPUTED_VALUE"""),"Porcentaje de raciones entregadas a NNA y sus cuidadores, en 2023")</f>
        <v>Porcentaje de raciones entregadas a NNA y sus cuidadores, en 2023</v>
      </c>
      <c r="H38" s="89" t="str">
        <f ca="1">IFERROR(__xludf.DUMMYFUNCTION("""COMPUTED_VALUE"""),"MUJ Marzo")</f>
        <v>MUJ Marzo</v>
      </c>
      <c r="I38" s="89" t="str">
        <f ca="1">IFERROR(__xludf.DUMMYFUNCTION("""COMPUTED_VALUE"""),"Marzo")</f>
        <v>Marzo</v>
      </c>
      <c r="J38" s="89" t="str">
        <f ca="1">IFERROR(__xludf.DUMMYFUNCTION("""COMPUTED_VALUE"""),"MUJ")</f>
        <v>MUJ</v>
      </c>
      <c r="K38" s="92">
        <f ca="1">IFERROR(__xludf.DUMMYFUNCTION("""COMPUTED_VALUE"""),36)</f>
        <v>36</v>
      </c>
      <c r="L38" s="89" t="str">
        <f ca="1">IFERROR(__xludf.DUMMYFUNCTION("""COMPUTED_VALUE"""),"TRIMESTRE 1")</f>
        <v>TRIMESTRE 1</v>
      </c>
      <c r="M38" s="89" t="str">
        <f ca="1">IFERROR(__xludf.DUMMYFUNCTION("""COMPUTED_VALUE"""),"MUJERES ADULTAS")</f>
        <v>MUJERES ADULTAS</v>
      </c>
    </row>
    <row r="39" spans="1:13">
      <c r="A39" s="89" t="str">
        <f ca="1">IFERROR(__xludf.DUMMYFUNCTION("""COMPUTED_VALUE"""),"4.1.2.2")</f>
        <v>4.1.2.2</v>
      </c>
      <c r="B39" s="89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39" s="89" t="str">
        <f ca="1">IFERROR(__xludf.DUMMYFUNCTION("""COMPUTED_VALUE"""),"4. Programas")</f>
        <v>4. Programas</v>
      </c>
      <c r="D39" s="89" t="str">
        <f ca="1">IFERROR(__xludf.DUMMYFUNCTION("""COMPUTED_VALUE"""),"Guadalajara: Capital de las niñas y los niños")</f>
        <v>Guadalajara: Capital de las niñas y los niños</v>
      </c>
      <c r="E39" s="89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39" s="89" t="str">
        <f ca="1">IFERROR(__xludf.DUMMYFUNCTION("""COMPUTED_VALUE"""),"A2C2. Raciones alimentarias entregadas a NNA y sus cuidadores")</f>
        <v>A2C2. Raciones alimentarias entregadas a NNA y sus cuidadores</v>
      </c>
      <c r="G39" s="89" t="str">
        <f ca="1">IFERROR(__xludf.DUMMYFUNCTION("""COMPUTED_VALUE"""),"Porcentaje de raciones entregadas a NNA y sus cuidadores, en 2023")</f>
        <v>Porcentaje de raciones entregadas a NNA y sus cuidadores, en 2023</v>
      </c>
      <c r="H39" s="89" t="str">
        <f ca="1">IFERROR(__xludf.DUMMYFUNCTION("""COMPUTED_VALUE"""),"HOM Marzo")</f>
        <v>HOM Marzo</v>
      </c>
      <c r="I39" s="89" t="str">
        <f ca="1">IFERROR(__xludf.DUMMYFUNCTION("""COMPUTED_VALUE"""),"Marzo")</f>
        <v>Marzo</v>
      </c>
      <c r="J39" s="89" t="str">
        <f ca="1">IFERROR(__xludf.DUMMYFUNCTION("""COMPUTED_VALUE"""),"HOM")</f>
        <v>HOM</v>
      </c>
      <c r="K39" s="92">
        <f ca="1">IFERROR(__xludf.DUMMYFUNCTION("""COMPUTED_VALUE"""),10)</f>
        <v>10</v>
      </c>
      <c r="L39" s="89" t="str">
        <f ca="1">IFERROR(__xludf.DUMMYFUNCTION("""COMPUTED_VALUE"""),"TRIMESTRE 1")</f>
        <v>TRIMESTRE 1</v>
      </c>
      <c r="M39" s="89" t="str">
        <f ca="1">IFERROR(__xludf.DUMMYFUNCTION("""COMPUTED_VALUE"""),"HOMBRES ADULTOS")</f>
        <v>HOMBRES ADULTOS</v>
      </c>
    </row>
    <row r="40" spans="1:13">
      <c r="A40" s="89" t="str">
        <f ca="1">IFERROR(__xludf.DUMMYFUNCTION("""COMPUTED_VALUE"""),"4.1.2.2")</f>
        <v>4.1.2.2</v>
      </c>
      <c r="B40" s="89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40" s="89" t="str">
        <f ca="1">IFERROR(__xludf.DUMMYFUNCTION("""COMPUTED_VALUE"""),"4. Programas")</f>
        <v>4. Programas</v>
      </c>
      <c r="D40" s="89" t="str">
        <f ca="1">IFERROR(__xludf.DUMMYFUNCTION("""COMPUTED_VALUE"""),"Guadalajara: Capital de las niñas y los niños")</f>
        <v>Guadalajara: Capital de las niñas y los niños</v>
      </c>
      <c r="E40" s="89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40" s="89" t="str">
        <f ca="1">IFERROR(__xludf.DUMMYFUNCTION("""COMPUTED_VALUE"""),"A2C2. Raciones alimentarias entregadas a NNA y sus cuidadores")</f>
        <v>A2C2. Raciones alimentarias entregadas a NNA y sus cuidadores</v>
      </c>
      <c r="G40" s="89" t="str">
        <f ca="1">IFERROR(__xludf.DUMMYFUNCTION("""COMPUTED_VALUE"""),"Porcentaje de raciones entregadas a NNA y sus cuidadores, en 2023")</f>
        <v>Porcentaje de raciones entregadas a NNA y sus cuidadores, en 2023</v>
      </c>
      <c r="H40" s="89" t="str">
        <f ca="1">IFERROR(__xludf.DUMMYFUNCTION("""COMPUTED_VALUE"""),"AMM Marzo")</f>
        <v>AMM Marzo</v>
      </c>
      <c r="I40" s="89" t="str">
        <f ca="1">IFERROR(__xludf.DUMMYFUNCTION("""COMPUTED_VALUE"""),"Marzo")</f>
        <v>Marzo</v>
      </c>
      <c r="J40" s="89" t="str">
        <f ca="1">IFERROR(__xludf.DUMMYFUNCTION("""COMPUTED_VALUE"""),"AMM")</f>
        <v>AMM</v>
      </c>
      <c r="K40" s="92">
        <f ca="1">IFERROR(__xludf.DUMMYFUNCTION("""COMPUTED_VALUE"""),1)</f>
        <v>1</v>
      </c>
      <c r="L40" s="89" t="str">
        <f ca="1">IFERROR(__xludf.DUMMYFUNCTION("""COMPUTED_VALUE"""),"TRIMESTRE 1")</f>
        <v>TRIMESTRE 1</v>
      </c>
      <c r="M40" s="89" t="str">
        <f ca="1">IFERROR(__xludf.DUMMYFUNCTION("""COMPUTED_VALUE"""),"ADULTA MAYOR MUJER")</f>
        <v>ADULTA MAYOR MUJER</v>
      </c>
    </row>
    <row r="41" spans="1:13">
      <c r="A41" s="89" t="str">
        <f ca="1">IFERROR(__xludf.DUMMYFUNCTION("""COMPUTED_VALUE"""),"4.1.2.2")</f>
        <v>4.1.2.2</v>
      </c>
      <c r="B41" s="89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41" s="89" t="str">
        <f ca="1">IFERROR(__xludf.DUMMYFUNCTION("""COMPUTED_VALUE"""),"4. Programas")</f>
        <v>4. Programas</v>
      </c>
      <c r="D41" s="89" t="str">
        <f ca="1">IFERROR(__xludf.DUMMYFUNCTION("""COMPUTED_VALUE"""),"Guadalajara: Capital de las niñas y los niños")</f>
        <v>Guadalajara: Capital de las niñas y los niños</v>
      </c>
      <c r="E41" s="89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41" s="89" t="str">
        <f ca="1">IFERROR(__xludf.DUMMYFUNCTION("""COMPUTED_VALUE"""),"A2C2. Raciones alimentarias entregadas a NNA y sus cuidadores")</f>
        <v>A2C2. Raciones alimentarias entregadas a NNA y sus cuidadores</v>
      </c>
      <c r="G41" s="89" t="str">
        <f ca="1">IFERROR(__xludf.DUMMYFUNCTION("""COMPUTED_VALUE"""),"Porcentaje de raciones entregadas a NNA y sus cuidadores, en 2023")</f>
        <v>Porcentaje de raciones entregadas a NNA y sus cuidadores, en 2023</v>
      </c>
      <c r="H41" s="89" t="str">
        <f ca="1">IFERROR(__xludf.DUMMYFUNCTION("""COMPUTED_VALUE"""),"AMH Marzo")</f>
        <v>AMH Marzo</v>
      </c>
      <c r="I41" s="89" t="str">
        <f ca="1">IFERROR(__xludf.DUMMYFUNCTION("""COMPUTED_VALUE"""),"Marzo")</f>
        <v>Marzo</v>
      </c>
      <c r="J41" s="89" t="str">
        <f ca="1">IFERROR(__xludf.DUMMYFUNCTION("""COMPUTED_VALUE"""),"AMH")</f>
        <v>AMH</v>
      </c>
      <c r="K41" s="92">
        <f ca="1">IFERROR(__xludf.DUMMYFUNCTION("""COMPUTED_VALUE"""),1)</f>
        <v>1</v>
      </c>
      <c r="L41" s="89" t="str">
        <f ca="1">IFERROR(__xludf.DUMMYFUNCTION("""COMPUTED_VALUE"""),"TRIMESTRE 1")</f>
        <v>TRIMESTRE 1</v>
      </c>
      <c r="M41" s="89" t="str">
        <f ca="1">IFERROR(__xludf.DUMMYFUNCTION("""COMPUTED_VALUE"""),"ADULTO MAYOR HOMBRE")</f>
        <v>ADULTO MAYOR HOMBRE</v>
      </c>
    </row>
    <row r="42" spans="1:13">
      <c r="A42" s="89" t="str">
        <f ca="1">IFERROR(__xludf.DUMMYFUNCTION("""COMPUTED_VALUE"""),"4.1.2.3")</f>
        <v>4.1.2.3</v>
      </c>
      <c r="B42" s="89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42" s="89" t="str">
        <f ca="1">IFERROR(__xludf.DUMMYFUNCTION("""COMPUTED_VALUE"""),"4. Programas")</f>
        <v>4. Programas</v>
      </c>
      <c r="D42" s="89" t="str">
        <f ca="1">IFERROR(__xludf.DUMMYFUNCTION("""COMPUTED_VALUE"""),"Guadalajara: Capital de las niñas y los niños")</f>
        <v>Guadalajara: Capital de las niñas y los niños</v>
      </c>
      <c r="E42" s="89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42" s="89" t="str">
        <f ca="1">IFERROR(__xludf.DUMMYFUNCTION("""COMPUTED_VALUE"""),"A3C2. Apoyos asistenciales entregados a madres en etapa adolescente")</f>
        <v>A3C2. Apoyos asistenciales entregados a madres en etapa adolescente</v>
      </c>
      <c r="G42" s="89" t="str">
        <f ca="1">IFERROR(__xludf.DUMMYFUNCTION("""COMPUTED_VALUE"""),"Apoyos asistenciales entregados a madres adolescentes, en 2023")</f>
        <v>Apoyos asistenciales entregados a madres adolescentes, en 2023</v>
      </c>
      <c r="H42" s="89" t="str">
        <f ca="1">IFERROR(__xludf.DUMMYFUNCTION("""COMPUTED_VALUE"""),"NAS Marzo")</f>
        <v>NAS Marzo</v>
      </c>
      <c r="I42" s="89" t="str">
        <f ca="1">IFERROR(__xludf.DUMMYFUNCTION("""COMPUTED_VALUE"""),"Marzo")</f>
        <v>Marzo</v>
      </c>
      <c r="J42" s="89" t="str">
        <f ca="1">IFERROR(__xludf.DUMMYFUNCTION("""COMPUTED_VALUE"""),"NAS")</f>
        <v>NAS</v>
      </c>
      <c r="K42" s="92"/>
      <c r="L42" s="89" t="str">
        <f ca="1">IFERROR(__xludf.DUMMYFUNCTION("""COMPUTED_VALUE"""),"TRIMESTRE 1")</f>
        <v>TRIMESTRE 1</v>
      </c>
      <c r="M42" s="89" t="str">
        <f ca="1">IFERROR(__xludf.DUMMYFUNCTION("""COMPUTED_VALUE"""),"NIÑAS")</f>
        <v>NIÑAS</v>
      </c>
    </row>
    <row r="43" spans="1:13">
      <c r="A43" s="89" t="str">
        <f ca="1">IFERROR(__xludf.DUMMYFUNCTION("""COMPUTED_VALUE"""),"4.1.2.3")</f>
        <v>4.1.2.3</v>
      </c>
      <c r="B43" s="89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43" s="89" t="str">
        <f ca="1">IFERROR(__xludf.DUMMYFUNCTION("""COMPUTED_VALUE"""),"4. Programas")</f>
        <v>4. Programas</v>
      </c>
      <c r="D43" s="89" t="str">
        <f ca="1">IFERROR(__xludf.DUMMYFUNCTION("""COMPUTED_VALUE"""),"Guadalajara: Capital de las niñas y los niños")</f>
        <v>Guadalajara: Capital de las niñas y los niños</v>
      </c>
      <c r="E43" s="89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43" s="89" t="str">
        <f ca="1">IFERROR(__xludf.DUMMYFUNCTION("""COMPUTED_VALUE"""),"A3C2. Apoyos asistenciales entregados a madres en etapa adolescente")</f>
        <v>A3C2. Apoyos asistenciales entregados a madres en etapa adolescente</v>
      </c>
      <c r="G43" s="89" t="str">
        <f ca="1">IFERROR(__xludf.DUMMYFUNCTION("""COMPUTED_VALUE"""),"Apoyos asistenciales entregados a madres adolescentes, en 2023")</f>
        <v>Apoyos asistenciales entregados a madres adolescentes, en 2023</v>
      </c>
      <c r="H43" s="89" t="str">
        <f ca="1">IFERROR(__xludf.DUMMYFUNCTION("""COMPUTED_VALUE"""),"NOS Marzo")</f>
        <v>NOS Marzo</v>
      </c>
      <c r="I43" s="89" t="str">
        <f ca="1">IFERROR(__xludf.DUMMYFUNCTION("""COMPUTED_VALUE"""),"Marzo")</f>
        <v>Marzo</v>
      </c>
      <c r="J43" s="89" t="str">
        <f ca="1">IFERROR(__xludf.DUMMYFUNCTION("""COMPUTED_VALUE"""),"NOS")</f>
        <v>NOS</v>
      </c>
      <c r="K43" s="92"/>
      <c r="L43" s="89" t="str">
        <f ca="1">IFERROR(__xludf.DUMMYFUNCTION("""COMPUTED_VALUE"""),"TRIMESTRE 1")</f>
        <v>TRIMESTRE 1</v>
      </c>
      <c r="M43" s="89" t="str">
        <f ca="1">IFERROR(__xludf.DUMMYFUNCTION("""COMPUTED_VALUE"""),"NIÑOS")</f>
        <v>NIÑOS</v>
      </c>
    </row>
    <row r="44" spans="1:13">
      <c r="A44" s="89" t="str">
        <f ca="1">IFERROR(__xludf.DUMMYFUNCTION("""COMPUTED_VALUE"""),"4.1.2.3")</f>
        <v>4.1.2.3</v>
      </c>
      <c r="B44" s="89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44" s="89" t="str">
        <f ca="1">IFERROR(__xludf.DUMMYFUNCTION("""COMPUTED_VALUE"""),"4. Programas")</f>
        <v>4. Programas</v>
      </c>
      <c r="D44" s="89" t="str">
        <f ca="1">IFERROR(__xludf.DUMMYFUNCTION("""COMPUTED_VALUE"""),"Guadalajara: Capital de las niñas y los niños")</f>
        <v>Guadalajara: Capital de las niñas y los niños</v>
      </c>
      <c r="E44" s="89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44" s="89" t="str">
        <f ca="1">IFERROR(__xludf.DUMMYFUNCTION("""COMPUTED_VALUE"""),"A3C2. Apoyos asistenciales entregados a madres en etapa adolescente")</f>
        <v>A3C2. Apoyos asistenciales entregados a madres en etapa adolescente</v>
      </c>
      <c r="G44" s="89" t="str">
        <f ca="1">IFERROR(__xludf.DUMMYFUNCTION("""COMPUTED_VALUE"""),"Apoyos asistenciales entregados a madres adolescentes, en 2023")</f>
        <v>Apoyos asistenciales entregados a madres adolescentes, en 2023</v>
      </c>
      <c r="H44" s="89" t="str">
        <f ca="1">IFERROR(__xludf.DUMMYFUNCTION("""COMPUTED_VALUE"""),"AM MARZO")</f>
        <v>AM MARZO</v>
      </c>
      <c r="I44" s="89" t="str">
        <f ca="1">IFERROR(__xludf.DUMMYFUNCTION("""COMPUTED_VALUE"""),"Marzo")</f>
        <v>Marzo</v>
      </c>
      <c r="J44" s="89" t="str">
        <f ca="1">IFERROR(__xludf.DUMMYFUNCTION("""COMPUTED_VALUE"""),"AM")</f>
        <v>AM</v>
      </c>
      <c r="K44" s="92">
        <f ca="1">IFERROR(__xludf.DUMMYFUNCTION("""COMPUTED_VALUE"""),14)</f>
        <v>14</v>
      </c>
      <c r="L44" s="89" t="str">
        <f ca="1">IFERROR(__xludf.DUMMYFUNCTION("""COMPUTED_VALUE"""),"TRIMESTRE 1")</f>
        <v>TRIMESTRE 1</v>
      </c>
      <c r="M44" s="89" t="str">
        <f ca="1">IFERROR(__xludf.DUMMYFUNCTION("""COMPUTED_VALUE"""),"ADOLESCENTES MUJERES")</f>
        <v>ADOLESCENTES MUJERES</v>
      </c>
    </row>
    <row r="45" spans="1:13">
      <c r="A45" s="89" t="str">
        <f ca="1">IFERROR(__xludf.DUMMYFUNCTION("""COMPUTED_VALUE"""),"4.1.2.3")</f>
        <v>4.1.2.3</v>
      </c>
      <c r="B45" s="89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45" s="89" t="str">
        <f ca="1">IFERROR(__xludf.DUMMYFUNCTION("""COMPUTED_VALUE"""),"4. Programas")</f>
        <v>4. Programas</v>
      </c>
      <c r="D45" s="89" t="str">
        <f ca="1">IFERROR(__xludf.DUMMYFUNCTION("""COMPUTED_VALUE"""),"Guadalajara: Capital de las niñas y los niños")</f>
        <v>Guadalajara: Capital de las niñas y los niños</v>
      </c>
      <c r="E45" s="89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45" s="89" t="str">
        <f ca="1">IFERROR(__xludf.DUMMYFUNCTION("""COMPUTED_VALUE"""),"A3C2. Apoyos asistenciales entregados a madres en etapa adolescente")</f>
        <v>A3C2. Apoyos asistenciales entregados a madres en etapa adolescente</v>
      </c>
      <c r="G45" s="89" t="str">
        <f ca="1">IFERROR(__xludf.DUMMYFUNCTION("""COMPUTED_VALUE"""),"Apoyos asistenciales entregados a madres adolescentes, en 2023")</f>
        <v>Apoyos asistenciales entregados a madres adolescentes, en 2023</v>
      </c>
      <c r="H45" s="89" t="str">
        <f ca="1">IFERROR(__xludf.DUMMYFUNCTION("""COMPUTED_VALUE"""),"AH MARZO")</f>
        <v>AH MARZO</v>
      </c>
      <c r="I45" s="89" t="str">
        <f ca="1">IFERROR(__xludf.DUMMYFUNCTION("""COMPUTED_VALUE"""),"Marzo")</f>
        <v>Marzo</v>
      </c>
      <c r="J45" s="89" t="str">
        <f ca="1">IFERROR(__xludf.DUMMYFUNCTION("""COMPUTED_VALUE"""),"AH")</f>
        <v>AH</v>
      </c>
      <c r="K45" s="92"/>
      <c r="L45" s="89" t="str">
        <f ca="1">IFERROR(__xludf.DUMMYFUNCTION("""COMPUTED_VALUE"""),"TRIMESTRE 1")</f>
        <v>TRIMESTRE 1</v>
      </c>
      <c r="M45" s="89" t="str">
        <f ca="1">IFERROR(__xludf.DUMMYFUNCTION("""COMPUTED_VALUE"""),"ADOLESCENTES HOMBRES")</f>
        <v>ADOLESCENTES HOMBRES</v>
      </c>
    </row>
    <row r="46" spans="1:13">
      <c r="A46" s="89" t="str">
        <f ca="1">IFERROR(__xludf.DUMMYFUNCTION("""COMPUTED_VALUE"""),"4.1.2.3")</f>
        <v>4.1.2.3</v>
      </c>
      <c r="B46" s="89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46" s="89" t="str">
        <f ca="1">IFERROR(__xludf.DUMMYFUNCTION("""COMPUTED_VALUE"""),"4. Programas")</f>
        <v>4. Programas</v>
      </c>
      <c r="D46" s="89" t="str">
        <f ca="1">IFERROR(__xludf.DUMMYFUNCTION("""COMPUTED_VALUE"""),"Guadalajara: Capital de las niñas y los niños")</f>
        <v>Guadalajara: Capital de las niñas y los niños</v>
      </c>
      <c r="E46" s="89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46" s="89" t="str">
        <f ca="1">IFERROR(__xludf.DUMMYFUNCTION("""COMPUTED_VALUE"""),"A3C2. Apoyos asistenciales entregados a madres en etapa adolescente")</f>
        <v>A3C2. Apoyos asistenciales entregados a madres en etapa adolescente</v>
      </c>
      <c r="G46" s="89" t="str">
        <f ca="1">IFERROR(__xludf.DUMMYFUNCTION("""COMPUTED_VALUE"""),"Apoyos asistenciales entregados a madres adolescentes, en 2023")</f>
        <v>Apoyos asistenciales entregados a madres adolescentes, en 2023</v>
      </c>
      <c r="H46" s="89" t="str">
        <f ca="1">IFERROR(__xludf.DUMMYFUNCTION("""COMPUTED_VALUE"""),"MUJ Marzo")</f>
        <v>MUJ Marzo</v>
      </c>
      <c r="I46" s="89" t="str">
        <f ca="1">IFERROR(__xludf.DUMMYFUNCTION("""COMPUTED_VALUE"""),"Marzo")</f>
        <v>Marzo</v>
      </c>
      <c r="J46" s="89" t="str">
        <f ca="1">IFERROR(__xludf.DUMMYFUNCTION("""COMPUTED_VALUE"""),"MUJ")</f>
        <v>MUJ</v>
      </c>
      <c r="K46" s="92"/>
      <c r="L46" s="89" t="str">
        <f ca="1">IFERROR(__xludf.DUMMYFUNCTION("""COMPUTED_VALUE"""),"TRIMESTRE 1")</f>
        <v>TRIMESTRE 1</v>
      </c>
      <c r="M46" s="89" t="str">
        <f ca="1">IFERROR(__xludf.DUMMYFUNCTION("""COMPUTED_VALUE"""),"MUJERES ADULTAS")</f>
        <v>MUJERES ADULTAS</v>
      </c>
    </row>
    <row r="47" spans="1:13">
      <c r="A47" s="89" t="str">
        <f ca="1">IFERROR(__xludf.DUMMYFUNCTION("""COMPUTED_VALUE"""),"4.1.2.3")</f>
        <v>4.1.2.3</v>
      </c>
      <c r="B47" s="89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47" s="89" t="str">
        <f ca="1">IFERROR(__xludf.DUMMYFUNCTION("""COMPUTED_VALUE"""),"4. Programas")</f>
        <v>4. Programas</v>
      </c>
      <c r="D47" s="89" t="str">
        <f ca="1">IFERROR(__xludf.DUMMYFUNCTION("""COMPUTED_VALUE"""),"Guadalajara: Capital de las niñas y los niños")</f>
        <v>Guadalajara: Capital de las niñas y los niños</v>
      </c>
      <c r="E47" s="89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47" s="89" t="str">
        <f ca="1">IFERROR(__xludf.DUMMYFUNCTION("""COMPUTED_VALUE"""),"A3C2. Apoyos asistenciales entregados a madres en etapa adolescente")</f>
        <v>A3C2. Apoyos asistenciales entregados a madres en etapa adolescente</v>
      </c>
      <c r="G47" s="89" t="str">
        <f ca="1">IFERROR(__xludf.DUMMYFUNCTION("""COMPUTED_VALUE"""),"Apoyos asistenciales entregados a madres adolescentes, en 2023")</f>
        <v>Apoyos asistenciales entregados a madres adolescentes, en 2023</v>
      </c>
      <c r="H47" s="89" t="str">
        <f ca="1">IFERROR(__xludf.DUMMYFUNCTION("""COMPUTED_VALUE"""),"HOM Marzo")</f>
        <v>HOM Marzo</v>
      </c>
      <c r="I47" s="89" t="str">
        <f ca="1">IFERROR(__xludf.DUMMYFUNCTION("""COMPUTED_VALUE"""),"Marzo")</f>
        <v>Marzo</v>
      </c>
      <c r="J47" s="89" t="str">
        <f ca="1">IFERROR(__xludf.DUMMYFUNCTION("""COMPUTED_VALUE"""),"HOM")</f>
        <v>HOM</v>
      </c>
      <c r="K47" s="92"/>
      <c r="L47" s="89" t="str">
        <f ca="1">IFERROR(__xludf.DUMMYFUNCTION("""COMPUTED_VALUE"""),"TRIMESTRE 1")</f>
        <v>TRIMESTRE 1</v>
      </c>
      <c r="M47" s="89" t="str">
        <f ca="1">IFERROR(__xludf.DUMMYFUNCTION("""COMPUTED_VALUE"""),"HOMBRES ADULTOS")</f>
        <v>HOMBRES ADULTOS</v>
      </c>
    </row>
    <row r="48" spans="1:13">
      <c r="A48" s="89" t="str">
        <f ca="1">IFERROR(__xludf.DUMMYFUNCTION("""COMPUTED_VALUE"""),"4.1.2.3")</f>
        <v>4.1.2.3</v>
      </c>
      <c r="B48" s="89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48" s="89" t="str">
        <f ca="1">IFERROR(__xludf.DUMMYFUNCTION("""COMPUTED_VALUE"""),"4. Programas")</f>
        <v>4. Programas</v>
      </c>
      <c r="D48" s="89" t="str">
        <f ca="1">IFERROR(__xludf.DUMMYFUNCTION("""COMPUTED_VALUE"""),"Guadalajara: Capital de las niñas y los niños")</f>
        <v>Guadalajara: Capital de las niñas y los niños</v>
      </c>
      <c r="E48" s="89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48" s="89" t="str">
        <f ca="1">IFERROR(__xludf.DUMMYFUNCTION("""COMPUTED_VALUE"""),"A3C2. Apoyos asistenciales entregados a madres en etapa adolescente")</f>
        <v>A3C2. Apoyos asistenciales entregados a madres en etapa adolescente</v>
      </c>
      <c r="G48" s="89" t="str">
        <f ca="1">IFERROR(__xludf.DUMMYFUNCTION("""COMPUTED_VALUE"""),"Apoyos asistenciales entregados a madres adolescentes, en 2023")</f>
        <v>Apoyos asistenciales entregados a madres adolescentes, en 2023</v>
      </c>
      <c r="H48" s="89" t="str">
        <f ca="1">IFERROR(__xludf.DUMMYFUNCTION("""COMPUTED_VALUE"""),"AMM Marzo")</f>
        <v>AMM Marzo</v>
      </c>
      <c r="I48" s="89" t="str">
        <f ca="1">IFERROR(__xludf.DUMMYFUNCTION("""COMPUTED_VALUE"""),"Marzo")</f>
        <v>Marzo</v>
      </c>
      <c r="J48" s="89" t="str">
        <f ca="1">IFERROR(__xludf.DUMMYFUNCTION("""COMPUTED_VALUE"""),"AMM")</f>
        <v>AMM</v>
      </c>
      <c r="K48" s="92"/>
      <c r="L48" s="89" t="str">
        <f ca="1">IFERROR(__xludf.DUMMYFUNCTION("""COMPUTED_VALUE"""),"TRIMESTRE 1")</f>
        <v>TRIMESTRE 1</v>
      </c>
      <c r="M48" s="89" t="str">
        <f ca="1">IFERROR(__xludf.DUMMYFUNCTION("""COMPUTED_VALUE"""),"ADULTA MAYOR MUJER")</f>
        <v>ADULTA MAYOR MUJER</v>
      </c>
    </row>
    <row r="49" spans="1:13">
      <c r="A49" s="89" t="str">
        <f ca="1">IFERROR(__xludf.DUMMYFUNCTION("""COMPUTED_VALUE"""),"4.1.2.3")</f>
        <v>4.1.2.3</v>
      </c>
      <c r="B49" s="89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49" s="89" t="str">
        <f ca="1">IFERROR(__xludf.DUMMYFUNCTION("""COMPUTED_VALUE"""),"4. Programas")</f>
        <v>4. Programas</v>
      </c>
      <c r="D49" s="89" t="str">
        <f ca="1">IFERROR(__xludf.DUMMYFUNCTION("""COMPUTED_VALUE"""),"Guadalajara: Capital de las niñas y los niños")</f>
        <v>Guadalajara: Capital de las niñas y los niños</v>
      </c>
      <c r="E49" s="89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49" s="89" t="str">
        <f ca="1">IFERROR(__xludf.DUMMYFUNCTION("""COMPUTED_VALUE"""),"A3C2. Apoyos asistenciales entregados a madres en etapa adolescente")</f>
        <v>A3C2. Apoyos asistenciales entregados a madres en etapa adolescente</v>
      </c>
      <c r="G49" s="89" t="str">
        <f ca="1">IFERROR(__xludf.DUMMYFUNCTION("""COMPUTED_VALUE"""),"Apoyos asistenciales entregados a madres adolescentes, en 2023")</f>
        <v>Apoyos asistenciales entregados a madres adolescentes, en 2023</v>
      </c>
      <c r="H49" s="89" t="str">
        <f ca="1">IFERROR(__xludf.DUMMYFUNCTION("""COMPUTED_VALUE"""),"AMH Marzo")</f>
        <v>AMH Marzo</v>
      </c>
      <c r="I49" s="89" t="str">
        <f ca="1">IFERROR(__xludf.DUMMYFUNCTION("""COMPUTED_VALUE"""),"Marzo")</f>
        <v>Marzo</v>
      </c>
      <c r="J49" s="89" t="str">
        <f ca="1">IFERROR(__xludf.DUMMYFUNCTION("""COMPUTED_VALUE"""),"AMH")</f>
        <v>AMH</v>
      </c>
      <c r="K49" s="92"/>
      <c r="L49" s="89" t="str">
        <f ca="1">IFERROR(__xludf.DUMMYFUNCTION("""COMPUTED_VALUE"""),"TRIMESTRE 1")</f>
        <v>TRIMESTRE 1</v>
      </c>
      <c r="M49" s="89" t="str">
        <f ca="1">IFERROR(__xludf.DUMMYFUNCTION("""COMPUTED_VALUE"""),"ADULTO MAYOR HOMBRE")</f>
        <v>ADULTO MAYOR HOMBRE</v>
      </c>
    </row>
    <row r="50" spans="1:13">
      <c r="A50" s="89" t="str">
        <f ca="1">IFERROR(__xludf.DUMMYFUNCTION("""COMPUTED_VALUE"""),"4.1.2.2")</f>
        <v>4.1.2.2</v>
      </c>
      <c r="B50" s="89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50" s="89" t="str">
        <f ca="1">IFERROR(__xludf.DUMMYFUNCTION("""COMPUTED_VALUE"""),"4. Programas")</f>
        <v>4. Programas</v>
      </c>
      <c r="D50" s="89" t="str">
        <f ca="1">IFERROR(__xludf.DUMMYFUNCTION("""COMPUTED_VALUE"""),"Guadalajara: Capital de las niñas y los niños")</f>
        <v>Guadalajara: Capital de las niñas y los niños</v>
      </c>
      <c r="E50" s="89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50" s="89" t="str">
        <f ca="1">IFERROR(__xludf.DUMMYFUNCTION("""COMPUTED_VALUE"""),"A2C2. Raciones alimentarias entregadas a NNA y sus cuidadores")</f>
        <v>A2C2. Raciones alimentarias entregadas a NNA y sus cuidadores</v>
      </c>
      <c r="G50" s="89" t="str">
        <f ca="1">IFERROR(__xludf.DUMMYFUNCTION("""COMPUTED_VALUE"""),"Porcentaje de raciones entregadas a NNA y sus cuidadores, en 2023")</f>
        <v>Porcentaje de raciones entregadas a NNA y sus cuidadores, en 2023</v>
      </c>
      <c r="H50" s="89" t="str">
        <f ca="1">IFERROR(__xludf.DUMMYFUNCTION("""COMPUTED_VALUE"""),"NAS Abril")</f>
        <v>NAS Abril</v>
      </c>
      <c r="I50" s="89" t="str">
        <f ca="1">IFERROR(__xludf.DUMMYFUNCTION("""COMPUTED_VALUE"""),"Abril")</f>
        <v>Abril</v>
      </c>
      <c r="J50" s="89" t="str">
        <f ca="1">IFERROR(__xludf.DUMMYFUNCTION("""COMPUTED_VALUE"""),"NAS")</f>
        <v>NAS</v>
      </c>
      <c r="K50" s="92">
        <f ca="1">IFERROR(__xludf.DUMMYFUNCTION("""COMPUTED_VALUE"""),75)</f>
        <v>75</v>
      </c>
      <c r="L50" s="89" t="str">
        <f ca="1">IFERROR(__xludf.DUMMYFUNCTION("""COMPUTED_VALUE"""),"TRIMESTRE 2")</f>
        <v>TRIMESTRE 2</v>
      </c>
      <c r="M50" s="89" t="str">
        <f ca="1">IFERROR(__xludf.DUMMYFUNCTION("""COMPUTED_VALUE"""),"NIÑAS")</f>
        <v>NIÑAS</v>
      </c>
    </row>
    <row r="51" spans="1:13">
      <c r="A51" s="89" t="str">
        <f ca="1">IFERROR(__xludf.DUMMYFUNCTION("""COMPUTED_VALUE"""),"4.1.2.2")</f>
        <v>4.1.2.2</v>
      </c>
      <c r="B51" s="89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51" s="89" t="str">
        <f ca="1">IFERROR(__xludf.DUMMYFUNCTION("""COMPUTED_VALUE"""),"4. Programas")</f>
        <v>4. Programas</v>
      </c>
      <c r="D51" s="89" t="str">
        <f ca="1">IFERROR(__xludf.DUMMYFUNCTION("""COMPUTED_VALUE"""),"Guadalajara: Capital de las niñas y los niños")</f>
        <v>Guadalajara: Capital de las niñas y los niños</v>
      </c>
      <c r="E51" s="89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51" s="89" t="str">
        <f ca="1">IFERROR(__xludf.DUMMYFUNCTION("""COMPUTED_VALUE"""),"A2C2. Raciones alimentarias entregadas a NNA y sus cuidadores")</f>
        <v>A2C2. Raciones alimentarias entregadas a NNA y sus cuidadores</v>
      </c>
      <c r="G51" s="89" t="str">
        <f ca="1">IFERROR(__xludf.DUMMYFUNCTION("""COMPUTED_VALUE"""),"Porcentaje de raciones entregadas a NNA y sus cuidadores, en 2023")</f>
        <v>Porcentaje de raciones entregadas a NNA y sus cuidadores, en 2023</v>
      </c>
      <c r="H51" s="89" t="str">
        <f ca="1">IFERROR(__xludf.DUMMYFUNCTION("""COMPUTED_VALUE"""),"NOS Abril")</f>
        <v>NOS Abril</v>
      </c>
      <c r="I51" s="89" t="str">
        <f ca="1">IFERROR(__xludf.DUMMYFUNCTION("""COMPUTED_VALUE"""),"Abril")</f>
        <v>Abril</v>
      </c>
      <c r="J51" s="89" t="str">
        <f ca="1">IFERROR(__xludf.DUMMYFUNCTION("""COMPUTED_VALUE"""),"NOS")</f>
        <v>NOS</v>
      </c>
      <c r="K51" s="92">
        <f ca="1">IFERROR(__xludf.DUMMYFUNCTION("""COMPUTED_VALUE"""),88)</f>
        <v>88</v>
      </c>
      <c r="L51" s="89" t="str">
        <f ca="1">IFERROR(__xludf.DUMMYFUNCTION("""COMPUTED_VALUE"""),"TRIMESTRE 2")</f>
        <v>TRIMESTRE 2</v>
      </c>
      <c r="M51" s="89" t="str">
        <f ca="1">IFERROR(__xludf.DUMMYFUNCTION("""COMPUTED_VALUE"""),"NIÑOS")</f>
        <v>NIÑOS</v>
      </c>
    </row>
    <row r="52" spans="1:13">
      <c r="A52" s="89" t="str">
        <f ca="1">IFERROR(__xludf.DUMMYFUNCTION("""COMPUTED_VALUE"""),"4.1.2.2")</f>
        <v>4.1.2.2</v>
      </c>
      <c r="B52" s="89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52" s="89" t="str">
        <f ca="1">IFERROR(__xludf.DUMMYFUNCTION("""COMPUTED_VALUE"""),"4. Programas")</f>
        <v>4. Programas</v>
      </c>
      <c r="D52" s="89" t="str">
        <f ca="1">IFERROR(__xludf.DUMMYFUNCTION("""COMPUTED_VALUE"""),"Guadalajara: Capital de las niñas y los niños")</f>
        <v>Guadalajara: Capital de las niñas y los niños</v>
      </c>
      <c r="E52" s="89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52" s="89" t="str">
        <f ca="1">IFERROR(__xludf.DUMMYFUNCTION("""COMPUTED_VALUE"""),"A2C2. Raciones alimentarias entregadas a NNA y sus cuidadores")</f>
        <v>A2C2. Raciones alimentarias entregadas a NNA y sus cuidadores</v>
      </c>
      <c r="G52" s="89" t="str">
        <f ca="1">IFERROR(__xludf.DUMMYFUNCTION("""COMPUTED_VALUE"""),"Porcentaje de raciones entregadas a NNA y sus cuidadores, en 2023")</f>
        <v>Porcentaje de raciones entregadas a NNA y sus cuidadores, en 2023</v>
      </c>
      <c r="H52" s="89" t="str">
        <f ca="1">IFERROR(__xludf.DUMMYFUNCTION("""COMPUTED_VALUE"""),"AM ABRIL")</f>
        <v>AM ABRIL</v>
      </c>
      <c r="I52" s="89" t="str">
        <f ca="1">IFERROR(__xludf.DUMMYFUNCTION("""COMPUTED_VALUE"""),"Abril")</f>
        <v>Abril</v>
      </c>
      <c r="J52" s="89" t="str">
        <f ca="1">IFERROR(__xludf.DUMMYFUNCTION("""COMPUTED_VALUE"""),"AM")</f>
        <v>AM</v>
      </c>
      <c r="K52" s="92">
        <f ca="1">IFERROR(__xludf.DUMMYFUNCTION("""COMPUTED_VALUE"""),20)</f>
        <v>20</v>
      </c>
      <c r="L52" s="89" t="str">
        <f ca="1">IFERROR(__xludf.DUMMYFUNCTION("""COMPUTED_VALUE"""),"TRIMESTRE 2")</f>
        <v>TRIMESTRE 2</v>
      </c>
      <c r="M52" s="89" t="str">
        <f ca="1">IFERROR(__xludf.DUMMYFUNCTION("""COMPUTED_VALUE"""),"ADOLESCENTES MUJERES")</f>
        <v>ADOLESCENTES MUJERES</v>
      </c>
    </row>
    <row r="53" spans="1:13">
      <c r="A53" s="89" t="str">
        <f ca="1">IFERROR(__xludf.DUMMYFUNCTION("""COMPUTED_VALUE"""),"4.1.2.2")</f>
        <v>4.1.2.2</v>
      </c>
      <c r="B53" s="89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53" s="89" t="str">
        <f ca="1">IFERROR(__xludf.DUMMYFUNCTION("""COMPUTED_VALUE"""),"4. Programas")</f>
        <v>4. Programas</v>
      </c>
      <c r="D53" s="89" t="str">
        <f ca="1">IFERROR(__xludf.DUMMYFUNCTION("""COMPUTED_VALUE"""),"Guadalajara: Capital de las niñas y los niños")</f>
        <v>Guadalajara: Capital de las niñas y los niños</v>
      </c>
      <c r="E53" s="89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53" s="89" t="str">
        <f ca="1">IFERROR(__xludf.DUMMYFUNCTION("""COMPUTED_VALUE"""),"A2C2. Raciones alimentarias entregadas a NNA y sus cuidadores")</f>
        <v>A2C2. Raciones alimentarias entregadas a NNA y sus cuidadores</v>
      </c>
      <c r="G53" s="89" t="str">
        <f ca="1">IFERROR(__xludf.DUMMYFUNCTION("""COMPUTED_VALUE"""),"Porcentaje de raciones entregadas a NNA y sus cuidadores, en 2023")</f>
        <v>Porcentaje de raciones entregadas a NNA y sus cuidadores, en 2023</v>
      </c>
      <c r="H53" s="89" t="str">
        <f ca="1">IFERROR(__xludf.DUMMYFUNCTION("""COMPUTED_VALUE"""),"AH ABRIL")</f>
        <v>AH ABRIL</v>
      </c>
      <c r="I53" s="89" t="str">
        <f ca="1">IFERROR(__xludf.DUMMYFUNCTION("""COMPUTED_VALUE"""),"Abril")</f>
        <v>Abril</v>
      </c>
      <c r="J53" s="89" t="str">
        <f ca="1">IFERROR(__xludf.DUMMYFUNCTION("""COMPUTED_VALUE"""),"AH")</f>
        <v>AH</v>
      </c>
      <c r="K53" s="92">
        <f ca="1">IFERROR(__xludf.DUMMYFUNCTION("""COMPUTED_VALUE"""),16)</f>
        <v>16</v>
      </c>
      <c r="L53" s="89" t="str">
        <f ca="1">IFERROR(__xludf.DUMMYFUNCTION("""COMPUTED_VALUE"""),"TRIMESTRE 2")</f>
        <v>TRIMESTRE 2</v>
      </c>
      <c r="M53" s="89" t="str">
        <f ca="1">IFERROR(__xludf.DUMMYFUNCTION("""COMPUTED_VALUE"""),"ADOLESCENTES HOMBRES")</f>
        <v>ADOLESCENTES HOMBRES</v>
      </c>
    </row>
    <row r="54" spans="1:13">
      <c r="A54" s="89" t="str">
        <f ca="1">IFERROR(__xludf.DUMMYFUNCTION("""COMPUTED_VALUE"""),"4.1.2.2")</f>
        <v>4.1.2.2</v>
      </c>
      <c r="B54" s="89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54" s="89" t="str">
        <f ca="1">IFERROR(__xludf.DUMMYFUNCTION("""COMPUTED_VALUE"""),"4. Programas")</f>
        <v>4. Programas</v>
      </c>
      <c r="D54" s="89" t="str">
        <f ca="1">IFERROR(__xludf.DUMMYFUNCTION("""COMPUTED_VALUE"""),"Guadalajara: Capital de las niñas y los niños")</f>
        <v>Guadalajara: Capital de las niñas y los niños</v>
      </c>
      <c r="E54" s="89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54" s="89" t="str">
        <f ca="1">IFERROR(__xludf.DUMMYFUNCTION("""COMPUTED_VALUE"""),"A2C2. Raciones alimentarias entregadas a NNA y sus cuidadores")</f>
        <v>A2C2. Raciones alimentarias entregadas a NNA y sus cuidadores</v>
      </c>
      <c r="G54" s="89" t="str">
        <f ca="1">IFERROR(__xludf.DUMMYFUNCTION("""COMPUTED_VALUE"""),"Porcentaje de raciones entregadas a NNA y sus cuidadores, en 2023")</f>
        <v>Porcentaje de raciones entregadas a NNA y sus cuidadores, en 2023</v>
      </c>
      <c r="H54" s="89" t="str">
        <f ca="1">IFERROR(__xludf.DUMMYFUNCTION("""COMPUTED_VALUE"""),"MUJ Abril")</f>
        <v>MUJ Abril</v>
      </c>
      <c r="I54" s="89" t="str">
        <f ca="1">IFERROR(__xludf.DUMMYFUNCTION("""COMPUTED_VALUE"""),"Abril")</f>
        <v>Abril</v>
      </c>
      <c r="J54" s="89" t="str">
        <f ca="1">IFERROR(__xludf.DUMMYFUNCTION("""COMPUTED_VALUE"""),"MUJ")</f>
        <v>MUJ</v>
      </c>
      <c r="K54" s="92">
        <f ca="1">IFERROR(__xludf.DUMMYFUNCTION("""COMPUTED_VALUE"""),7)</f>
        <v>7</v>
      </c>
      <c r="L54" s="89" t="str">
        <f ca="1">IFERROR(__xludf.DUMMYFUNCTION("""COMPUTED_VALUE"""),"TRIMESTRE 2")</f>
        <v>TRIMESTRE 2</v>
      </c>
      <c r="M54" s="89" t="str">
        <f ca="1">IFERROR(__xludf.DUMMYFUNCTION("""COMPUTED_VALUE"""),"MUJERES ADULTAS")</f>
        <v>MUJERES ADULTAS</v>
      </c>
    </row>
    <row r="55" spans="1:13">
      <c r="A55" s="89" t="str">
        <f ca="1">IFERROR(__xludf.DUMMYFUNCTION("""COMPUTED_VALUE"""),"4.1.2.2")</f>
        <v>4.1.2.2</v>
      </c>
      <c r="B55" s="89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55" s="89" t="str">
        <f ca="1">IFERROR(__xludf.DUMMYFUNCTION("""COMPUTED_VALUE"""),"4. Programas")</f>
        <v>4. Programas</v>
      </c>
      <c r="D55" s="89" t="str">
        <f ca="1">IFERROR(__xludf.DUMMYFUNCTION("""COMPUTED_VALUE"""),"Guadalajara: Capital de las niñas y los niños")</f>
        <v>Guadalajara: Capital de las niñas y los niños</v>
      </c>
      <c r="E55" s="89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55" s="89" t="str">
        <f ca="1">IFERROR(__xludf.DUMMYFUNCTION("""COMPUTED_VALUE"""),"A2C2. Raciones alimentarias entregadas a NNA y sus cuidadores")</f>
        <v>A2C2. Raciones alimentarias entregadas a NNA y sus cuidadores</v>
      </c>
      <c r="G55" s="89" t="str">
        <f ca="1">IFERROR(__xludf.DUMMYFUNCTION("""COMPUTED_VALUE"""),"Porcentaje de raciones entregadas a NNA y sus cuidadores, en 2023")</f>
        <v>Porcentaje de raciones entregadas a NNA y sus cuidadores, en 2023</v>
      </c>
      <c r="H55" s="89" t="str">
        <f ca="1">IFERROR(__xludf.DUMMYFUNCTION("""COMPUTED_VALUE"""),"HOM Abril")</f>
        <v>HOM Abril</v>
      </c>
      <c r="I55" s="89" t="str">
        <f ca="1">IFERROR(__xludf.DUMMYFUNCTION("""COMPUTED_VALUE"""),"Abril")</f>
        <v>Abril</v>
      </c>
      <c r="J55" s="89" t="str">
        <f ca="1">IFERROR(__xludf.DUMMYFUNCTION("""COMPUTED_VALUE"""),"HOM")</f>
        <v>HOM</v>
      </c>
      <c r="K55" s="92">
        <f ca="1">IFERROR(__xludf.DUMMYFUNCTION("""COMPUTED_VALUE"""),0)</f>
        <v>0</v>
      </c>
      <c r="L55" s="89" t="str">
        <f ca="1">IFERROR(__xludf.DUMMYFUNCTION("""COMPUTED_VALUE"""),"TRIMESTRE 2")</f>
        <v>TRIMESTRE 2</v>
      </c>
      <c r="M55" s="89" t="str">
        <f ca="1">IFERROR(__xludf.DUMMYFUNCTION("""COMPUTED_VALUE"""),"HOMBRES ADULTOS")</f>
        <v>HOMBRES ADULTOS</v>
      </c>
    </row>
    <row r="56" spans="1:13">
      <c r="A56" s="89" t="str">
        <f ca="1">IFERROR(__xludf.DUMMYFUNCTION("""COMPUTED_VALUE"""),"4.1.2.2")</f>
        <v>4.1.2.2</v>
      </c>
      <c r="B56" s="89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56" s="89" t="str">
        <f ca="1">IFERROR(__xludf.DUMMYFUNCTION("""COMPUTED_VALUE"""),"4. Programas")</f>
        <v>4. Programas</v>
      </c>
      <c r="D56" s="89" t="str">
        <f ca="1">IFERROR(__xludf.DUMMYFUNCTION("""COMPUTED_VALUE"""),"Guadalajara: Capital de las niñas y los niños")</f>
        <v>Guadalajara: Capital de las niñas y los niños</v>
      </c>
      <c r="E56" s="89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56" s="89" t="str">
        <f ca="1">IFERROR(__xludf.DUMMYFUNCTION("""COMPUTED_VALUE"""),"A2C2. Raciones alimentarias entregadas a NNA y sus cuidadores")</f>
        <v>A2C2. Raciones alimentarias entregadas a NNA y sus cuidadores</v>
      </c>
      <c r="G56" s="89" t="str">
        <f ca="1">IFERROR(__xludf.DUMMYFUNCTION("""COMPUTED_VALUE"""),"Porcentaje de raciones entregadas a NNA y sus cuidadores, en 2023")</f>
        <v>Porcentaje de raciones entregadas a NNA y sus cuidadores, en 2023</v>
      </c>
      <c r="H56" s="89" t="str">
        <f ca="1">IFERROR(__xludf.DUMMYFUNCTION("""COMPUTED_VALUE"""),"AMM Abril")</f>
        <v>AMM Abril</v>
      </c>
      <c r="I56" s="89" t="str">
        <f ca="1">IFERROR(__xludf.DUMMYFUNCTION("""COMPUTED_VALUE"""),"Abril")</f>
        <v>Abril</v>
      </c>
      <c r="J56" s="89" t="str">
        <f ca="1">IFERROR(__xludf.DUMMYFUNCTION("""COMPUTED_VALUE"""),"AMM")</f>
        <v>AMM</v>
      </c>
      <c r="K56" s="92">
        <f ca="1">IFERROR(__xludf.DUMMYFUNCTION("""COMPUTED_VALUE"""),0)</f>
        <v>0</v>
      </c>
      <c r="L56" s="89" t="str">
        <f ca="1">IFERROR(__xludf.DUMMYFUNCTION("""COMPUTED_VALUE"""),"TRIMESTRE 2")</f>
        <v>TRIMESTRE 2</v>
      </c>
      <c r="M56" s="89" t="str">
        <f ca="1">IFERROR(__xludf.DUMMYFUNCTION("""COMPUTED_VALUE"""),"ADULTA MAYOR MUJER")</f>
        <v>ADULTA MAYOR MUJER</v>
      </c>
    </row>
    <row r="57" spans="1:13">
      <c r="A57" s="89" t="str">
        <f ca="1">IFERROR(__xludf.DUMMYFUNCTION("""COMPUTED_VALUE"""),"4.1.2.2")</f>
        <v>4.1.2.2</v>
      </c>
      <c r="B57" s="89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57" s="89" t="str">
        <f ca="1">IFERROR(__xludf.DUMMYFUNCTION("""COMPUTED_VALUE"""),"4. Programas")</f>
        <v>4. Programas</v>
      </c>
      <c r="D57" s="89" t="str">
        <f ca="1">IFERROR(__xludf.DUMMYFUNCTION("""COMPUTED_VALUE"""),"Guadalajara: Capital de las niñas y los niños")</f>
        <v>Guadalajara: Capital de las niñas y los niños</v>
      </c>
      <c r="E57" s="89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57" s="89" t="str">
        <f ca="1">IFERROR(__xludf.DUMMYFUNCTION("""COMPUTED_VALUE"""),"A2C2. Raciones alimentarias entregadas a NNA y sus cuidadores")</f>
        <v>A2C2. Raciones alimentarias entregadas a NNA y sus cuidadores</v>
      </c>
      <c r="G57" s="89" t="str">
        <f ca="1">IFERROR(__xludf.DUMMYFUNCTION("""COMPUTED_VALUE"""),"Porcentaje de raciones entregadas a NNA y sus cuidadores, en 2023")</f>
        <v>Porcentaje de raciones entregadas a NNA y sus cuidadores, en 2023</v>
      </c>
      <c r="H57" s="89" t="str">
        <f ca="1">IFERROR(__xludf.DUMMYFUNCTION("""COMPUTED_VALUE"""),"AMH Abril")</f>
        <v>AMH Abril</v>
      </c>
      <c r="I57" s="89" t="str">
        <f ca="1">IFERROR(__xludf.DUMMYFUNCTION("""COMPUTED_VALUE"""),"Abril")</f>
        <v>Abril</v>
      </c>
      <c r="J57" s="89" t="str">
        <f ca="1">IFERROR(__xludf.DUMMYFUNCTION("""COMPUTED_VALUE"""),"AMH")</f>
        <v>AMH</v>
      </c>
      <c r="K57" s="92">
        <f ca="1">IFERROR(__xludf.DUMMYFUNCTION("""COMPUTED_VALUE"""),0)</f>
        <v>0</v>
      </c>
      <c r="L57" s="89" t="str">
        <f ca="1">IFERROR(__xludf.DUMMYFUNCTION("""COMPUTED_VALUE"""),"TRIMESTRE 2")</f>
        <v>TRIMESTRE 2</v>
      </c>
      <c r="M57" s="89" t="str">
        <f ca="1">IFERROR(__xludf.DUMMYFUNCTION("""COMPUTED_VALUE"""),"ADULTO MAYOR HOMBRE")</f>
        <v>ADULTO MAYOR HOMBRE</v>
      </c>
    </row>
    <row r="58" spans="1:13">
      <c r="A58" s="89" t="str">
        <f ca="1">IFERROR(__xludf.DUMMYFUNCTION("""COMPUTED_VALUE"""),"4.1.2.3")</f>
        <v>4.1.2.3</v>
      </c>
      <c r="B58" s="89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58" s="89" t="str">
        <f ca="1">IFERROR(__xludf.DUMMYFUNCTION("""COMPUTED_VALUE"""),"4. Programas")</f>
        <v>4. Programas</v>
      </c>
      <c r="D58" s="89" t="str">
        <f ca="1">IFERROR(__xludf.DUMMYFUNCTION("""COMPUTED_VALUE"""),"Guadalajara: Capital de las niñas y los niños")</f>
        <v>Guadalajara: Capital de las niñas y los niños</v>
      </c>
      <c r="E58" s="89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58" s="89" t="str">
        <f ca="1">IFERROR(__xludf.DUMMYFUNCTION("""COMPUTED_VALUE"""),"A3C2. Apoyos asistenciales entregados a madres en etapa adolescente")</f>
        <v>A3C2. Apoyos asistenciales entregados a madres en etapa adolescente</v>
      </c>
      <c r="G58" s="89" t="str">
        <f ca="1">IFERROR(__xludf.DUMMYFUNCTION("""COMPUTED_VALUE"""),"Apoyos asistenciales entregados a madres adolescentes, en 2023")</f>
        <v>Apoyos asistenciales entregados a madres adolescentes, en 2023</v>
      </c>
      <c r="H58" s="89" t="str">
        <f ca="1">IFERROR(__xludf.DUMMYFUNCTION("""COMPUTED_VALUE"""),"NAS Abril")</f>
        <v>NAS Abril</v>
      </c>
      <c r="I58" s="89" t="str">
        <f ca="1">IFERROR(__xludf.DUMMYFUNCTION("""COMPUTED_VALUE"""),"Abril")</f>
        <v>Abril</v>
      </c>
      <c r="J58" s="89" t="str">
        <f ca="1">IFERROR(__xludf.DUMMYFUNCTION("""COMPUTED_VALUE"""),"NAS")</f>
        <v>NAS</v>
      </c>
      <c r="K58" s="92">
        <f ca="1">IFERROR(__xludf.DUMMYFUNCTION("""COMPUTED_VALUE"""),0)</f>
        <v>0</v>
      </c>
      <c r="L58" s="89" t="str">
        <f ca="1">IFERROR(__xludf.DUMMYFUNCTION("""COMPUTED_VALUE"""),"TRIMESTRE 2")</f>
        <v>TRIMESTRE 2</v>
      </c>
      <c r="M58" s="89" t="str">
        <f ca="1">IFERROR(__xludf.DUMMYFUNCTION("""COMPUTED_VALUE"""),"NIÑAS")</f>
        <v>NIÑAS</v>
      </c>
    </row>
    <row r="59" spans="1:13">
      <c r="A59" s="89" t="str">
        <f ca="1">IFERROR(__xludf.DUMMYFUNCTION("""COMPUTED_VALUE"""),"4.1.2.3")</f>
        <v>4.1.2.3</v>
      </c>
      <c r="B59" s="89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59" s="89" t="str">
        <f ca="1">IFERROR(__xludf.DUMMYFUNCTION("""COMPUTED_VALUE"""),"4. Programas")</f>
        <v>4. Programas</v>
      </c>
      <c r="D59" s="89" t="str">
        <f ca="1">IFERROR(__xludf.DUMMYFUNCTION("""COMPUTED_VALUE"""),"Guadalajara: Capital de las niñas y los niños")</f>
        <v>Guadalajara: Capital de las niñas y los niños</v>
      </c>
      <c r="E59" s="89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59" s="89" t="str">
        <f ca="1">IFERROR(__xludf.DUMMYFUNCTION("""COMPUTED_VALUE"""),"A3C2. Apoyos asistenciales entregados a madres en etapa adolescente")</f>
        <v>A3C2. Apoyos asistenciales entregados a madres en etapa adolescente</v>
      </c>
      <c r="G59" s="89" t="str">
        <f ca="1">IFERROR(__xludf.DUMMYFUNCTION("""COMPUTED_VALUE"""),"Apoyos asistenciales entregados a madres adolescentes, en 2023")</f>
        <v>Apoyos asistenciales entregados a madres adolescentes, en 2023</v>
      </c>
      <c r="H59" s="89" t="str">
        <f ca="1">IFERROR(__xludf.DUMMYFUNCTION("""COMPUTED_VALUE"""),"NOS Abril")</f>
        <v>NOS Abril</v>
      </c>
      <c r="I59" s="89" t="str">
        <f ca="1">IFERROR(__xludf.DUMMYFUNCTION("""COMPUTED_VALUE"""),"Abril")</f>
        <v>Abril</v>
      </c>
      <c r="J59" s="89" t="str">
        <f ca="1">IFERROR(__xludf.DUMMYFUNCTION("""COMPUTED_VALUE"""),"NOS")</f>
        <v>NOS</v>
      </c>
      <c r="K59" s="92">
        <f ca="1">IFERROR(__xludf.DUMMYFUNCTION("""COMPUTED_VALUE"""),0)</f>
        <v>0</v>
      </c>
      <c r="L59" s="89" t="str">
        <f ca="1">IFERROR(__xludf.DUMMYFUNCTION("""COMPUTED_VALUE"""),"TRIMESTRE 2")</f>
        <v>TRIMESTRE 2</v>
      </c>
      <c r="M59" s="89" t="str">
        <f ca="1">IFERROR(__xludf.DUMMYFUNCTION("""COMPUTED_VALUE"""),"NIÑOS")</f>
        <v>NIÑOS</v>
      </c>
    </row>
    <row r="60" spans="1:13">
      <c r="A60" s="89" t="str">
        <f ca="1">IFERROR(__xludf.DUMMYFUNCTION("""COMPUTED_VALUE"""),"4.1.2.3")</f>
        <v>4.1.2.3</v>
      </c>
      <c r="B60" s="89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60" s="89" t="str">
        <f ca="1">IFERROR(__xludf.DUMMYFUNCTION("""COMPUTED_VALUE"""),"4. Programas")</f>
        <v>4. Programas</v>
      </c>
      <c r="D60" s="89" t="str">
        <f ca="1">IFERROR(__xludf.DUMMYFUNCTION("""COMPUTED_VALUE"""),"Guadalajara: Capital de las niñas y los niños")</f>
        <v>Guadalajara: Capital de las niñas y los niños</v>
      </c>
      <c r="E60" s="89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60" s="89" t="str">
        <f ca="1">IFERROR(__xludf.DUMMYFUNCTION("""COMPUTED_VALUE"""),"A3C2. Apoyos asistenciales entregados a madres en etapa adolescente")</f>
        <v>A3C2. Apoyos asistenciales entregados a madres en etapa adolescente</v>
      </c>
      <c r="G60" s="89" t="str">
        <f ca="1">IFERROR(__xludf.DUMMYFUNCTION("""COMPUTED_VALUE"""),"Apoyos asistenciales entregados a madres adolescentes, en 2023")</f>
        <v>Apoyos asistenciales entregados a madres adolescentes, en 2023</v>
      </c>
      <c r="H60" s="89" t="str">
        <f ca="1">IFERROR(__xludf.DUMMYFUNCTION("""COMPUTED_VALUE"""),"AM ABRIL")</f>
        <v>AM ABRIL</v>
      </c>
      <c r="I60" s="89" t="str">
        <f ca="1">IFERROR(__xludf.DUMMYFUNCTION("""COMPUTED_VALUE"""),"Abril")</f>
        <v>Abril</v>
      </c>
      <c r="J60" s="89" t="str">
        <f ca="1">IFERROR(__xludf.DUMMYFUNCTION("""COMPUTED_VALUE"""),"AM")</f>
        <v>AM</v>
      </c>
      <c r="K60" s="92">
        <f ca="1">IFERROR(__xludf.DUMMYFUNCTION("""COMPUTED_VALUE"""),9)</f>
        <v>9</v>
      </c>
      <c r="L60" s="89" t="str">
        <f ca="1">IFERROR(__xludf.DUMMYFUNCTION("""COMPUTED_VALUE"""),"TRIMESTRE 2")</f>
        <v>TRIMESTRE 2</v>
      </c>
      <c r="M60" s="89" t="str">
        <f ca="1">IFERROR(__xludf.DUMMYFUNCTION("""COMPUTED_VALUE"""),"ADOLESCENTES MUJERES")</f>
        <v>ADOLESCENTES MUJERES</v>
      </c>
    </row>
    <row r="61" spans="1:13">
      <c r="A61" s="89" t="str">
        <f ca="1">IFERROR(__xludf.DUMMYFUNCTION("""COMPUTED_VALUE"""),"4.1.2.3")</f>
        <v>4.1.2.3</v>
      </c>
      <c r="B61" s="89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61" s="89" t="str">
        <f ca="1">IFERROR(__xludf.DUMMYFUNCTION("""COMPUTED_VALUE"""),"4. Programas")</f>
        <v>4. Programas</v>
      </c>
      <c r="D61" s="89" t="str">
        <f ca="1">IFERROR(__xludf.DUMMYFUNCTION("""COMPUTED_VALUE"""),"Guadalajara: Capital de las niñas y los niños")</f>
        <v>Guadalajara: Capital de las niñas y los niños</v>
      </c>
      <c r="E61" s="89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61" s="89" t="str">
        <f ca="1">IFERROR(__xludf.DUMMYFUNCTION("""COMPUTED_VALUE"""),"A3C2. Apoyos asistenciales entregados a madres en etapa adolescente")</f>
        <v>A3C2. Apoyos asistenciales entregados a madres en etapa adolescente</v>
      </c>
      <c r="G61" s="89" t="str">
        <f ca="1">IFERROR(__xludf.DUMMYFUNCTION("""COMPUTED_VALUE"""),"Apoyos asistenciales entregados a madres adolescentes, en 2023")</f>
        <v>Apoyos asistenciales entregados a madres adolescentes, en 2023</v>
      </c>
      <c r="H61" s="89" t="str">
        <f ca="1">IFERROR(__xludf.DUMMYFUNCTION("""COMPUTED_VALUE"""),"AH ABRIL")</f>
        <v>AH ABRIL</v>
      </c>
      <c r="I61" s="89" t="str">
        <f ca="1">IFERROR(__xludf.DUMMYFUNCTION("""COMPUTED_VALUE"""),"Abril")</f>
        <v>Abril</v>
      </c>
      <c r="J61" s="89" t="str">
        <f ca="1">IFERROR(__xludf.DUMMYFUNCTION("""COMPUTED_VALUE"""),"AH")</f>
        <v>AH</v>
      </c>
      <c r="K61" s="92">
        <f ca="1">IFERROR(__xludf.DUMMYFUNCTION("""COMPUTED_VALUE"""),0)</f>
        <v>0</v>
      </c>
      <c r="L61" s="89" t="str">
        <f ca="1">IFERROR(__xludf.DUMMYFUNCTION("""COMPUTED_VALUE"""),"TRIMESTRE 2")</f>
        <v>TRIMESTRE 2</v>
      </c>
      <c r="M61" s="89" t="str">
        <f ca="1">IFERROR(__xludf.DUMMYFUNCTION("""COMPUTED_VALUE"""),"ADOLESCENTES HOMBRES")</f>
        <v>ADOLESCENTES HOMBRES</v>
      </c>
    </row>
    <row r="62" spans="1:13">
      <c r="A62" s="89" t="str">
        <f ca="1">IFERROR(__xludf.DUMMYFUNCTION("""COMPUTED_VALUE"""),"4.1.2.3")</f>
        <v>4.1.2.3</v>
      </c>
      <c r="B62" s="89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62" s="89" t="str">
        <f ca="1">IFERROR(__xludf.DUMMYFUNCTION("""COMPUTED_VALUE"""),"4. Programas")</f>
        <v>4. Programas</v>
      </c>
      <c r="D62" s="89" t="str">
        <f ca="1">IFERROR(__xludf.DUMMYFUNCTION("""COMPUTED_VALUE"""),"Guadalajara: Capital de las niñas y los niños")</f>
        <v>Guadalajara: Capital de las niñas y los niños</v>
      </c>
      <c r="E62" s="89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62" s="89" t="str">
        <f ca="1">IFERROR(__xludf.DUMMYFUNCTION("""COMPUTED_VALUE"""),"A3C2. Apoyos asistenciales entregados a madres en etapa adolescente")</f>
        <v>A3C2. Apoyos asistenciales entregados a madres en etapa adolescente</v>
      </c>
      <c r="G62" s="89" t="str">
        <f ca="1">IFERROR(__xludf.DUMMYFUNCTION("""COMPUTED_VALUE"""),"Apoyos asistenciales entregados a madres adolescentes, en 2023")</f>
        <v>Apoyos asistenciales entregados a madres adolescentes, en 2023</v>
      </c>
      <c r="H62" s="89" t="str">
        <f ca="1">IFERROR(__xludf.DUMMYFUNCTION("""COMPUTED_VALUE"""),"MUJ Abril")</f>
        <v>MUJ Abril</v>
      </c>
      <c r="I62" s="89" t="str">
        <f ca="1">IFERROR(__xludf.DUMMYFUNCTION("""COMPUTED_VALUE"""),"Abril")</f>
        <v>Abril</v>
      </c>
      <c r="J62" s="89" t="str">
        <f ca="1">IFERROR(__xludf.DUMMYFUNCTION("""COMPUTED_VALUE"""),"MUJ")</f>
        <v>MUJ</v>
      </c>
      <c r="K62" s="92">
        <f ca="1">IFERROR(__xludf.DUMMYFUNCTION("""COMPUTED_VALUE"""),0)</f>
        <v>0</v>
      </c>
      <c r="L62" s="89" t="str">
        <f ca="1">IFERROR(__xludf.DUMMYFUNCTION("""COMPUTED_VALUE"""),"TRIMESTRE 2")</f>
        <v>TRIMESTRE 2</v>
      </c>
      <c r="M62" s="89" t="str">
        <f ca="1">IFERROR(__xludf.DUMMYFUNCTION("""COMPUTED_VALUE"""),"MUJERES ADULTAS")</f>
        <v>MUJERES ADULTAS</v>
      </c>
    </row>
    <row r="63" spans="1:13">
      <c r="A63" s="89" t="str">
        <f ca="1">IFERROR(__xludf.DUMMYFUNCTION("""COMPUTED_VALUE"""),"4.1.2.3")</f>
        <v>4.1.2.3</v>
      </c>
      <c r="B63" s="89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63" s="89" t="str">
        <f ca="1">IFERROR(__xludf.DUMMYFUNCTION("""COMPUTED_VALUE"""),"4. Programas")</f>
        <v>4. Programas</v>
      </c>
      <c r="D63" s="89" t="str">
        <f ca="1">IFERROR(__xludf.DUMMYFUNCTION("""COMPUTED_VALUE"""),"Guadalajara: Capital de las niñas y los niños")</f>
        <v>Guadalajara: Capital de las niñas y los niños</v>
      </c>
      <c r="E63" s="89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63" s="89" t="str">
        <f ca="1">IFERROR(__xludf.DUMMYFUNCTION("""COMPUTED_VALUE"""),"A3C2. Apoyos asistenciales entregados a madres en etapa adolescente")</f>
        <v>A3C2. Apoyos asistenciales entregados a madres en etapa adolescente</v>
      </c>
      <c r="G63" s="89" t="str">
        <f ca="1">IFERROR(__xludf.DUMMYFUNCTION("""COMPUTED_VALUE"""),"Apoyos asistenciales entregados a madres adolescentes, en 2023")</f>
        <v>Apoyos asistenciales entregados a madres adolescentes, en 2023</v>
      </c>
      <c r="H63" s="89" t="str">
        <f ca="1">IFERROR(__xludf.DUMMYFUNCTION("""COMPUTED_VALUE"""),"HOM Abril")</f>
        <v>HOM Abril</v>
      </c>
      <c r="I63" s="89" t="str">
        <f ca="1">IFERROR(__xludf.DUMMYFUNCTION("""COMPUTED_VALUE"""),"Abril")</f>
        <v>Abril</v>
      </c>
      <c r="J63" s="89" t="str">
        <f ca="1">IFERROR(__xludf.DUMMYFUNCTION("""COMPUTED_VALUE"""),"HOM")</f>
        <v>HOM</v>
      </c>
      <c r="K63" s="92">
        <f ca="1">IFERROR(__xludf.DUMMYFUNCTION("""COMPUTED_VALUE"""),0)</f>
        <v>0</v>
      </c>
      <c r="L63" s="89" t="str">
        <f ca="1">IFERROR(__xludf.DUMMYFUNCTION("""COMPUTED_VALUE"""),"TRIMESTRE 2")</f>
        <v>TRIMESTRE 2</v>
      </c>
      <c r="M63" s="89" t="str">
        <f ca="1">IFERROR(__xludf.DUMMYFUNCTION("""COMPUTED_VALUE"""),"HOMBRES ADULTOS")</f>
        <v>HOMBRES ADULTOS</v>
      </c>
    </row>
    <row r="64" spans="1:13">
      <c r="A64" s="89" t="str">
        <f ca="1">IFERROR(__xludf.DUMMYFUNCTION("""COMPUTED_VALUE"""),"4.1.2.3")</f>
        <v>4.1.2.3</v>
      </c>
      <c r="B64" s="89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64" s="89" t="str">
        <f ca="1">IFERROR(__xludf.DUMMYFUNCTION("""COMPUTED_VALUE"""),"4. Programas")</f>
        <v>4. Programas</v>
      </c>
      <c r="D64" s="89" t="str">
        <f ca="1">IFERROR(__xludf.DUMMYFUNCTION("""COMPUTED_VALUE"""),"Guadalajara: Capital de las niñas y los niños")</f>
        <v>Guadalajara: Capital de las niñas y los niños</v>
      </c>
      <c r="E64" s="89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64" s="89" t="str">
        <f ca="1">IFERROR(__xludf.DUMMYFUNCTION("""COMPUTED_VALUE"""),"A3C2. Apoyos asistenciales entregados a madres en etapa adolescente")</f>
        <v>A3C2. Apoyos asistenciales entregados a madres en etapa adolescente</v>
      </c>
      <c r="G64" s="89" t="str">
        <f ca="1">IFERROR(__xludf.DUMMYFUNCTION("""COMPUTED_VALUE"""),"Apoyos asistenciales entregados a madres adolescentes, en 2023")</f>
        <v>Apoyos asistenciales entregados a madres adolescentes, en 2023</v>
      </c>
      <c r="H64" s="89" t="str">
        <f ca="1">IFERROR(__xludf.DUMMYFUNCTION("""COMPUTED_VALUE"""),"AMM Abril")</f>
        <v>AMM Abril</v>
      </c>
      <c r="I64" s="89" t="str">
        <f ca="1">IFERROR(__xludf.DUMMYFUNCTION("""COMPUTED_VALUE"""),"Abril")</f>
        <v>Abril</v>
      </c>
      <c r="J64" s="89" t="str">
        <f ca="1">IFERROR(__xludf.DUMMYFUNCTION("""COMPUTED_VALUE"""),"AMM")</f>
        <v>AMM</v>
      </c>
      <c r="K64" s="92">
        <f ca="1">IFERROR(__xludf.DUMMYFUNCTION("""COMPUTED_VALUE"""),0)</f>
        <v>0</v>
      </c>
      <c r="L64" s="89" t="str">
        <f ca="1">IFERROR(__xludf.DUMMYFUNCTION("""COMPUTED_VALUE"""),"TRIMESTRE 2")</f>
        <v>TRIMESTRE 2</v>
      </c>
      <c r="M64" s="89" t="str">
        <f ca="1">IFERROR(__xludf.DUMMYFUNCTION("""COMPUTED_VALUE"""),"ADULTA MAYOR MUJER")</f>
        <v>ADULTA MAYOR MUJER</v>
      </c>
    </row>
    <row r="65" spans="1:13">
      <c r="A65" s="89" t="str">
        <f ca="1">IFERROR(__xludf.DUMMYFUNCTION("""COMPUTED_VALUE"""),"4.1.2.3")</f>
        <v>4.1.2.3</v>
      </c>
      <c r="B65" s="89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65" s="89" t="str">
        <f ca="1">IFERROR(__xludf.DUMMYFUNCTION("""COMPUTED_VALUE"""),"4. Programas")</f>
        <v>4. Programas</v>
      </c>
      <c r="D65" s="89" t="str">
        <f ca="1">IFERROR(__xludf.DUMMYFUNCTION("""COMPUTED_VALUE"""),"Guadalajara: Capital de las niñas y los niños")</f>
        <v>Guadalajara: Capital de las niñas y los niños</v>
      </c>
      <c r="E65" s="89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65" s="89" t="str">
        <f ca="1">IFERROR(__xludf.DUMMYFUNCTION("""COMPUTED_VALUE"""),"A3C2. Apoyos asistenciales entregados a madres en etapa adolescente")</f>
        <v>A3C2. Apoyos asistenciales entregados a madres en etapa adolescente</v>
      </c>
      <c r="G65" s="89" t="str">
        <f ca="1">IFERROR(__xludf.DUMMYFUNCTION("""COMPUTED_VALUE"""),"Apoyos asistenciales entregados a madres adolescentes, en 2023")</f>
        <v>Apoyos asistenciales entregados a madres adolescentes, en 2023</v>
      </c>
      <c r="H65" s="89" t="str">
        <f ca="1">IFERROR(__xludf.DUMMYFUNCTION("""COMPUTED_VALUE"""),"AMH Abril")</f>
        <v>AMH Abril</v>
      </c>
      <c r="I65" s="89" t="str">
        <f ca="1">IFERROR(__xludf.DUMMYFUNCTION("""COMPUTED_VALUE"""),"Abril")</f>
        <v>Abril</v>
      </c>
      <c r="J65" s="89" t="str">
        <f ca="1">IFERROR(__xludf.DUMMYFUNCTION("""COMPUTED_VALUE"""),"AMH")</f>
        <v>AMH</v>
      </c>
      <c r="K65" s="92">
        <f ca="1">IFERROR(__xludf.DUMMYFUNCTION("""COMPUTED_VALUE"""),0)</f>
        <v>0</v>
      </c>
      <c r="L65" s="89" t="str">
        <f ca="1">IFERROR(__xludf.DUMMYFUNCTION("""COMPUTED_VALUE"""),"TRIMESTRE 2")</f>
        <v>TRIMESTRE 2</v>
      </c>
      <c r="M65" s="89" t="str">
        <f ca="1">IFERROR(__xludf.DUMMYFUNCTION("""COMPUTED_VALUE"""),"ADULTO MAYOR HOMBRE")</f>
        <v>ADULTO MAYOR HOMBRE</v>
      </c>
    </row>
    <row r="66" spans="1:13">
      <c r="A66" s="89" t="str">
        <f ca="1">IFERROR(__xludf.DUMMYFUNCTION("""COMPUTED_VALUE"""),"4.1.2.2")</f>
        <v>4.1.2.2</v>
      </c>
      <c r="B66" s="89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66" s="89" t="str">
        <f ca="1">IFERROR(__xludf.DUMMYFUNCTION("""COMPUTED_VALUE"""),"4. Programas")</f>
        <v>4. Programas</v>
      </c>
      <c r="D66" s="89" t="str">
        <f ca="1">IFERROR(__xludf.DUMMYFUNCTION("""COMPUTED_VALUE"""),"Guadalajara: Capital de las niñas y los niños")</f>
        <v>Guadalajara: Capital de las niñas y los niños</v>
      </c>
      <c r="E66" s="89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66" s="89" t="str">
        <f ca="1">IFERROR(__xludf.DUMMYFUNCTION("""COMPUTED_VALUE"""),"A2C2. Raciones alimentarias entregadas a NNA y sus cuidadores")</f>
        <v>A2C2. Raciones alimentarias entregadas a NNA y sus cuidadores</v>
      </c>
      <c r="G66" s="89" t="str">
        <f ca="1">IFERROR(__xludf.DUMMYFUNCTION("""COMPUTED_VALUE"""),"Porcentaje de raciones entregadas a NNA y sus cuidadores, en 2023")</f>
        <v>Porcentaje de raciones entregadas a NNA y sus cuidadores, en 2023</v>
      </c>
      <c r="H66" s="89" t="str">
        <f ca="1">IFERROR(__xludf.DUMMYFUNCTION("""COMPUTED_VALUE"""),"NAS Mayo")</f>
        <v>NAS Mayo</v>
      </c>
      <c r="I66" s="89" t="str">
        <f ca="1">IFERROR(__xludf.DUMMYFUNCTION("""COMPUTED_VALUE"""),"Mayo")</f>
        <v>Mayo</v>
      </c>
      <c r="J66" s="89" t="str">
        <f ca="1">IFERROR(__xludf.DUMMYFUNCTION("""COMPUTED_VALUE"""),"NAS")</f>
        <v>NAS</v>
      </c>
      <c r="K66" s="92">
        <f ca="1">IFERROR(__xludf.DUMMYFUNCTION("""COMPUTED_VALUE"""),129)</f>
        <v>129</v>
      </c>
      <c r="L66" s="89" t="str">
        <f ca="1">IFERROR(__xludf.DUMMYFUNCTION("""COMPUTED_VALUE"""),"TRIMESTRE 2")</f>
        <v>TRIMESTRE 2</v>
      </c>
      <c r="M66" s="89" t="str">
        <f ca="1">IFERROR(__xludf.DUMMYFUNCTION("""COMPUTED_VALUE"""),"NIÑAS")</f>
        <v>NIÑAS</v>
      </c>
    </row>
    <row r="67" spans="1:13">
      <c r="A67" s="89" t="str">
        <f ca="1">IFERROR(__xludf.DUMMYFUNCTION("""COMPUTED_VALUE"""),"4.1.2.2")</f>
        <v>4.1.2.2</v>
      </c>
      <c r="B67" s="89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67" s="89" t="str">
        <f ca="1">IFERROR(__xludf.DUMMYFUNCTION("""COMPUTED_VALUE"""),"4. Programas")</f>
        <v>4. Programas</v>
      </c>
      <c r="D67" s="89" t="str">
        <f ca="1">IFERROR(__xludf.DUMMYFUNCTION("""COMPUTED_VALUE"""),"Guadalajara: Capital de las niñas y los niños")</f>
        <v>Guadalajara: Capital de las niñas y los niños</v>
      </c>
      <c r="E67" s="89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67" s="89" t="str">
        <f ca="1">IFERROR(__xludf.DUMMYFUNCTION("""COMPUTED_VALUE"""),"A2C2. Raciones alimentarias entregadas a NNA y sus cuidadores")</f>
        <v>A2C2. Raciones alimentarias entregadas a NNA y sus cuidadores</v>
      </c>
      <c r="G67" s="89" t="str">
        <f ca="1">IFERROR(__xludf.DUMMYFUNCTION("""COMPUTED_VALUE"""),"Porcentaje de raciones entregadas a NNA y sus cuidadores, en 2023")</f>
        <v>Porcentaje de raciones entregadas a NNA y sus cuidadores, en 2023</v>
      </c>
      <c r="H67" s="89" t="str">
        <f ca="1">IFERROR(__xludf.DUMMYFUNCTION("""COMPUTED_VALUE"""),"NOS Mayo")</f>
        <v>NOS Mayo</v>
      </c>
      <c r="I67" s="89" t="str">
        <f ca="1">IFERROR(__xludf.DUMMYFUNCTION("""COMPUTED_VALUE"""),"Mayo")</f>
        <v>Mayo</v>
      </c>
      <c r="J67" s="89" t="str">
        <f ca="1">IFERROR(__xludf.DUMMYFUNCTION("""COMPUTED_VALUE"""),"NOS")</f>
        <v>NOS</v>
      </c>
      <c r="K67" s="92">
        <f ca="1">IFERROR(__xludf.DUMMYFUNCTION("""COMPUTED_VALUE"""),129)</f>
        <v>129</v>
      </c>
      <c r="L67" s="89" t="str">
        <f ca="1">IFERROR(__xludf.DUMMYFUNCTION("""COMPUTED_VALUE"""),"TRIMESTRE 2")</f>
        <v>TRIMESTRE 2</v>
      </c>
      <c r="M67" s="89" t="str">
        <f ca="1">IFERROR(__xludf.DUMMYFUNCTION("""COMPUTED_VALUE"""),"NIÑOS")</f>
        <v>NIÑOS</v>
      </c>
    </row>
    <row r="68" spans="1:13">
      <c r="A68" s="89" t="str">
        <f ca="1">IFERROR(__xludf.DUMMYFUNCTION("""COMPUTED_VALUE"""),"4.1.2.2")</f>
        <v>4.1.2.2</v>
      </c>
      <c r="B68" s="89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68" s="89" t="str">
        <f ca="1">IFERROR(__xludf.DUMMYFUNCTION("""COMPUTED_VALUE"""),"4. Programas")</f>
        <v>4. Programas</v>
      </c>
      <c r="D68" s="89" t="str">
        <f ca="1">IFERROR(__xludf.DUMMYFUNCTION("""COMPUTED_VALUE"""),"Guadalajara: Capital de las niñas y los niños")</f>
        <v>Guadalajara: Capital de las niñas y los niños</v>
      </c>
      <c r="E68" s="89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68" s="89" t="str">
        <f ca="1">IFERROR(__xludf.DUMMYFUNCTION("""COMPUTED_VALUE"""),"A2C2. Raciones alimentarias entregadas a NNA y sus cuidadores")</f>
        <v>A2C2. Raciones alimentarias entregadas a NNA y sus cuidadores</v>
      </c>
      <c r="G68" s="89" t="str">
        <f ca="1">IFERROR(__xludf.DUMMYFUNCTION("""COMPUTED_VALUE"""),"Porcentaje de raciones entregadas a NNA y sus cuidadores, en 2023")</f>
        <v>Porcentaje de raciones entregadas a NNA y sus cuidadores, en 2023</v>
      </c>
      <c r="H68" s="89" t="str">
        <f ca="1">IFERROR(__xludf.DUMMYFUNCTION("""COMPUTED_VALUE"""),"AM MAYO")</f>
        <v>AM MAYO</v>
      </c>
      <c r="I68" s="89" t="str">
        <f ca="1">IFERROR(__xludf.DUMMYFUNCTION("""COMPUTED_VALUE"""),"Mayo")</f>
        <v>Mayo</v>
      </c>
      <c r="J68" s="89" t="str">
        <f ca="1">IFERROR(__xludf.DUMMYFUNCTION("""COMPUTED_VALUE"""),"AM")</f>
        <v>AM</v>
      </c>
      <c r="K68" s="92">
        <f ca="1">IFERROR(__xludf.DUMMYFUNCTION("""COMPUTED_VALUE"""),82)</f>
        <v>82</v>
      </c>
      <c r="L68" s="89" t="str">
        <f ca="1">IFERROR(__xludf.DUMMYFUNCTION("""COMPUTED_VALUE"""),"TRIMESTRE 2")</f>
        <v>TRIMESTRE 2</v>
      </c>
      <c r="M68" s="89" t="str">
        <f ca="1">IFERROR(__xludf.DUMMYFUNCTION("""COMPUTED_VALUE"""),"ADOLESCENTES MUJERES")</f>
        <v>ADOLESCENTES MUJERES</v>
      </c>
    </row>
    <row r="69" spans="1:13">
      <c r="A69" s="89" t="str">
        <f ca="1">IFERROR(__xludf.DUMMYFUNCTION("""COMPUTED_VALUE"""),"4.1.2.2")</f>
        <v>4.1.2.2</v>
      </c>
      <c r="B69" s="89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69" s="89" t="str">
        <f ca="1">IFERROR(__xludf.DUMMYFUNCTION("""COMPUTED_VALUE"""),"4. Programas")</f>
        <v>4. Programas</v>
      </c>
      <c r="D69" s="89" t="str">
        <f ca="1">IFERROR(__xludf.DUMMYFUNCTION("""COMPUTED_VALUE"""),"Guadalajara: Capital de las niñas y los niños")</f>
        <v>Guadalajara: Capital de las niñas y los niños</v>
      </c>
      <c r="E69" s="89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69" s="89" t="str">
        <f ca="1">IFERROR(__xludf.DUMMYFUNCTION("""COMPUTED_VALUE"""),"A2C2. Raciones alimentarias entregadas a NNA y sus cuidadores")</f>
        <v>A2C2. Raciones alimentarias entregadas a NNA y sus cuidadores</v>
      </c>
      <c r="G69" s="89" t="str">
        <f ca="1">IFERROR(__xludf.DUMMYFUNCTION("""COMPUTED_VALUE"""),"Porcentaje de raciones entregadas a NNA y sus cuidadores, en 2023")</f>
        <v>Porcentaje de raciones entregadas a NNA y sus cuidadores, en 2023</v>
      </c>
      <c r="H69" s="89" t="str">
        <f ca="1">IFERROR(__xludf.DUMMYFUNCTION("""COMPUTED_VALUE"""),"AH MAYO")</f>
        <v>AH MAYO</v>
      </c>
      <c r="I69" s="89" t="str">
        <f ca="1">IFERROR(__xludf.DUMMYFUNCTION("""COMPUTED_VALUE"""),"Mayo")</f>
        <v>Mayo</v>
      </c>
      <c r="J69" s="89" t="str">
        <f ca="1">IFERROR(__xludf.DUMMYFUNCTION("""COMPUTED_VALUE"""),"AH")</f>
        <v>AH</v>
      </c>
      <c r="K69" s="92">
        <f ca="1">IFERROR(__xludf.DUMMYFUNCTION("""COMPUTED_VALUE"""),98)</f>
        <v>98</v>
      </c>
      <c r="L69" s="89" t="str">
        <f ca="1">IFERROR(__xludf.DUMMYFUNCTION("""COMPUTED_VALUE"""),"TRIMESTRE 2")</f>
        <v>TRIMESTRE 2</v>
      </c>
      <c r="M69" s="89" t="str">
        <f ca="1">IFERROR(__xludf.DUMMYFUNCTION("""COMPUTED_VALUE"""),"ADOLESCENTES HOMBRES")</f>
        <v>ADOLESCENTES HOMBRES</v>
      </c>
    </row>
    <row r="70" spans="1:13">
      <c r="A70" s="89" t="str">
        <f ca="1">IFERROR(__xludf.DUMMYFUNCTION("""COMPUTED_VALUE"""),"4.1.2.2")</f>
        <v>4.1.2.2</v>
      </c>
      <c r="B70" s="89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70" s="89" t="str">
        <f ca="1">IFERROR(__xludf.DUMMYFUNCTION("""COMPUTED_VALUE"""),"4. Programas")</f>
        <v>4. Programas</v>
      </c>
      <c r="D70" s="89" t="str">
        <f ca="1">IFERROR(__xludf.DUMMYFUNCTION("""COMPUTED_VALUE"""),"Guadalajara: Capital de las niñas y los niños")</f>
        <v>Guadalajara: Capital de las niñas y los niños</v>
      </c>
      <c r="E70" s="89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70" s="89" t="str">
        <f ca="1">IFERROR(__xludf.DUMMYFUNCTION("""COMPUTED_VALUE"""),"A2C2. Raciones alimentarias entregadas a NNA y sus cuidadores")</f>
        <v>A2C2. Raciones alimentarias entregadas a NNA y sus cuidadores</v>
      </c>
      <c r="G70" s="89" t="str">
        <f ca="1">IFERROR(__xludf.DUMMYFUNCTION("""COMPUTED_VALUE"""),"Porcentaje de raciones entregadas a NNA y sus cuidadores, en 2023")</f>
        <v>Porcentaje de raciones entregadas a NNA y sus cuidadores, en 2023</v>
      </c>
      <c r="H70" s="89" t="str">
        <f ca="1">IFERROR(__xludf.DUMMYFUNCTION("""COMPUTED_VALUE"""),"MUJ Mayo")</f>
        <v>MUJ Mayo</v>
      </c>
      <c r="I70" s="89" t="str">
        <f ca="1">IFERROR(__xludf.DUMMYFUNCTION("""COMPUTED_VALUE"""),"Mayo")</f>
        <v>Mayo</v>
      </c>
      <c r="J70" s="89" t="str">
        <f ca="1">IFERROR(__xludf.DUMMYFUNCTION("""COMPUTED_VALUE"""),"MUJ")</f>
        <v>MUJ</v>
      </c>
      <c r="K70" s="92">
        <f ca="1">IFERROR(__xludf.DUMMYFUNCTION("""COMPUTED_VALUE"""),71)</f>
        <v>71</v>
      </c>
      <c r="L70" s="89" t="str">
        <f ca="1">IFERROR(__xludf.DUMMYFUNCTION("""COMPUTED_VALUE"""),"TRIMESTRE 2")</f>
        <v>TRIMESTRE 2</v>
      </c>
      <c r="M70" s="89" t="str">
        <f ca="1">IFERROR(__xludf.DUMMYFUNCTION("""COMPUTED_VALUE"""),"MUJERES ADULTAS")</f>
        <v>MUJERES ADULTAS</v>
      </c>
    </row>
    <row r="71" spans="1:13">
      <c r="A71" s="89" t="str">
        <f ca="1">IFERROR(__xludf.DUMMYFUNCTION("""COMPUTED_VALUE"""),"4.1.2.2")</f>
        <v>4.1.2.2</v>
      </c>
      <c r="B71" s="89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71" s="89" t="str">
        <f ca="1">IFERROR(__xludf.DUMMYFUNCTION("""COMPUTED_VALUE"""),"4. Programas")</f>
        <v>4. Programas</v>
      </c>
      <c r="D71" s="89" t="str">
        <f ca="1">IFERROR(__xludf.DUMMYFUNCTION("""COMPUTED_VALUE"""),"Guadalajara: Capital de las niñas y los niños")</f>
        <v>Guadalajara: Capital de las niñas y los niños</v>
      </c>
      <c r="E71" s="89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71" s="89" t="str">
        <f ca="1">IFERROR(__xludf.DUMMYFUNCTION("""COMPUTED_VALUE"""),"A2C2. Raciones alimentarias entregadas a NNA y sus cuidadores")</f>
        <v>A2C2. Raciones alimentarias entregadas a NNA y sus cuidadores</v>
      </c>
      <c r="G71" s="89" t="str">
        <f ca="1">IFERROR(__xludf.DUMMYFUNCTION("""COMPUTED_VALUE"""),"Porcentaje de raciones entregadas a NNA y sus cuidadores, en 2023")</f>
        <v>Porcentaje de raciones entregadas a NNA y sus cuidadores, en 2023</v>
      </c>
      <c r="H71" s="89" t="str">
        <f ca="1">IFERROR(__xludf.DUMMYFUNCTION("""COMPUTED_VALUE"""),"HOM Mayo")</f>
        <v>HOM Mayo</v>
      </c>
      <c r="I71" s="89" t="str">
        <f ca="1">IFERROR(__xludf.DUMMYFUNCTION("""COMPUTED_VALUE"""),"Mayo")</f>
        <v>Mayo</v>
      </c>
      <c r="J71" s="89" t="str">
        <f ca="1">IFERROR(__xludf.DUMMYFUNCTION("""COMPUTED_VALUE"""),"HOM")</f>
        <v>HOM</v>
      </c>
      <c r="K71" s="92">
        <f ca="1">IFERROR(__xludf.DUMMYFUNCTION("""COMPUTED_VALUE"""),45)</f>
        <v>45</v>
      </c>
      <c r="L71" s="89" t="str">
        <f ca="1">IFERROR(__xludf.DUMMYFUNCTION("""COMPUTED_VALUE"""),"TRIMESTRE 2")</f>
        <v>TRIMESTRE 2</v>
      </c>
      <c r="M71" s="89" t="str">
        <f ca="1">IFERROR(__xludf.DUMMYFUNCTION("""COMPUTED_VALUE"""),"HOMBRES ADULTOS")</f>
        <v>HOMBRES ADULTOS</v>
      </c>
    </row>
    <row r="72" spans="1:13">
      <c r="A72" s="89" t="str">
        <f ca="1">IFERROR(__xludf.DUMMYFUNCTION("""COMPUTED_VALUE"""),"4.1.2.2")</f>
        <v>4.1.2.2</v>
      </c>
      <c r="B72" s="89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72" s="89" t="str">
        <f ca="1">IFERROR(__xludf.DUMMYFUNCTION("""COMPUTED_VALUE"""),"4. Programas")</f>
        <v>4. Programas</v>
      </c>
      <c r="D72" s="89" t="str">
        <f ca="1">IFERROR(__xludf.DUMMYFUNCTION("""COMPUTED_VALUE"""),"Guadalajara: Capital de las niñas y los niños")</f>
        <v>Guadalajara: Capital de las niñas y los niños</v>
      </c>
      <c r="E72" s="89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72" s="89" t="str">
        <f ca="1">IFERROR(__xludf.DUMMYFUNCTION("""COMPUTED_VALUE"""),"A2C2. Raciones alimentarias entregadas a NNA y sus cuidadores")</f>
        <v>A2C2. Raciones alimentarias entregadas a NNA y sus cuidadores</v>
      </c>
      <c r="G72" s="89" t="str">
        <f ca="1">IFERROR(__xludf.DUMMYFUNCTION("""COMPUTED_VALUE"""),"Porcentaje de raciones entregadas a NNA y sus cuidadores, en 2023")</f>
        <v>Porcentaje de raciones entregadas a NNA y sus cuidadores, en 2023</v>
      </c>
      <c r="H72" s="89" t="str">
        <f ca="1">IFERROR(__xludf.DUMMYFUNCTION("""COMPUTED_VALUE"""),"AMM Mayo")</f>
        <v>AMM Mayo</v>
      </c>
      <c r="I72" s="89" t="str">
        <f ca="1">IFERROR(__xludf.DUMMYFUNCTION("""COMPUTED_VALUE"""),"Mayo")</f>
        <v>Mayo</v>
      </c>
      <c r="J72" s="89" t="str">
        <f ca="1">IFERROR(__xludf.DUMMYFUNCTION("""COMPUTED_VALUE"""),"AMM")</f>
        <v>AMM</v>
      </c>
      <c r="K72" s="92">
        <f ca="1">IFERROR(__xludf.DUMMYFUNCTION("""COMPUTED_VALUE"""),1)</f>
        <v>1</v>
      </c>
      <c r="L72" s="89" t="str">
        <f ca="1">IFERROR(__xludf.DUMMYFUNCTION("""COMPUTED_VALUE"""),"TRIMESTRE 2")</f>
        <v>TRIMESTRE 2</v>
      </c>
      <c r="M72" s="89" t="str">
        <f ca="1">IFERROR(__xludf.DUMMYFUNCTION("""COMPUTED_VALUE"""),"ADULTA MAYOR MUJER")</f>
        <v>ADULTA MAYOR MUJER</v>
      </c>
    </row>
    <row r="73" spans="1:13">
      <c r="A73" s="89" t="str">
        <f ca="1">IFERROR(__xludf.DUMMYFUNCTION("""COMPUTED_VALUE"""),"4.1.2.2")</f>
        <v>4.1.2.2</v>
      </c>
      <c r="B73" s="89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73" s="89" t="str">
        <f ca="1">IFERROR(__xludf.DUMMYFUNCTION("""COMPUTED_VALUE"""),"4. Programas")</f>
        <v>4. Programas</v>
      </c>
      <c r="D73" s="89" t="str">
        <f ca="1">IFERROR(__xludf.DUMMYFUNCTION("""COMPUTED_VALUE"""),"Guadalajara: Capital de las niñas y los niños")</f>
        <v>Guadalajara: Capital de las niñas y los niños</v>
      </c>
      <c r="E73" s="89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73" s="89" t="str">
        <f ca="1">IFERROR(__xludf.DUMMYFUNCTION("""COMPUTED_VALUE"""),"A2C2. Raciones alimentarias entregadas a NNA y sus cuidadores")</f>
        <v>A2C2. Raciones alimentarias entregadas a NNA y sus cuidadores</v>
      </c>
      <c r="G73" s="89" t="str">
        <f ca="1">IFERROR(__xludf.DUMMYFUNCTION("""COMPUTED_VALUE"""),"Porcentaje de raciones entregadas a NNA y sus cuidadores, en 2023")</f>
        <v>Porcentaje de raciones entregadas a NNA y sus cuidadores, en 2023</v>
      </c>
      <c r="H73" s="89" t="str">
        <f ca="1">IFERROR(__xludf.DUMMYFUNCTION("""COMPUTED_VALUE"""),"AMH Mayo")</f>
        <v>AMH Mayo</v>
      </c>
      <c r="I73" s="89" t="str">
        <f ca="1">IFERROR(__xludf.DUMMYFUNCTION("""COMPUTED_VALUE"""),"Mayo")</f>
        <v>Mayo</v>
      </c>
      <c r="J73" s="89" t="str">
        <f ca="1">IFERROR(__xludf.DUMMYFUNCTION("""COMPUTED_VALUE"""),"AMH")</f>
        <v>AMH</v>
      </c>
      <c r="K73" s="92">
        <f ca="1">IFERROR(__xludf.DUMMYFUNCTION("""COMPUTED_VALUE"""),1)</f>
        <v>1</v>
      </c>
      <c r="L73" s="89" t="str">
        <f ca="1">IFERROR(__xludf.DUMMYFUNCTION("""COMPUTED_VALUE"""),"TRIMESTRE 2")</f>
        <v>TRIMESTRE 2</v>
      </c>
      <c r="M73" s="89" t="str">
        <f ca="1">IFERROR(__xludf.DUMMYFUNCTION("""COMPUTED_VALUE"""),"ADULTO MAYOR HOMBRE")</f>
        <v>ADULTO MAYOR HOMBRE</v>
      </c>
    </row>
    <row r="74" spans="1:13">
      <c r="A74" s="89" t="str">
        <f ca="1">IFERROR(__xludf.DUMMYFUNCTION("""COMPUTED_VALUE"""),"4.1.2.3")</f>
        <v>4.1.2.3</v>
      </c>
      <c r="B74" s="89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74" s="89" t="str">
        <f ca="1">IFERROR(__xludf.DUMMYFUNCTION("""COMPUTED_VALUE"""),"4. Programas")</f>
        <v>4. Programas</v>
      </c>
      <c r="D74" s="89" t="str">
        <f ca="1">IFERROR(__xludf.DUMMYFUNCTION("""COMPUTED_VALUE"""),"Guadalajara: Capital de las niñas y los niños")</f>
        <v>Guadalajara: Capital de las niñas y los niños</v>
      </c>
      <c r="E74" s="89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74" s="89" t="str">
        <f ca="1">IFERROR(__xludf.DUMMYFUNCTION("""COMPUTED_VALUE"""),"A3C2. Apoyos asistenciales entregados a madres en etapa adolescente")</f>
        <v>A3C2. Apoyos asistenciales entregados a madres en etapa adolescente</v>
      </c>
      <c r="G74" s="89" t="str">
        <f ca="1">IFERROR(__xludf.DUMMYFUNCTION("""COMPUTED_VALUE"""),"Apoyos asistenciales entregados a madres adolescentes, en 2023")</f>
        <v>Apoyos asistenciales entregados a madres adolescentes, en 2023</v>
      </c>
      <c r="H74" s="89" t="str">
        <f ca="1">IFERROR(__xludf.DUMMYFUNCTION("""COMPUTED_VALUE"""),"NAS Mayo")</f>
        <v>NAS Mayo</v>
      </c>
      <c r="I74" s="89" t="str">
        <f ca="1">IFERROR(__xludf.DUMMYFUNCTION("""COMPUTED_VALUE"""),"Mayo")</f>
        <v>Mayo</v>
      </c>
      <c r="J74" s="89" t="str">
        <f ca="1">IFERROR(__xludf.DUMMYFUNCTION("""COMPUTED_VALUE"""),"NAS")</f>
        <v>NAS</v>
      </c>
      <c r="K74" s="92">
        <f ca="1">IFERROR(__xludf.DUMMYFUNCTION("""COMPUTED_VALUE"""),0)</f>
        <v>0</v>
      </c>
      <c r="L74" s="89" t="str">
        <f ca="1">IFERROR(__xludf.DUMMYFUNCTION("""COMPUTED_VALUE"""),"TRIMESTRE 2")</f>
        <v>TRIMESTRE 2</v>
      </c>
      <c r="M74" s="89" t="str">
        <f ca="1">IFERROR(__xludf.DUMMYFUNCTION("""COMPUTED_VALUE"""),"NIÑAS")</f>
        <v>NIÑAS</v>
      </c>
    </row>
    <row r="75" spans="1:13">
      <c r="A75" s="89" t="str">
        <f ca="1">IFERROR(__xludf.DUMMYFUNCTION("""COMPUTED_VALUE"""),"4.1.2.3")</f>
        <v>4.1.2.3</v>
      </c>
      <c r="B75" s="89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75" s="89" t="str">
        <f ca="1">IFERROR(__xludf.DUMMYFUNCTION("""COMPUTED_VALUE"""),"4. Programas")</f>
        <v>4. Programas</v>
      </c>
      <c r="D75" s="89" t="str">
        <f ca="1">IFERROR(__xludf.DUMMYFUNCTION("""COMPUTED_VALUE"""),"Guadalajara: Capital de las niñas y los niños")</f>
        <v>Guadalajara: Capital de las niñas y los niños</v>
      </c>
      <c r="E75" s="89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75" s="89" t="str">
        <f ca="1">IFERROR(__xludf.DUMMYFUNCTION("""COMPUTED_VALUE"""),"A3C2. Apoyos asistenciales entregados a madres en etapa adolescente")</f>
        <v>A3C2. Apoyos asistenciales entregados a madres en etapa adolescente</v>
      </c>
      <c r="G75" s="89" t="str">
        <f ca="1">IFERROR(__xludf.DUMMYFUNCTION("""COMPUTED_VALUE"""),"Apoyos asistenciales entregados a madres adolescentes, en 2023")</f>
        <v>Apoyos asistenciales entregados a madres adolescentes, en 2023</v>
      </c>
      <c r="H75" s="89" t="str">
        <f ca="1">IFERROR(__xludf.DUMMYFUNCTION("""COMPUTED_VALUE"""),"NOS Mayo")</f>
        <v>NOS Mayo</v>
      </c>
      <c r="I75" s="89" t="str">
        <f ca="1">IFERROR(__xludf.DUMMYFUNCTION("""COMPUTED_VALUE"""),"Mayo")</f>
        <v>Mayo</v>
      </c>
      <c r="J75" s="89" t="str">
        <f ca="1">IFERROR(__xludf.DUMMYFUNCTION("""COMPUTED_VALUE"""),"NOS")</f>
        <v>NOS</v>
      </c>
      <c r="K75" s="92">
        <f ca="1">IFERROR(__xludf.DUMMYFUNCTION("""COMPUTED_VALUE"""),0)</f>
        <v>0</v>
      </c>
      <c r="L75" s="89" t="str">
        <f ca="1">IFERROR(__xludf.DUMMYFUNCTION("""COMPUTED_VALUE"""),"TRIMESTRE 2")</f>
        <v>TRIMESTRE 2</v>
      </c>
      <c r="M75" s="89" t="str">
        <f ca="1">IFERROR(__xludf.DUMMYFUNCTION("""COMPUTED_VALUE"""),"NIÑOS")</f>
        <v>NIÑOS</v>
      </c>
    </row>
    <row r="76" spans="1:13">
      <c r="A76" s="89" t="str">
        <f ca="1">IFERROR(__xludf.DUMMYFUNCTION("""COMPUTED_VALUE"""),"4.1.2.3")</f>
        <v>4.1.2.3</v>
      </c>
      <c r="B76" s="89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76" s="89" t="str">
        <f ca="1">IFERROR(__xludf.DUMMYFUNCTION("""COMPUTED_VALUE"""),"4. Programas")</f>
        <v>4. Programas</v>
      </c>
      <c r="D76" s="89" t="str">
        <f ca="1">IFERROR(__xludf.DUMMYFUNCTION("""COMPUTED_VALUE"""),"Guadalajara: Capital de las niñas y los niños")</f>
        <v>Guadalajara: Capital de las niñas y los niños</v>
      </c>
      <c r="E76" s="89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76" s="89" t="str">
        <f ca="1">IFERROR(__xludf.DUMMYFUNCTION("""COMPUTED_VALUE"""),"A3C2. Apoyos asistenciales entregados a madres en etapa adolescente")</f>
        <v>A3C2. Apoyos asistenciales entregados a madres en etapa adolescente</v>
      </c>
      <c r="G76" s="89" t="str">
        <f ca="1">IFERROR(__xludf.DUMMYFUNCTION("""COMPUTED_VALUE"""),"Apoyos asistenciales entregados a madres adolescentes, en 2023")</f>
        <v>Apoyos asistenciales entregados a madres adolescentes, en 2023</v>
      </c>
      <c r="H76" s="89" t="str">
        <f ca="1">IFERROR(__xludf.DUMMYFUNCTION("""COMPUTED_VALUE"""),"AM MAYO")</f>
        <v>AM MAYO</v>
      </c>
      <c r="I76" s="89" t="str">
        <f ca="1">IFERROR(__xludf.DUMMYFUNCTION("""COMPUTED_VALUE"""),"Mayo")</f>
        <v>Mayo</v>
      </c>
      <c r="J76" s="89" t="str">
        <f ca="1">IFERROR(__xludf.DUMMYFUNCTION("""COMPUTED_VALUE"""),"AM")</f>
        <v>AM</v>
      </c>
      <c r="K76" s="92">
        <f ca="1">IFERROR(__xludf.DUMMYFUNCTION("""COMPUTED_VALUE"""),9)</f>
        <v>9</v>
      </c>
      <c r="L76" s="89" t="str">
        <f ca="1">IFERROR(__xludf.DUMMYFUNCTION("""COMPUTED_VALUE"""),"TRIMESTRE 2")</f>
        <v>TRIMESTRE 2</v>
      </c>
      <c r="M76" s="89" t="str">
        <f ca="1">IFERROR(__xludf.DUMMYFUNCTION("""COMPUTED_VALUE"""),"ADOLESCENTES MUJERES")</f>
        <v>ADOLESCENTES MUJERES</v>
      </c>
    </row>
    <row r="77" spans="1:13">
      <c r="A77" s="89" t="str">
        <f ca="1">IFERROR(__xludf.DUMMYFUNCTION("""COMPUTED_VALUE"""),"4.1.2.3")</f>
        <v>4.1.2.3</v>
      </c>
      <c r="B77" s="89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77" s="89" t="str">
        <f ca="1">IFERROR(__xludf.DUMMYFUNCTION("""COMPUTED_VALUE"""),"4. Programas")</f>
        <v>4. Programas</v>
      </c>
      <c r="D77" s="89" t="str">
        <f ca="1">IFERROR(__xludf.DUMMYFUNCTION("""COMPUTED_VALUE"""),"Guadalajara: Capital de las niñas y los niños")</f>
        <v>Guadalajara: Capital de las niñas y los niños</v>
      </c>
      <c r="E77" s="89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77" s="89" t="str">
        <f ca="1">IFERROR(__xludf.DUMMYFUNCTION("""COMPUTED_VALUE"""),"A3C2. Apoyos asistenciales entregados a madres en etapa adolescente")</f>
        <v>A3C2. Apoyos asistenciales entregados a madres en etapa adolescente</v>
      </c>
      <c r="G77" s="89" t="str">
        <f ca="1">IFERROR(__xludf.DUMMYFUNCTION("""COMPUTED_VALUE"""),"Apoyos asistenciales entregados a madres adolescentes, en 2023")</f>
        <v>Apoyos asistenciales entregados a madres adolescentes, en 2023</v>
      </c>
      <c r="H77" s="89" t="str">
        <f ca="1">IFERROR(__xludf.DUMMYFUNCTION("""COMPUTED_VALUE"""),"AH MAYO")</f>
        <v>AH MAYO</v>
      </c>
      <c r="I77" s="89" t="str">
        <f ca="1">IFERROR(__xludf.DUMMYFUNCTION("""COMPUTED_VALUE"""),"Mayo")</f>
        <v>Mayo</v>
      </c>
      <c r="J77" s="89" t="str">
        <f ca="1">IFERROR(__xludf.DUMMYFUNCTION("""COMPUTED_VALUE"""),"AH")</f>
        <v>AH</v>
      </c>
      <c r="K77" s="92">
        <f ca="1">IFERROR(__xludf.DUMMYFUNCTION("""COMPUTED_VALUE"""),0)</f>
        <v>0</v>
      </c>
      <c r="L77" s="89" t="str">
        <f ca="1">IFERROR(__xludf.DUMMYFUNCTION("""COMPUTED_VALUE"""),"TRIMESTRE 2")</f>
        <v>TRIMESTRE 2</v>
      </c>
      <c r="M77" s="89" t="str">
        <f ca="1">IFERROR(__xludf.DUMMYFUNCTION("""COMPUTED_VALUE"""),"ADOLESCENTES HOMBRES")</f>
        <v>ADOLESCENTES HOMBRES</v>
      </c>
    </row>
    <row r="78" spans="1:13">
      <c r="A78" s="89" t="str">
        <f ca="1">IFERROR(__xludf.DUMMYFUNCTION("""COMPUTED_VALUE"""),"4.1.2.3")</f>
        <v>4.1.2.3</v>
      </c>
      <c r="B78" s="89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78" s="89" t="str">
        <f ca="1">IFERROR(__xludf.DUMMYFUNCTION("""COMPUTED_VALUE"""),"4. Programas")</f>
        <v>4. Programas</v>
      </c>
      <c r="D78" s="89" t="str">
        <f ca="1">IFERROR(__xludf.DUMMYFUNCTION("""COMPUTED_VALUE"""),"Guadalajara: Capital de las niñas y los niños")</f>
        <v>Guadalajara: Capital de las niñas y los niños</v>
      </c>
      <c r="E78" s="89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78" s="89" t="str">
        <f ca="1">IFERROR(__xludf.DUMMYFUNCTION("""COMPUTED_VALUE"""),"A3C2. Apoyos asistenciales entregados a madres en etapa adolescente")</f>
        <v>A3C2. Apoyos asistenciales entregados a madres en etapa adolescente</v>
      </c>
      <c r="G78" s="89" t="str">
        <f ca="1">IFERROR(__xludf.DUMMYFUNCTION("""COMPUTED_VALUE"""),"Apoyos asistenciales entregados a madres adolescentes, en 2023")</f>
        <v>Apoyos asistenciales entregados a madres adolescentes, en 2023</v>
      </c>
      <c r="H78" s="89" t="str">
        <f ca="1">IFERROR(__xludf.DUMMYFUNCTION("""COMPUTED_VALUE"""),"MUJ Mayo")</f>
        <v>MUJ Mayo</v>
      </c>
      <c r="I78" s="89" t="str">
        <f ca="1">IFERROR(__xludf.DUMMYFUNCTION("""COMPUTED_VALUE"""),"Mayo")</f>
        <v>Mayo</v>
      </c>
      <c r="J78" s="89" t="str">
        <f ca="1">IFERROR(__xludf.DUMMYFUNCTION("""COMPUTED_VALUE"""),"MUJ")</f>
        <v>MUJ</v>
      </c>
      <c r="K78" s="92">
        <f ca="1">IFERROR(__xludf.DUMMYFUNCTION("""COMPUTED_VALUE"""),0)</f>
        <v>0</v>
      </c>
      <c r="L78" s="89" t="str">
        <f ca="1">IFERROR(__xludf.DUMMYFUNCTION("""COMPUTED_VALUE"""),"TRIMESTRE 2")</f>
        <v>TRIMESTRE 2</v>
      </c>
      <c r="M78" s="89" t="str">
        <f ca="1">IFERROR(__xludf.DUMMYFUNCTION("""COMPUTED_VALUE"""),"MUJERES ADULTAS")</f>
        <v>MUJERES ADULTAS</v>
      </c>
    </row>
    <row r="79" spans="1:13">
      <c r="A79" s="89" t="str">
        <f ca="1">IFERROR(__xludf.DUMMYFUNCTION("""COMPUTED_VALUE"""),"4.1.2.3")</f>
        <v>4.1.2.3</v>
      </c>
      <c r="B79" s="89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79" s="89" t="str">
        <f ca="1">IFERROR(__xludf.DUMMYFUNCTION("""COMPUTED_VALUE"""),"4. Programas")</f>
        <v>4. Programas</v>
      </c>
      <c r="D79" s="89" t="str">
        <f ca="1">IFERROR(__xludf.DUMMYFUNCTION("""COMPUTED_VALUE"""),"Guadalajara: Capital de las niñas y los niños")</f>
        <v>Guadalajara: Capital de las niñas y los niños</v>
      </c>
      <c r="E79" s="89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79" s="89" t="str">
        <f ca="1">IFERROR(__xludf.DUMMYFUNCTION("""COMPUTED_VALUE"""),"A3C2. Apoyos asistenciales entregados a madres en etapa adolescente")</f>
        <v>A3C2. Apoyos asistenciales entregados a madres en etapa adolescente</v>
      </c>
      <c r="G79" s="89" t="str">
        <f ca="1">IFERROR(__xludf.DUMMYFUNCTION("""COMPUTED_VALUE"""),"Apoyos asistenciales entregados a madres adolescentes, en 2023")</f>
        <v>Apoyos asistenciales entregados a madres adolescentes, en 2023</v>
      </c>
      <c r="H79" s="89" t="str">
        <f ca="1">IFERROR(__xludf.DUMMYFUNCTION("""COMPUTED_VALUE"""),"HOM Mayo")</f>
        <v>HOM Mayo</v>
      </c>
      <c r="I79" s="89" t="str">
        <f ca="1">IFERROR(__xludf.DUMMYFUNCTION("""COMPUTED_VALUE"""),"Mayo")</f>
        <v>Mayo</v>
      </c>
      <c r="J79" s="89" t="str">
        <f ca="1">IFERROR(__xludf.DUMMYFUNCTION("""COMPUTED_VALUE"""),"HOM")</f>
        <v>HOM</v>
      </c>
      <c r="K79" s="92">
        <f ca="1">IFERROR(__xludf.DUMMYFUNCTION("""COMPUTED_VALUE"""),0)</f>
        <v>0</v>
      </c>
      <c r="L79" s="89" t="str">
        <f ca="1">IFERROR(__xludf.DUMMYFUNCTION("""COMPUTED_VALUE"""),"TRIMESTRE 2")</f>
        <v>TRIMESTRE 2</v>
      </c>
      <c r="M79" s="89" t="str">
        <f ca="1">IFERROR(__xludf.DUMMYFUNCTION("""COMPUTED_VALUE"""),"HOMBRES ADULTOS")</f>
        <v>HOMBRES ADULTOS</v>
      </c>
    </row>
    <row r="80" spans="1:13">
      <c r="A80" s="89" t="str">
        <f ca="1">IFERROR(__xludf.DUMMYFUNCTION("""COMPUTED_VALUE"""),"4.1.2.3")</f>
        <v>4.1.2.3</v>
      </c>
      <c r="B80" s="89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80" s="89" t="str">
        <f ca="1">IFERROR(__xludf.DUMMYFUNCTION("""COMPUTED_VALUE"""),"4. Programas")</f>
        <v>4. Programas</v>
      </c>
      <c r="D80" s="89" t="str">
        <f ca="1">IFERROR(__xludf.DUMMYFUNCTION("""COMPUTED_VALUE"""),"Guadalajara: Capital de las niñas y los niños")</f>
        <v>Guadalajara: Capital de las niñas y los niños</v>
      </c>
      <c r="E80" s="89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80" s="89" t="str">
        <f ca="1">IFERROR(__xludf.DUMMYFUNCTION("""COMPUTED_VALUE"""),"A3C2. Apoyos asistenciales entregados a madres en etapa adolescente")</f>
        <v>A3C2. Apoyos asistenciales entregados a madres en etapa adolescente</v>
      </c>
      <c r="G80" s="89" t="str">
        <f ca="1">IFERROR(__xludf.DUMMYFUNCTION("""COMPUTED_VALUE"""),"Apoyos asistenciales entregados a madres adolescentes, en 2023")</f>
        <v>Apoyos asistenciales entregados a madres adolescentes, en 2023</v>
      </c>
      <c r="H80" s="89" t="str">
        <f ca="1">IFERROR(__xludf.DUMMYFUNCTION("""COMPUTED_VALUE"""),"AMM Mayo")</f>
        <v>AMM Mayo</v>
      </c>
      <c r="I80" s="89" t="str">
        <f ca="1">IFERROR(__xludf.DUMMYFUNCTION("""COMPUTED_VALUE"""),"Mayo")</f>
        <v>Mayo</v>
      </c>
      <c r="J80" s="89" t="str">
        <f ca="1">IFERROR(__xludf.DUMMYFUNCTION("""COMPUTED_VALUE"""),"AMM")</f>
        <v>AMM</v>
      </c>
      <c r="K80" s="92">
        <f ca="1">IFERROR(__xludf.DUMMYFUNCTION("""COMPUTED_VALUE"""),0)</f>
        <v>0</v>
      </c>
      <c r="L80" s="89" t="str">
        <f ca="1">IFERROR(__xludf.DUMMYFUNCTION("""COMPUTED_VALUE"""),"TRIMESTRE 2")</f>
        <v>TRIMESTRE 2</v>
      </c>
      <c r="M80" s="89" t="str">
        <f ca="1">IFERROR(__xludf.DUMMYFUNCTION("""COMPUTED_VALUE"""),"ADULTA MAYOR MUJER")</f>
        <v>ADULTA MAYOR MUJER</v>
      </c>
    </row>
    <row r="81" spans="1:13">
      <c r="A81" s="89" t="str">
        <f ca="1">IFERROR(__xludf.DUMMYFUNCTION("""COMPUTED_VALUE"""),"4.1.2.3")</f>
        <v>4.1.2.3</v>
      </c>
      <c r="B81" s="89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81" s="89" t="str">
        <f ca="1">IFERROR(__xludf.DUMMYFUNCTION("""COMPUTED_VALUE"""),"4. Programas")</f>
        <v>4. Programas</v>
      </c>
      <c r="D81" s="89" t="str">
        <f ca="1">IFERROR(__xludf.DUMMYFUNCTION("""COMPUTED_VALUE"""),"Guadalajara: Capital de las niñas y los niños")</f>
        <v>Guadalajara: Capital de las niñas y los niños</v>
      </c>
      <c r="E81" s="89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81" s="89" t="str">
        <f ca="1">IFERROR(__xludf.DUMMYFUNCTION("""COMPUTED_VALUE"""),"A3C2. Apoyos asistenciales entregados a madres en etapa adolescente")</f>
        <v>A3C2. Apoyos asistenciales entregados a madres en etapa adolescente</v>
      </c>
      <c r="G81" s="89" t="str">
        <f ca="1">IFERROR(__xludf.DUMMYFUNCTION("""COMPUTED_VALUE"""),"Apoyos asistenciales entregados a madres adolescentes, en 2023")</f>
        <v>Apoyos asistenciales entregados a madres adolescentes, en 2023</v>
      </c>
      <c r="H81" s="89" t="str">
        <f ca="1">IFERROR(__xludf.DUMMYFUNCTION("""COMPUTED_VALUE"""),"AMH Mayo")</f>
        <v>AMH Mayo</v>
      </c>
      <c r="I81" s="89" t="str">
        <f ca="1">IFERROR(__xludf.DUMMYFUNCTION("""COMPUTED_VALUE"""),"Mayo")</f>
        <v>Mayo</v>
      </c>
      <c r="J81" s="89" t="str">
        <f ca="1">IFERROR(__xludf.DUMMYFUNCTION("""COMPUTED_VALUE"""),"AMH")</f>
        <v>AMH</v>
      </c>
      <c r="K81" s="92">
        <f ca="1">IFERROR(__xludf.DUMMYFUNCTION("""COMPUTED_VALUE"""),0)</f>
        <v>0</v>
      </c>
      <c r="L81" s="89" t="str">
        <f ca="1">IFERROR(__xludf.DUMMYFUNCTION("""COMPUTED_VALUE"""),"TRIMESTRE 2")</f>
        <v>TRIMESTRE 2</v>
      </c>
      <c r="M81" s="89" t="str">
        <f ca="1">IFERROR(__xludf.DUMMYFUNCTION("""COMPUTED_VALUE"""),"ADULTO MAYOR HOMBRE")</f>
        <v>ADULTO MAYOR HOMBRE</v>
      </c>
    </row>
    <row r="82" spans="1:13">
      <c r="A82" s="89" t="str">
        <f ca="1">IFERROR(__xludf.DUMMYFUNCTION("""COMPUTED_VALUE"""),"4.1.2.2")</f>
        <v>4.1.2.2</v>
      </c>
      <c r="B82" s="89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82" s="89" t="str">
        <f ca="1">IFERROR(__xludf.DUMMYFUNCTION("""COMPUTED_VALUE"""),"4. Programas")</f>
        <v>4. Programas</v>
      </c>
      <c r="D82" s="89" t="str">
        <f ca="1">IFERROR(__xludf.DUMMYFUNCTION("""COMPUTED_VALUE"""),"Guadalajara: Capital de las niñas y los niños")</f>
        <v>Guadalajara: Capital de las niñas y los niños</v>
      </c>
      <c r="E82" s="89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82" s="89" t="str">
        <f ca="1">IFERROR(__xludf.DUMMYFUNCTION("""COMPUTED_VALUE"""),"A2C2. Raciones alimentarias entregadas a NNA y sus cuidadores")</f>
        <v>A2C2. Raciones alimentarias entregadas a NNA y sus cuidadores</v>
      </c>
      <c r="G82" s="89" t="str">
        <f ca="1">IFERROR(__xludf.DUMMYFUNCTION("""COMPUTED_VALUE"""),"Porcentaje de raciones entregadas a NNA y sus cuidadores, en 2023")</f>
        <v>Porcentaje de raciones entregadas a NNA y sus cuidadores, en 2023</v>
      </c>
      <c r="H82" s="89" t="str">
        <f ca="1">IFERROR(__xludf.DUMMYFUNCTION("""COMPUTED_VALUE"""),"NAS Junio")</f>
        <v>NAS Junio</v>
      </c>
      <c r="I82" s="89" t="str">
        <f ca="1">IFERROR(__xludf.DUMMYFUNCTION("""COMPUTED_VALUE"""),"Junio")</f>
        <v>Junio</v>
      </c>
      <c r="J82" s="89" t="str">
        <f ca="1">IFERROR(__xludf.DUMMYFUNCTION("""COMPUTED_VALUE"""),"NAS")</f>
        <v>NAS</v>
      </c>
      <c r="K82" s="92">
        <f ca="1">IFERROR(__xludf.DUMMYFUNCTION("""COMPUTED_VALUE"""),259)</f>
        <v>259</v>
      </c>
      <c r="L82" s="89" t="str">
        <f ca="1">IFERROR(__xludf.DUMMYFUNCTION("""COMPUTED_VALUE"""),"TRIMESTRE 2")</f>
        <v>TRIMESTRE 2</v>
      </c>
      <c r="M82" s="89" t="str">
        <f ca="1">IFERROR(__xludf.DUMMYFUNCTION("""COMPUTED_VALUE"""),"NIÑAS")</f>
        <v>NIÑAS</v>
      </c>
    </row>
    <row r="83" spans="1:13">
      <c r="A83" s="89" t="str">
        <f ca="1">IFERROR(__xludf.DUMMYFUNCTION("""COMPUTED_VALUE"""),"4.1.2.2")</f>
        <v>4.1.2.2</v>
      </c>
      <c r="B83" s="89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83" s="89" t="str">
        <f ca="1">IFERROR(__xludf.DUMMYFUNCTION("""COMPUTED_VALUE"""),"4. Programas")</f>
        <v>4. Programas</v>
      </c>
      <c r="D83" s="89" t="str">
        <f ca="1">IFERROR(__xludf.DUMMYFUNCTION("""COMPUTED_VALUE"""),"Guadalajara: Capital de las niñas y los niños")</f>
        <v>Guadalajara: Capital de las niñas y los niños</v>
      </c>
      <c r="E83" s="89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83" s="89" t="str">
        <f ca="1">IFERROR(__xludf.DUMMYFUNCTION("""COMPUTED_VALUE"""),"A2C2. Raciones alimentarias entregadas a NNA y sus cuidadores")</f>
        <v>A2C2. Raciones alimentarias entregadas a NNA y sus cuidadores</v>
      </c>
      <c r="G83" s="89" t="str">
        <f ca="1">IFERROR(__xludf.DUMMYFUNCTION("""COMPUTED_VALUE"""),"Porcentaje de raciones entregadas a NNA y sus cuidadores, en 2023")</f>
        <v>Porcentaje de raciones entregadas a NNA y sus cuidadores, en 2023</v>
      </c>
      <c r="H83" s="89" t="str">
        <f ca="1">IFERROR(__xludf.DUMMYFUNCTION("""COMPUTED_VALUE"""),"NOS Junio")</f>
        <v>NOS Junio</v>
      </c>
      <c r="I83" s="89" t="str">
        <f ca="1">IFERROR(__xludf.DUMMYFUNCTION("""COMPUTED_VALUE"""),"Junio")</f>
        <v>Junio</v>
      </c>
      <c r="J83" s="89" t="str">
        <f ca="1">IFERROR(__xludf.DUMMYFUNCTION("""COMPUTED_VALUE"""),"NOS")</f>
        <v>NOS</v>
      </c>
      <c r="K83" s="92">
        <f ca="1">IFERROR(__xludf.DUMMYFUNCTION("""COMPUTED_VALUE"""),251)</f>
        <v>251</v>
      </c>
      <c r="L83" s="89" t="str">
        <f ca="1">IFERROR(__xludf.DUMMYFUNCTION("""COMPUTED_VALUE"""),"TRIMESTRE 2")</f>
        <v>TRIMESTRE 2</v>
      </c>
      <c r="M83" s="89" t="str">
        <f ca="1">IFERROR(__xludf.DUMMYFUNCTION("""COMPUTED_VALUE"""),"NIÑOS")</f>
        <v>NIÑOS</v>
      </c>
    </row>
    <row r="84" spans="1:13">
      <c r="A84" s="89" t="str">
        <f ca="1">IFERROR(__xludf.DUMMYFUNCTION("""COMPUTED_VALUE"""),"4.1.2.2")</f>
        <v>4.1.2.2</v>
      </c>
      <c r="B84" s="89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84" s="89" t="str">
        <f ca="1">IFERROR(__xludf.DUMMYFUNCTION("""COMPUTED_VALUE"""),"4. Programas")</f>
        <v>4. Programas</v>
      </c>
      <c r="D84" s="89" t="str">
        <f ca="1">IFERROR(__xludf.DUMMYFUNCTION("""COMPUTED_VALUE"""),"Guadalajara: Capital de las niñas y los niños")</f>
        <v>Guadalajara: Capital de las niñas y los niños</v>
      </c>
      <c r="E84" s="89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84" s="89" t="str">
        <f ca="1">IFERROR(__xludf.DUMMYFUNCTION("""COMPUTED_VALUE"""),"A2C2. Raciones alimentarias entregadas a NNA y sus cuidadores")</f>
        <v>A2C2. Raciones alimentarias entregadas a NNA y sus cuidadores</v>
      </c>
      <c r="G84" s="89" t="str">
        <f ca="1">IFERROR(__xludf.DUMMYFUNCTION("""COMPUTED_VALUE"""),"Porcentaje de raciones entregadas a NNA y sus cuidadores, en 2023")</f>
        <v>Porcentaje de raciones entregadas a NNA y sus cuidadores, en 2023</v>
      </c>
      <c r="H84" s="89" t="str">
        <f ca="1">IFERROR(__xludf.DUMMYFUNCTION("""COMPUTED_VALUE"""),"AM JUNIO")</f>
        <v>AM JUNIO</v>
      </c>
      <c r="I84" s="89" t="str">
        <f ca="1">IFERROR(__xludf.DUMMYFUNCTION("""COMPUTED_VALUE"""),"Junio")</f>
        <v>Junio</v>
      </c>
      <c r="J84" s="89" t="str">
        <f ca="1">IFERROR(__xludf.DUMMYFUNCTION("""COMPUTED_VALUE"""),"AM")</f>
        <v>AM</v>
      </c>
      <c r="K84" s="92">
        <f ca="1">IFERROR(__xludf.DUMMYFUNCTION("""COMPUTED_VALUE"""),90)</f>
        <v>90</v>
      </c>
      <c r="L84" s="89" t="str">
        <f ca="1">IFERROR(__xludf.DUMMYFUNCTION("""COMPUTED_VALUE"""),"TRIMESTRE 2")</f>
        <v>TRIMESTRE 2</v>
      </c>
      <c r="M84" s="89" t="str">
        <f ca="1">IFERROR(__xludf.DUMMYFUNCTION("""COMPUTED_VALUE"""),"ADOLESCENTES MUJERES")</f>
        <v>ADOLESCENTES MUJERES</v>
      </c>
    </row>
    <row r="85" spans="1:13">
      <c r="A85" s="89" t="str">
        <f ca="1">IFERROR(__xludf.DUMMYFUNCTION("""COMPUTED_VALUE"""),"4.1.2.2")</f>
        <v>4.1.2.2</v>
      </c>
      <c r="B85" s="89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85" s="89" t="str">
        <f ca="1">IFERROR(__xludf.DUMMYFUNCTION("""COMPUTED_VALUE"""),"4. Programas")</f>
        <v>4. Programas</v>
      </c>
      <c r="D85" s="89" t="str">
        <f ca="1">IFERROR(__xludf.DUMMYFUNCTION("""COMPUTED_VALUE"""),"Guadalajara: Capital de las niñas y los niños")</f>
        <v>Guadalajara: Capital de las niñas y los niños</v>
      </c>
      <c r="E85" s="89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85" s="89" t="str">
        <f ca="1">IFERROR(__xludf.DUMMYFUNCTION("""COMPUTED_VALUE"""),"A2C2. Raciones alimentarias entregadas a NNA y sus cuidadores")</f>
        <v>A2C2. Raciones alimentarias entregadas a NNA y sus cuidadores</v>
      </c>
      <c r="G85" s="89" t="str">
        <f ca="1">IFERROR(__xludf.DUMMYFUNCTION("""COMPUTED_VALUE"""),"Porcentaje de raciones entregadas a NNA y sus cuidadores, en 2023")</f>
        <v>Porcentaje de raciones entregadas a NNA y sus cuidadores, en 2023</v>
      </c>
      <c r="H85" s="89" t="str">
        <f ca="1">IFERROR(__xludf.DUMMYFUNCTION("""COMPUTED_VALUE"""),"AH JUNIO")</f>
        <v>AH JUNIO</v>
      </c>
      <c r="I85" s="89" t="str">
        <f ca="1">IFERROR(__xludf.DUMMYFUNCTION("""COMPUTED_VALUE"""),"Junio")</f>
        <v>Junio</v>
      </c>
      <c r="J85" s="89" t="str">
        <f ca="1">IFERROR(__xludf.DUMMYFUNCTION("""COMPUTED_VALUE"""),"AH")</f>
        <v>AH</v>
      </c>
      <c r="K85" s="92">
        <f ca="1">IFERROR(__xludf.DUMMYFUNCTION("""COMPUTED_VALUE"""),74)</f>
        <v>74</v>
      </c>
      <c r="L85" s="89" t="str">
        <f ca="1">IFERROR(__xludf.DUMMYFUNCTION("""COMPUTED_VALUE"""),"TRIMESTRE 2")</f>
        <v>TRIMESTRE 2</v>
      </c>
      <c r="M85" s="89" t="str">
        <f ca="1">IFERROR(__xludf.DUMMYFUNCTION("""COMPUTED_VALUE"""),"ADOLESCENTES HOMBRES")</f>
        <v>ADOLESCENTES HOMBRES</v>
      </c>
    </row>
    <row r="86" spans="1:13">
      <c r="A86" s="89" t="str">
        <f ca="1">IFERROR(__xludf.DUMMYFUNCTION("""COMPUTED_VALUE"""),"4.1.2.2")</f>
        <v>4.1.2.2</v>
      </c>
      <c r="B86" s="89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86" s="89" t="str">
        <f ca="1">IFERROR(__xludf.DUMMYFUNCTION("""COMPUTED_VALUE"""),"4. Programas")</f>
        <v>4. Programas</v>
      </c>
      <c r="D86" s="89" t="str">
        <f ca="1">IFERROR(__xludf.DUMMYFUNCTION("""COMPUTED_VALUE"""),"Guadalajara: Capital de las niñas y los niños")</f>
        <v>Guadalajara: Capital de las niñas y los niños</v>
      </c>
      <c r="E86" s="89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86" s="89" t="str">
        <f ca="1">IFERROR(__xludf.DUMMYFUNCTION("""COMPUTED_VALUE"""),"A2C2. Raciones alimentarias entregadas a NNA y sus cuidadores")</f>
        <v>A2C2. Raciones alimentarias entregadas a NNA y sus cuidadores</v>
      </c>
      <c r="G86" s="89" t="str">
        <f ca="1">IFERROR(__xludf.DUMMYFUNCTION("""COMPUTED_VALUE"""),"Porcentaje de raciones entregadas a NNA y sus cuidadores, en 2023")</f>
        <v>Porcentaje de raciones entregadas a NNA y sus cuidadores, en 2023</v>
      </c>
      <c r="H86" s="89" t="str">
        <f ca="1">IFERROR(__xludf.DUMMYFUNCTION("""COMPUTED_VALUE"""),"MUJ Junio")</f>
        <v>MUJ Junio</v>
      </c>
      <c r="I86" s="89" t="str">
        <f ca="1">IFERROR(__xludf.DUMMYFUNCTION("""COMPUTED_VALUE"""),"Junio")</f>
        <v>Junio</v>
      </c>
      <c r="J86" s="89" t="str">
        <f ca="1">IFERROR(__xludf.DUMMYFUNCTION("""COMPUTED_VALUE"""),"MUJ")</f>
        <v>MUJ</v>
      </c>
      <c r="K86" s="92">
        <f ca="1">IFERROR(__xludf.DUMMYFUNCTION("""COMPUTED_VALUE"""),78)</f>
        <v>78</v>
      </c>
      <c r="L86" s="89" t="str">
        <f ca="1">IFERROR(__xludf.DUMMYFUNCTION("""COMPUTED_VALUE"""),"TRIMESTRE 2")</f>
        <v>TRIMESTRE 2</v>
      </c>
      <c r="M86" s="89" t="str">
        <f ca="1">IFERROR(__xludf.DUMMYFUNCTION("""COMPUTED_VALUE"""),"MUJERES ADULTAS")</f>
        <v>MUJERES ADULTAS</v>
      </c>
    </row>
    <row r="87" spans="1:13">
      <c r="A87" s="89" t="str">
        <f ca="1">IFERROR(__xludf.DUMMYFUNCTION("""COMPUTED_VALUE"""),"4.1.2.2")</f>
        <v>4.1.2.2</v>
      </c>
      <c r="B87" s="89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87" s="89" t="str">
        <f ca="1">IFERROR(__xludf.DUMMYFUNCTION("""COMPUTED_VALUE"""),"4. Programas")</f>
        <v>4. Programas</v>
      </c>
      <c r="D87" s="89" t="str">
        <f ca="1">IFERROR(__xludf.DUMMYFUNCTION("""COMPUTED_VALUE"""),"Guadalajara: Capital de las niñas y los niños")</f>
        <v>Guadalajara: Capital de las niñas y los niños</v>
      </c>
      <c r="E87" s="89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87" s="89" t="str">
        <f ca="1">IFERROR(__xludf.DUMMYFUNCTION("""COMPUTED_VALUE"""),"A2C2. Raciones alimentarias entregadas a NNA y sus cuidadores")</f>
        <v>A2C2. Raciones alimentarias entregadas a NNA y sus cuidadores</v>
      </c>
      <c r="G87" s="89" t="str">
        <f ca="1">IFERROR(__xludf.DUMMYFUNCTION("""COMPUTED_VALUE"""),"Porcentaje de raciones entregadas a NNA y sus cuidadores, en 2023")</f>
        <v>Porcentaje de raciones entregadas a NNA y sus cuidadores, en 2023</v>
      </c>
      <c r="H87" s="89" t="str">
        <f ca="1">IFERROR(__xludf.DUMMYFUNCTION("""COMPUTED_VALUE"""),"HOM Junio")</f>
        <v>HOM Junio</v>
      </c>
      <c r="I87" s="89" t="str">
        <f ca="1">IFERROR(__xludf.DUMMYFUNCTION("""COMPUTED_VALUE"""),"Junio")</f>
        <v>Junio</v>
      </c>
      <c r="J87" s="89" t="str">
        <f ca="1">IFERROR(__xludf.DUMMYFUNCTION("""COMPUTED_VALUE"""),"HOM")</f>
        <v>HOM</v>
      </c>
      <c r="K87" s="92">
        <f ca="1">IFERROR(__xludf.DUMMYFUNCTION("""COMPUTED_VALUE"""),39)</f>
        <v>39</v>
      </c>
      <c r="L87" s="89" t="str">
        <f ca="1">IFERROR(__xludf.DUMMYFUNCTION("""COMPUTED_VALUE"""),"TRIMESTRE 2")</f>
        <v>TRIMESTRE 2</v>
      </c>
      <c r="M87" s="89" t="str">
        <f ca="1">IFERROR(__xludf.DUMMYFUNCTION("""COMPUTED_VALUE"""),"HOMBRES ADULTOS")</f>
        <v>HOMBRES ADULTOS</v>
      </c>
    </row>
    <row r="88" spans="1:13">
      <c r="A88" s="89" t="str">
        <f ca="1">IFERROR(__xludf.DUMMYFUNCTION("""COMPUTED_VALUE"""),"4.1.2.2")</f>
        <v>4.1.2.2</v>
      </c>
      <c r="B88" s="89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88" s="89" t="str">
        <f ca="1">IFERROR(__xludf.DUMMYFUNCTION("""COMPUTED_VALUE"""),"4. Programas")</f>
        <v>4. Programas</v>
      </c>
      <c r="D88" s="89" t="str">
        <f ca="1">IFERROR(__xludf.DUMMYFUNCTION("""COMPUTED_VALUE"""),"Guadalajara: Capital de las niñas y los niños")</f>
        <v>Guadalajara: Capital de las niñas y los niños</v>
      </c>
      <c r="E88" s="89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88" s="89" t="str">
        <f ca="1">IFERROR(__xludf.DUMMYFUNCTION("""COMPUTED_VALUE"""),"A2C2. Raciones alimentarias entregadas a NNA y sus cuidadores")</f>
        <v>A2C2. Raciones alimentarias entregadas a NNA y sus cuidadores</v>
      </c>
      <c r="G88" s="89" t="str">
        <f ca="1">IFERROR(__xludf.DUMMYFUNCTION("""COMPUTED_VALUE"""),"Porcentaje de raciones entregadas a NNA y sus cuidadores, en 2023")</f>
        <v>Porcentaje de raciones entregadas a NNA y sus cuidadores, en 2023</v>
      </c>
      <c r="H88" s="89" t="str">
        <f ca="1">IFERROR(__xludf.DUMMYFUNCTION("""COMPUTED_VALUE"""),"AMM Junio")</f>
        <v>AMM Junio</v>
      </c>
      <c r="I88" s="89" t="str">
        <f ca="1">IFERROR(__xludf.DUMMYFUNCTION("""COMPUTED_VALUE"""),"Junio")</f>
        <v>Junio</v>
      </c>
      <c r="J88" s="89" t="str">
        <f ca="1">IFERROR(__xludf.DUMMYFUNCTION("""COMPUTED_VALUE"""),"AMM")</f>
        <v>AMM</v>
      </c>
      <c r="K88" s="92">
        <f ca="1">IFERROR(__xludf.DUMMYFUNCTION("""COMPUTED_VALUE"""),2)</f>
        <v>2</v>
      </c>
      <c r="L88" s="89" t="str">
        <f ca="1">IFERROR(__xludf.DUMMYFUNCTION("""COMPUTED_VALUE"""),"TRIMESTRE 2")</f>
        <v>TRIMESTRE 2</v>
      </c>
      <c r="M88" s="89" t="str">
        <f ca="1">IFERROR(__xludf.DUMMYFUNCTION("""COMPUTED_VALUE"""),"ADULTA MAYOR MUJER")</f>
        <v>ADULTA MAYOR MUJER</v>
      </c>
    </row>
    <row r="89" spans="1:13">
      <c r="A89" s="89" t="str">
        <f ca="1">IFERROR(__xludf.DUMMYFUNCTION("""COMPUTED_VALUE"""),"4.1.2.2")</f>
        <v>4.1.2.2</v>
      </c>
      <c r="B89" s="89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89" s="89" t="str">
        <f ca="1">IFERROR(__xludf.DUMMYFUNCTION("""COMPUTED_VALUE"""),"4. Programas")</f>
        <v>4. Programas</v>
      </c>
      <c r="D89" s="89" t="str">
        <f ca="1">IFERROR(__xludf.DUMMYFUNCTION("""COMPUTED_VALUE"""),"Guadalajara: Capital de las niñas y los niños")</f>
        <v>Guadalajara: Capital de las niñas y los niños</v>
      </c>
      <c r="E89" s="89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89" s="89" t="str">
        <f ca="1">IFERROR(__xludf.DUMMYFUNCTION("""COMPUTED_VALUE"""),"A2C2. Raciones alimentarias entregadas a NNA y sus cuidadores")</f>
        <v>A2C2. Raciones alimentarias entregadas a NNA y sus cuidadores</v>
      </c>
      <c r="G89" s="89" t="str">
        <f ca="1">IFERROR(__xludf.DUMMYFUNCTION("""COMPUTED_VALUE"""),"Porcentaje de raciones entregadas a NNA y sus cuidadores, en 2023")</f>
        <v>Porcentaje de raciones entregadas a NNA y sus cuidadores, en 2023</v>
      </c>
      <c r="H89" s="89" t="str">
        <f ca="1">IFERROR(__xludf.DUMMYFUNCTION("""COMPUTED_VALUE"""),"AMH Junio")</f>
        <v>AMH Junio</v>
      </c>
      <c r="I89" s="89" t="str">
        <f ca="1">IFERROR(__xludf.DUMMYFUNCTION("""COMPUTED_VALUE"""),"Junio")</f>
        <v>Junio</v>
      </c>
      <c r="J89" s="89" t="str">
        <f ca="1">IFERROR(__xludf.DUMMYFUNCTION("""COMPUTED_VALUE"""),"AMH")</f>
        <v>AMH</v>
      </c>
      <c r="K89" s="92">
        <f ca="1">IFERROR(__xludf.DUMMYFUNCTION("""COMPUTED_VALUE"""),1)</f>
        <v>1</v>
      </c>
      <c r="L89" s="89" t="str">
        <f ca="1">IFERROR(__xludf.DUMMYFUNCTION("""COMPUTED_VALUE"""),"TRIMESTRE 2")</f>
        <v>TRIMESTRE 2</v>
      </c>
      <c r="M89" s="89" t="str">
        <f ca="1">IFERROR(__xludf.DUMMYFUNCTION("""COMPUTED_VALUE"""),"ADULTO MAYOR HOMBRE")</f>
        <v>ADULTO MAYOR HOMBRE</v>
      </c>
    </row>
    <row r="90" spans="1:13">
      <c r="A90" s="89" t="str">
        <f ca="1">IFERROR(__xludf.DUMMYFUNCTION("""COMPUTED_VALUE"""),"4.1.2.3")</f>
        <v>4.1.2.3</v>
      </c>
      <c r="B90" s="89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90" s="89" t="str">
        <f ca="1">IFERROR(__xludf.DUMMYFUNCTION("""COMPUTED_VALUE"""),"4. Programas")</f>
        <v>4. Programas</v>
      </c>
      <c r="D90" s="89" t="str">
        <f ca="1">IFERROR(__xludf.DUMMYFUNCTION("""COMPUTED_VALUE"""),"Guadalajara: Capital de las niñas y los niños")</f>
        <v>Guadalajara: Capital de las niñas y los niños</v>
      </c>
      <c r="E90" s="89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90" s="89" t="str">
        <f ca="1">IFERROR(__xludf.DUMMYFUNCTION("""COMPUTED_VALUE"""),"A3C2. Apoyos asistenciales entregados a madres en etapa adolescente")</f>
        <v>A3C2. Apoyos asistenciales entregados a madres en etapa adolescente</v>
      </c>
      <c r="G90" s="89" t="str">
        <f ca="1">IFERROR(__xludf.DUMMYFUNCTION("""COMPUTED_VALUE"""),"Apoyos asistenciales entregados a madres adolescentes, en 2023")</f>
        <v>Apoyos asistenciales entregados a madres adolescentes, en 2023</v>
      </c>
      <c r="H90" s="89" t="str">
        <f ca="1">IFERROR(__xludf.DUMMYFUNCTION("""COMPUTED_VALUE"""),"NAS Junio")</f>
        <v>NAS Junio</v>
      </c>
      <c r="I90" s="89" t="str">
        <f ca="1">IFERROR(__xludf.DUMMYFUNCTION("""COMPUTED_VALUE"""),"Junio")</f>
        <v>Junio</v>
      </c>
      <c r="J90" s="89" t="str">
        <f ca="1">IFERROR(__xludf.DUMMYFUNCTION("""COMPUTED_VALUE"""),"NAS")</f>
        <v>NAS</v>
      </c>
      <c r="K90" s="92">
        <f ca="1">IFERROR(__xludf.DUMMYFUNCTION("""COMPUTED_VALUE"""),0)</f>
        <v>0</v>
      </c>
      <c r="L90" s="89" t="str">
        <f ca="1">IFERROR(__xludf.DUMMYFUNCTION("""COMPUTED_VALUE"""),"TRIMESTRE 2")</f>
        <v>TRIMESTRE 2</v>
      </c>
      <c r="M90" s="89" t="str">
        <f ca="1">IFERROR(__xludf.DUMMYFUNCTION("""COMPUTED_VALUE"""),"NIÑAS")</f>
        <v>NIÑAS</v>
      </c>
    </row>
    <row r="91" spans="1:13">
      <c r="A91" s="89" t="str">
        <f ca="1">IFERROR(__xludf.DUMMYFUNCTION("""COMPUTED_VALUE"""),"4.1.2.3")</f>
        <v>4.1.2.3</v>
      </c>
      <c r="B91" s="89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91" s="89" t="str">
        <f ca="1">IFERROR(__xludf.DUMMYFUNCTION("""COMPUTED_VALUE"""),"4. Programas")</f>
        <v>4. Programas</v>
      </c>
      <c r="D91" s="89" t="str">
        <f ca="1">IFERROR(__xludf.DUMMYFUNCTION("""COMPUTED_VALUE"""),"Guadalajara: Capital de las niñas y los niños")</f>
        <v>Guadalajara: Capital de las niñas y los niños</v>
      </c>
      <c r="E91" s="89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91" s="89" t="str">
        <f ca="1">IFERROR(__xludf.DUMMYFUNCTION("""COMPUTED_VALUE"""),"A3C2. Apoyos asistenciales entregados a madres en etapa adolescente")</f>
        <v>A3C2. Apoyos asistenciales entregados a madres en etapa adolescente</v>
      </c>
      <c r="G91" s="89" t="str">
        <f ca="1">IFERROR(__xludf.DUMMYFUNCTION("""COMPUTED_VALUE"""),"Apoyos asistenciales entregados a madres adolescentes, en 2023")</f>
        <v>Apoyos asistenciales entregados a madres adolescentes, en 2023</v>
      </c>
      <c r="H91" s="89" t="str">
        <f ca="1">IFERROR(__xludf.DUMMYFUNCTION("""COMPUTED_VALUE"""),"NOS Junio")</f>
        <v>NOS Junio</v>
      </c>
      <c r="I91" s="89" t="str">
        <f ca="1">IFERROR(__xludf.DUMMYFUNCTION("""COMPUTED_VALUE"""),"Junio")</f>
        <v>Junio</v>
      </c>
      <c r="J91" s="89" t="str">
        <f ca="1">IFERROR(__xludf.DUMMYFUNCTION("""COMPUTED_VALUE"""),"NOS")</f>
        <v>NOS</v>
      </c>
      <c r="K91" s="92">
        <f ca="1">IFERROR(__xludf.DUMMYFUNCTION("""COMPUTED_VALUE"""),0)</f>
        <v>0</v>
      </c>
      <c r="L91" s="89" t="str">
        <f ca="1">IFERROR(__xludf.DUMMYFUNCTION("""COMPUTED_VALUE"""),"TRIMESTRE 2")</f>
        <v>TRIMESTRE 2</v>
      </c>
      <c r="M91" s="89" t="str">
        <f ca="1">IFERROR(__xludf.DUMMYFUNCTION("""COMPUTED_VALUE"""),"NIÑOS")</f>
        <v>NIÑOS</v>
      </c>
    </row>
    <row r="92" spans="1:13">
      <c r="A92" s="89" t="str">
        <f ca="1">IFERROR(__xludf.DUMMYFUNCTION("""COMPUTED_VALUE"""),"4.1.2.3")</f>
        <v>4.1.2.3</v>
      </c>
      <c r="B92" s="89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92" s="89" t="str">
        <f ca="1">IFERROR(__xludf.DUMMYFUNCTION("""COMPUTED_VALUE"""),"4. Programas")</f>
        <v>4. Programas</v>
      </c>
      <c r="D92" s="89" t="str">
        <f ca="1">IFERROR(__xludf.DUMMYFUNCTION("""COMPUTED_VALUE"""),"Guadalajara: Capital de las niñas y los niños")</f>
        <v>Guadalajara: Capital de las niñas y los niños</v>
      </c>
      <c r="E92" s="89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92" s="89" t="str">
        <f ca="1">IFERROR(__xludf.DUMMYFUNCTION("""COMPUTED_VALUE"""),"A3C2. Apoyos asistenciales entregados a madres en etapa adolescente")</f>
        <v>A3C2. Apoyos asistenciales entregados a madres en etapa adolescente</v>
      </c>
      <c r="G92" s="89" t="str">
        <f ca="1">IFERROR(__xludf.DUMMYFUNCTION("""COMPUTED_VALUE"""),"Apoyos asistenciales entregados a madres adolescentes, en 2023")</f>
        <v>Apoyos asistenciales entregados a madres adolescentes, en 2023</v>
      </c>
      <c r="H92" s="89" t="str">
        <f ca="1">IFERROR(__xludf.DUMMYFUNCTION("""COMPUTED_VALUE"""),"AM JUNIO")</f>
        <v>AM JUNIO</v>
      </c>
      <c r="I92" s="89" t="str">
        <f ca="1">IFERROR(__xludf.DUMMYFUNCTION("""COMPUTED_VALUE"""),"Junio")</f>
        <v>Junio</v>
      </c>
      <c r="J92" s="89" t="str">
        <f ca="1">IFERROR(__xludf.DUMMYFUNCTION("""COMPUTED_VALUE"""),"AM")</f>
        <v>AM</v>
      </c>
      <c r="K92" s="92">
        <f ca="1">IFERROR(__xludf.DUMMYFUNCTION("""COMPUTED_VALUE"""),9)</f>
        <v>9</v>
      </c>
      <c r="L92" s="89" t="str">
        <f ca="1">IFERROR(__xludf.DUMMYFUNCTION("""COMPUTED_VALUE"""),"TRIMESTRE 2")</f>
        <v>TRIMESTRE 2</v>
      </c>
      <c r="M92" s="89" t="str">
        <f ca="1">IFERROR(__xludf.DUMMYFUNCTION("""COMPUTED_VALUE"""),"ADOLESCENTES MUJERES")</f>
        <v>ADOLESCENTES MUJERES</v>
      </c>
    </row>
    <row r="93" spans="1:13">
      <c r="A93" s="89" t="str">
        <f ca="1">IFERROR(__xludf.DUMMYFUNCTION("""COMPUTED_VALUE"""),"4.1.2.3")</f>
        <v>4.1.2.3</v>
      </c>
      <c r="B93" s="89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93" s="89" t="str">
        <f ca="1">IFERROR(__xludf.DUMMYFUNCTION("""COMPUTED_VALUE"""),"4. Programas")</f>
        <v>4. Programas</v>
      </c>
      <c r="D93" s="89" t="str">
        <f ca="1">IFERROR(__xludf.DUMMYFUNCTION("""COMPUTED_VALUE"""),"Guadalajara: Capital de las niñas y los niños")</f>
        <v>Guadalajara: Capital de las niñas y los niños</v>
      </c>
      <c r="E93" s="89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93" s="89" t="str">
        <f ca="1">IFERROR(__xludf.DUMMYFUNCTION("""COMPUTED_VALUE"""),"A3C2. Apoyos asistenciales entregados a madres en etapa adolescente")</f>
        <v>A3C2. Apoyos asistenciales entregados a madres en etapa adolescente</v>
      </c>
      <c r="G93" s="89" t="str">
        <f ca="1">IFERROR(__xludf.DUMMYFUNCTION("""COMPUTED_VALUE"""),"Apoyos asistenciales entregados a madres adolescentes, en 2023")</f>
        <v>Apoyos asistenciales entregados a madres adolescentes, en 2023</v>
      </c>
      <c r="H93" s="89" t="str">
        <f ca="1">IFERROR(__xludf.DUMMYFUNCTION("""COMPUTED_VALUE"""),"AH JUNIO")</f>
        <v>AH JUNIO</v>
      </c>
      <c r="I93" s="89" t="str">
        <f ca="1">IFERROR(__xludf.DUMMYFUNCTION("""COMPUTED_VALUE"""),"Junio")</f>
        <v>Junio</v>
      </c>
      <c r="J93" s="89" t="str">
        <f ca="1">IFERROR(__xludf.DUMMYFUNCTION("""COMPUTED_VALUE"""),"AH")</f>
        <v>AH</v>
      </c>
      <c r="K93" s="92">
        <f ca="1">IFERROR(__xludf.DUMMYFUNCTION("""COMPUTED_VALUE"""),0)</f>
        <v>0</v>
      </c>
      <c r="L93" s="89" t="str">
        <f ca="1">IFERROR(__xludf.DUMMYFUNCTION("""COMPUTED_VALUE"""),"TRIMESTRE 2")</f>
        <v>TRIMESTRE 2</v>
      </c>
      <c r="M93" s="89" t="str">
        <f ca="1">IFERROR(__xludf.DUMMYFUNCTION("""COMPUTED_VALUE"""),"ADOLESCENTES HOMBRES")</f>
        <v>ADOLESCENTES HOMBRES</v>
      </c>
    </row>
    <row r="94" spans="1:13">
      <c r="A94" s="89" t="str">
        <f ca="1">IFERROR(__xludf.DUMMYFUNCTION("""COMPUTED_VALUE"""),"4.1.2.3")</f>
        <v>4.1.2.3</v>
      </c>
      <c r="B94" s="89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94" s="89" t="str">
        <f ca="1">IFERROR(__xludf.DUMMYFUNCTION("""COMPUTED_VALUE"""),"4. Programas")</f>
        <v>4. Programas</v>
      </c>
      <c r="D94" s="89" t="str">
        <f ca="1">IFERROR(__xludf.DUMMYFUNCTION("""COMPUTED_VALUE"""),"Guadalajara: Capital de las niñas y los niños")</f>
        <v>Guadalajara: Capital de las niñas y los niños</v>
      </c>
      <c r="E94" s="89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94" s="89" t="str">
        <f ca="1">IFERROR(__xludf.DUMMYFUNCTION("""COMPUTED_VALUE"""),"A3C2. Apoyos asistenciales entregados a madres en etapa adolescente")</f>
        <v>A3C2. Apoyos asistenciales entregados a madres en etapa adolescente</v>
      </c>
      <c r="G94" s="89" t="str">
        <f ca="1">IFERROR(__xludf.DUMMYFUNCTION("""COMPUTED_VALUE"""),"Apoyos asistenciales entregados a madres adolescentes, en 2023")</f>
        <v>Apoyos asistenciales entregados a madres adolescentes, en 2023</v>
      </c>
      <c r="H94" s="89" t="str">
        <f ca="1">IFERROR(__xludf.DUMMYFUNCTION("""COMPUTED_VALUE"""),"MUJ Junio")</f>
        <v>MUJ Junio</v>
      </c>
      <c r="I94" s="89" t="str">
        <f ca="1">IFERROR(__xludf.DUMMYFUNCTION("""COMPUTED_VALUE"""),"Junio")</f>
        <v>Junio</v>
      </c>
      <c r="J94" s="89" t="str">
        <f ca="1">IFERROR(__xludf.DUMMYFUNCTION("""COMPUTED_VALUE"""),"MUJ")</f>
        <v>MUJ</v>
      </c>
      <c r="K94" s="92">
        <f ca="1">IFERROR(__xludf.DUMMYFUNCTION("""COMPUTED_VALUE"""),14)</f>
        <v>14</v>
      </c>
      <c r="L94" s="89" t="str">
        <f ca="1">IFERROR(__xludf.DUMMYFUNCTION("""COMPUTED_VALUE"""),"TRIMESTRE 2")</f>
        <v>TRIMESTRE 2</v>
      </c>
      <c r="M94" s="89" t="str">
        <f ca="1">IFERROR(__xludf.DUMMYFUNCTION("""COMPUTED_VALUE"""),"MUJERES ADULTAS")</f>
        <v>MUJERES ADULTAS</v>
      </c>
    </row>
    <row r="95" spans="1:13">
      <c r="A95" s="89" t="str">
        <f ca="1">IFERROR(__xludf.DUMMYFUNCTION("""COMPUTED_VALUE"""),"4.1.2.3")</f>
        <v>4.1.2.3</v>
      </c>
      <c r="B95" s="89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95" s="89" t="str">
        <f ca="1">IFERROR(__xludf.DUMMYFUNCTION("""COMPUTED_VALUE"""),"4. Programas")</f>
        <v>4. Programas</v>
      </c>
      <c r="D95" s="89" t="str">
        <f ca="1">IFERROR(__xludf.DUMMYFUNCTION("""COMPUTED_VALUE"""),"Guadalajara: Capital de las niñas y los niños")</f>
        <v>Guadalajara: Capital de las niñas y los niños</v>
      </c>
      <c r="E95" s="89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95" s="89" t="str">
        <f ca="1">IFERROR(__xludf.DUMMYFUNCTION("""COMPUTED_VALUE"""),"A3C2. Apoyos asistenciales entregados a madres en etapa adolescente")</f>
        <v>A3C2. Apoyos asistenciales entregados a madres en etapa adolescente</v>
      </c>
      <c r="G95" s="89" t="str">
        <f ca="1">IFERROR(__xludf.DUMMYFUNCTION("""COMPUTED_VALUE"""),"Apoyos asistenciales entregados a madres adolescentes, en 2023")</f>
        <v>Apoyos asistenciales entregados a madres adolescentes, en 2023</v>
      </c>
      <c r="H95" s="89" t="str">
        <f ca="1">IFERROR(__xludf.DUMMYFUNCTION("""COMPUTED_VALUE"""),"HOM Junio")</f>
        <v>HOM Junio</v>
      </c>
      <c r="I95" s="89" t="str">
        <f ca="1">IFERROR(__xludf.DUMMYFUNCTION("""COMPUTED_VALUE"""),"Junio")</f>
        <v>Junio</v>
      </c>
      <c r="J95" s="89" t="str">
        <f ca="1">IFERROR(__xludf.DUMMYFUNCTION("""COMPUTED_VALUE"""),"HOM")</f>
        <v>HOM</v>
      </c>
      <c r="K95" s="92">
        <f ca="1">IFERROR(__xludf.DUMMYFUNCTION("""COMPUTED_VALUE"""),0)</f>
        <v>0</v>
      </c>
      <c r="L95" s="89" t="str">
        <f ca="1">IFERROR(__xludf.DUMMYFUNCTION("""COMPUTED_VALUE"""),"TRIMESTRE 2")</f>
        <v>TRIMESTRE 2</v>
      </c>
      <c r="M95" s="89" t="str">
        <f ca="1">IFERROR(__xludf.DUMMYFUNCTION("""COMPUTED_VALUE"""),"HOMBRES ADULTOS")</f>
        <v>HOMBRES ADULTOS</v>
      </c>
    </row>
    <row r="96" spans="1:13">
      <c r="A96" s="89" t="str">
        <f ca="1">IFERROR(__xludf.DUMMYFUNCTION("""COMPUTED_VALUE"""),"4.1.2.3")</f>
        <v>4.1.2.3</v>
      </c>
      <c r="B96" s="89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96" s="89" t="str">
        <f ca="1">IFERROR(__xludf.DUMMYFUNCTION("""COMPUTED_VALUE"""),"4. Programas")</f>
        <v>4. Programas</v>
      </c>
      <c r="D96" s="89" t="str">
        <f ca="1">IFERROR(__xludf.DUMMYFUNCTION("""COMPUTED_VALUE"""),"Guadalajara: Capital de las niñas y los niños")</f>
        <v>Guadalajara: Capital de las niñas y los niños</v>
      </c>
      <c r="E96" s="89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96" s="89" t="str">
        <f ca="1">IFERROR(__xludf.DUMMYFUNCTION("""COMPUTED_VALUE"""),"A3C2. Apoyos asistenciales entregados a madres en etapa adolescente")</f>
        <v>A3C2. Apoyos asistenciales entregados a madres en etapa adolescente</v>
      </c>
      <c r="G96" s="89" t="str">
        <f ca="1">IFERROR(__xludf.DUMMYFUNCTION("""COMPUTED_VALUE"""),"Apoyos asistenciales entregados a madres adolescentes, en 2023")</f>
        <v>Apoyos asistenciales entregados a madres adolescentes, en 2023</v>
      </c>
      <c r="H96" s="89" t="str">
        <f ca="1">IFERROR(__xludf.DUMMYFUNCTION("""COMPUTED_VALUE"""),"AMM Junio")</f>
        <v>AMM Junio</v>
      </c>
      <c r="I96" s="89" t="str">
        <f ca="1">IFERROR(__xludf.DUMMYFUNCTION("""COMPUTED_VALUE"""),"Junio")</f>
        <v>Junio</v>
      </c>
      <c r="J96" s="89" t="str">
        <f ca="1">IFERROR(__xludf.DUMMYFUNCTION("""COMPUTED_VALUE"""),"AMM")</f>
        <v>AMM</v>
      </c>
      <c r="K96" s="92">
        <f ca="1">IFERROR(__xludf.DUMMYFUNCTION("""COMPUTED_VALUE"""),0)</f>
        <v>0</v>
      </c>
      <c r="L96" s="89" t="str">
        <f ca="1">IFERROR(__xludf.DUMMYFUNCTION("""COMPUTED_VALUE"""),"TRIMESTRE 2")</f>
        <v>TRIMESTRE 2</v>
      </c>
      <c r="M96" s="89" t="str">
        <f ca="1">IFERROR(__xludf.DUMMYFUNCTION("""COMPUTED_VALUE"""),"ADULTA MAYOR MUJER")</f>
        <v>ADULTA MAYOR MUJER</v>
      </c>
    </row>
    <row r="97" spans="1:13">
      <c r="A97" s="89" t="str">
        <f ca="1">IFERROR(__xludf.DUMMYFUNCTION("""COMPUTED_VALUE"""),"4.1.2.3")</f>
        <v>4.1.2.3</v>
      </c>
      <c r="B97" s="89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97" s="89" t="str">
        <f ca="1">IFERROR(__xludf.DUMMYFUNCTION("""COMPUTED_VALUE"""),"4. Programas")</f>
        <v>4. Programas</v>
      </c>
      <c r="D97" s="89" t="str">
        <f ca="1">IFERROR(__xludf.DUMMYFUNCTION("""COMPUTED_VALUE"""),"Guadalajara: Capital de las niñas y los niños")</f>
        <v>Guadalajara: Capital de las niñas y los niños</v>
      </c>
      <c r="E97" s="89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97" s="89" t="str">
        <f ca="1">IFERROR(__xludf.DUMMYFUNCTION("""COMPUTED_VALUE"""),"A3C2. Apoyos asistenciales entregados a madres en etapa adolescente")</f>
        <v>A3C2. Apoyos asistenciales entregados a madres en etapa adolescente</v>
      </c>
      <c r="G97" s="89" t="str">
        <f ca="1">IFERROR(__xludf.DUMMYFUNCTION("""COMPUTED_VALUE"""),"Apoyos asistenciales entregados a madres adolescentes, en 2023")</f>
        <v>Apoyos asistenciales entregados a madres adolescentes, en 2023</v>
      </c>
      <c r="H97" s="89" t="str">
        <f ca="1">IFERROR(__xludf.DUMMYFUNCTION("""COMPUTED_VALUE"""),"AMH Junio")</f>
        <v>AMH Junio</v>
      </c>
      <c r="I97" s="89" t="str">
        <f ca="1">IFERROR(__xludf.DUMMYFUNCTION("""COMPUTED_VALUE"""),"Junio")</f>
        <v>Junio</v>
      </c>
      <c r="J97" s="89" t="str">
        <f ca="1">IFERROR(__xludf.DUMMYFUNCTION("""COMPUTED_VALUE"""),"AMH")</f>
        <v>AMH</v>
      </c>
      <c r="K97" s="92">
        <f ca="1">IFERROR(__xludf.DUMMYFUNCTION("""COMPUTED_VALUE"""),0)</f>
        <v>0</v>
      </c>
      <c r="L97" s="89" t="str">
        <f ca="1">IFERROR(__xludf.DUMMYFUNCTION("""COMPUTED_VALUE"""),"TRIMESTRE 2")</f>
        <v>TRIMESTRE 2</v>
      </c>
      <c r="M97" s="89" t="str">
        <f ca="1">IFERROR(__xludf.DUMMYFUNCTION("""COMPUTED_VALUE"""),"ADULTO MAYOR HOMBRE")</f>
        <v>ADULTO MAYOR HOMBRE</v>
      </c>
    </row>
    <row r="98" spans="1:13">
      <c r="A98" s="89" t="str">
        <f ca="1">IFERROR(__xludf.DUMMYFUNCTION("""COMPUTED_VALUE"""),"4.1.2.2")</f>
        <v>4.1.2.2</v>
      </c>
      <c r="B98" s="89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98" s="89" t="str">
        <f ca="1">IFERROR(__xludf.DUMMYFUNCTION("""COMPUTED_VALUE"""),"4. Programas")</f>
        <v>4. Programas</v>
      </c>
      <c r="D98" s="89" t="str">
        <f ca="1">IFERROR(__xludf.DUMMYFUNCTION("""COMPUTED_VALUE"""),"Guadalajara: Capital de las niñas y los niños")</f>
        <v>Guadalajara: Capital de las niñas y los niños</v>
      </c>
      <c r="E98" s="89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98" s="89" t="str">
        <f ca="1">IFERROR(__xludf.DUMMYFUNCTION("""COMPUTED_VALUE"""),"A2C2. Raciones alimentarias entregadas a NNA y sus cuidadores")</f>
        <v>A2C2. Raciones alimentarias entregadas a NNA y sus cuidadores</v>
      </c>
      <c r="G98" s="89" t="str">
        <f ca="1">IFERROR(__xludf.DUMMYFUNCTION("""COMPUTED_VALUE"""),"Porcentaje de raciones entregadas a NNA y sus cuidadores, en 2023")</f>
        <v>Porcentaje de raciones entregadas a NNA y sus cuidadores, en 2023</v>
      </c>
      <c r="H98" s="89" t="str">
        <f ca="1">IFERROR(__xludf.DUMMYFUNCTION("""COMPUTED_VALUE"""),"NAS Julio")</f>
        <v>NAS Julio</v>
      </c>
      <c r="I98" s="89" t="str">
        <f ca="1">IFERROR(__xludf.DUMMYFUNCTION("""COMPUTED_VALUE"""),"Julio")</f>
        <v>Julio</v>
      </c>
      <c r="J98" s="89" t="str">
        <f ca="1">IFERROR(__xludf.DUMMYFUNCTION("""COMPUTED_VALUE"""),"NAS")</f>
        <v>NAS</v>
      </c>
      <c r="K98" s="92">
        <f ca="1">IFERROR(__xludf.DUMMYFUNCTION("""COMPUTED_VALUE"""),265)</f>
        <v>265</v>
      </c>
      <c r="L98" s="89" t="str">
        <f ca="1">IFERROR(__xludf.DUMMYFUNCTION("""COMPUTED_VALUE"""),"TRIMESTRE 3")</f>
        <v>TRIMESTRE 3</v>
      </c>
      <c r="M98" s="89" t="str">
        <f ca="1">IFERROR(__xludf.DUMMYFUNCTION("""COMPUTED_VALUE"""),"NIÑAS")</f>
        <v>NIÑAS</v>
      </c>
    </row>
    <row r="99" spans="1:13">
      <c r="A99" s="89" t="str">
        <f ca="1">IFERROR(__xludf.DUMMYFUNCTION("""COMPUTED_VALUE"""),"4.1.2.2")</f>
        <v>4.1.2.2</v>
      </c>
      <c r="B99" s="89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99" s="89" t="str">
        <f ca="1">IFERROR(__xludf.DUMMYFUNCTION("""COMPUTED_VALUE"""),"4. Programas")</f>
        <v>4. Programas</v>
      </c>
      <c r="D99" s="89" t="str">
        <f ca="1">IFERROR(__xludf.DUMMYFUNCTION("""COMPUTED_VALUE"""),"Guadalajara: Capital de las niñas y los niños")</f>
        <v>Guadalajara: Capital de las niñas y los niños</v>
      </c>
      <c r="E99" s="89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99" s="89" t="str">
        <f ca="1">IFERROR(__xludf.DUMMYFUNCTION("""COMPUTED_VALUE"""),"A2C2. Raciones alimentarias entregadas a NNA y sus cuidadores")</f>
        <v>A2C2. Raciones alimentarias entregadas a NNA y sus cuidadores</v>
      </c>
      <c r="G99" s="89" t="str">
        <f ca="1">IFERROR(__xludf.DUMMYFUNCTION("""COMPUTED_VALUE"""),"Porcentaje de raciones entregadas a NNA y sus cuidadores, en 2023")</f>
        <v>Porcentaje de raciones entregadas a NNA y sus cuidadores, en 2023</v>
      </c>
      <c r="H99" s="89" t="str">
        <f ca="1">IFERROR(__xludf.DUMMYFUNCTION("""COMPUTED_VALUE"""),"NOS Julio")</f>
        <v>NOS Julio</v>
      </c>
      <c r="I99" s="89" t="str">
        <f ca="1">IFERROR(__xludf.DUMMYFUNCTION("""COMPUTED_VALUE"""),"Julio")</f>
        <v>Julio</v>
      </c>
      <c r="J99" s="89" t="str">
        <f ca="1">IFERROR(__xludf.DUMMYFUNCTION("""COMPUTED_VALUE"""),"NOS")</f>
        <v>NOS</v>
      </c>
      <c r="K99" s="92">
        <f ca="1">IFERROR(__xludf.DUMMYFUNCTION("""COMPUTED_VALUE"""),288)</f>
        <v>288</v>
      </c>
      <c r="L99" s="89" t="str">
        <f ca="1">IFERROR(__xludf.DUMMYFUNCTION("""COMPUTED_VALUE"""),"TRIMESTRE 3")</f>
        <v>TRIMESTRE 3</v>
      </c>
      <c r="M99" s="89" t="str">
        <f ca="1">IFERROR(__xludf.DUMMYFUNCTION("""COMPUTED_VALUE"""),"NIÑOS")</f>
        <v>NIÑOS</v>
      </c>
    </row>
    <row r="100" spans="1:13">
      <c r="A100" s="89" t="str">
        <f ca="1">IFERROR(__xludf.DUMMYFUNCTION("""COMPUTED_VALUE"""),"4.1.2.2")</f>
        <v>4.1.2.2</v>
      </c>
      <c r="B100" s="89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100" s="89" t="str">
        <f ca="1">IFERROR(__xludf.DUMMYFUNCTION("""COMPUTED_VALUE"""),"4. Programas")</f>
        <v>4. Programas</v>
      </c>
      <c r="D100" s="89" t="str">
        <f ca="1">IFERROR(__xludf.DUMMYFUNCTION("""COMPUTED_VALUE"""),"Guadalajara: Capital de las niñas y los niños")</f>
        <v>Guadalajara: Capital de las niñas y los niños</v>
      </c>
      <c r="E100" s="89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100" s="89" t="str">
        <f ca="1">IFERROR(__xludf.DUMMYFUNCTION("""COMPUTED_VALUE"""),"A2C2. Raciones alimentarias entregadas a NNA y sus cuidadores")</f>
        <v>A2C2. Raciones alimentarias entregadas a NNA y sus cuidadores</v>
      </c>
      <c r="G100" s="89" t="str">
        <f ca="1">IFERROR(__xludf.DUMMYFUNCTION("""COMPUTED_VALUE"""),"Porcentaje de raciones entregadas a NNA y sus cuidadores, en 2023")</f>
        <v>Porcentaje de raciones entregadas a NNA y sus cuidadores, en 2023</v>
      </c>
      <c r="H100" s="89" t="str">
        <f ca="1">IFERROR(__xludf.DUMMYFUNCTION("""COMPUTED_VALUE"""),"AM JULIO")</f>
        <v>AM JULIO</v>
      </c>
      <c r="I100" s="89" t="str">
        <f ca="1">IFERROR(__xludf.DUMMYFUNCTION("""COMPUTED_VALUE"""),"Julio")</f>
        <v>Julio</v>
      </c>
      <c r="J100" s="89" t="str">
        <f ca="1">IFERROR(__xludf.DUMMYFUNCTION("""COMPUTED_VALUE"""),"AM")</f>
        <v>AM</v>
      </c>
      <c r="K100" s="92">
        <f ca="1">IFERROR(__xludf.DUMMYFUNCTION("""COMPUTED_VALUE"""),60)</f>
        <v>60</v>
      </c>
      <c r="L100" s="89" t="str">
        <f ca="1">IFERROR(__xludf.DUMMYFUNCTION("""COMPUTED_VALUE"""),"TRIMESTRE 3")</f>
        <v>TRIMESTRE 3</v>
      </c>
      <c r="M100" s="89" t="str">
        <f ca="1">IFERROR(__xludf.DUMMYFUNCTION("""COMPUTED_VALUE"""),"ADOLESCENTES MUJERES")</f>
        <v>ADOLESCENTES MUJERES</v>
      </c>
    </row>
    <row r="101" spans="1:13">
      <c r="A101" s="89" t="str">
        <f ca="1">IFERROR(__xludf.DUMMYFUNCTION("""COMPUTED_VALUE"""),"4.1.2.2")</f>
        <v>4.1.2.2</v>
      </c>
      <c r="B101" s="89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101" s="89" t="str">
        <f ca="1">IFERROR(__xludf.DUMMYFUNCTION("""COMPUTED_VALUE"""),"4. Programas")</f>
        <v>4. Programas</v>
      </c>
      <c r="D101" s="89" t="str">
        <f ca="1">IFERROR(__xludf.DUMMYFUNCTION("""COMPUTED_VALUE"""),"Guadalajara: Capital de las niñas y los niños")</f>
        <v>Guadalajara: Capital de las niñas y los niños</v>
      </c>
      <c r="E101" s="89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101" s="89" t="str">
        <f ca="1">IFERROR(__xludf.DUMMYFUNCTION("""COMPUTED_VALUE"""),"A2C2. Raciones alimentarias entregadas a NNA y sus cuidadores")</f>
        <v>A2C2. Raciones alimentarias entregadas a NNA y sus cuidadores</v>
      </c>
      <c r="G101" s="89" t="str">
        <f ca="1">IFERROR(__xludf.DUMMYFUNCTION("""COMPUTED_VALUE"""),"Porcentaje de raciones entregadas a NNA y sus cuidadores, en 2023")</f>
        <v>Porcentaje de raciones entregadas a NNA y sus cuidadores, en 2023</v>
      </c>
      <c r="H101" s="89" t="str">
        <f ca="1">IFERROR(__xludf.DUMMYFUNCTION("""COMPUTED_VALUE"""),"AH JULIO")</f>
        <v>AH JULIO</v>
      </c>
      <c r="I101" s="89" t="str">
        <f ca="1">IFERROR(__xludf.DUMMYFUNCTION("""COMPUTED_VALUE"""),"Julio")</f>
        <v>Julio</v>
      </c>
      <c r="J101" s="89" t="str">
        <f ca="1">IFERROR(__xludf.DUMMYFUNCTION("""COMPUTED_VALUE"""),"AH")</f>
        <v>AH</v>
      </c>
      <c r="K101" s="92">
        <f ca="1">IFERROR(__xludf.DUMMYFUNCTION("""COMPUTED_VALUE"""),48)</f>
        <v>48</v>
      </c>
      <c r="L101" s="89" t="str">
        <f ca="1">IFERROR(__xludf.DUMMYFUNCTION("""COMPUTED_VALUE"""),"TRIMESTRE 3")</f>
        <v>TRIMESTRE 3</v>
      </c>
      <c r="M101" s="89" t="str">
        <f ca="1">IFERROR(__xludf.DUMMYFUNCTION("""COMPUTED_VALUE"""),"ADOLESCENTES HOMBRES")</f>
        <v>ADOLESCENTES HOMBRES</v>
      </c>
    </row>
    <row r="102" spans="1:13">
      <c r="A102" s="89" t="str">
        <f ca="1">IFERROR(__xludf.DUMMYFUNCTION("""COMPUTED_VALUE"""),"4.1.2.2")</f>
        <v>4.1.2.2</v>
      </c>
      <c r="B102" s="89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102" s="89" t="str">
        <f ca="1">IFERROR(__xludf.DUMMYFUNCTION("""COMPUTED_VALUE"""),"4. Programas")</f>
        <v>4. Programas</v>
      </c>
      <c r="D102" s="89" t="str">
        <f ca="1">IFERROR(__xludf.DUMMYFUNCTION("""COMPUTED_VALUE"""),"Guadalajara: Capital de las niñas y los niños")</f>
        <v>Guadalajara: Capital de las niñas y los niños</v>
      </c>
      <c r="E102" s="89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102" s="89" t="str">
        <f ca="1">IFERROR(__xludf.DUMMYFUNCTION("""COMPUTED_VALUE"""),"A2C2. Raciones alimentarias entregadas a NNA y sus cuidadores")</f>
        <v>A2C2. Raciones alimentarias entregadas a NNA y sus cuidadores</v>
      </c>
      <c r="G102" s="89" t="str">
        <f ca="1">IFERROR(__xludf.DUMMYFUNCTION("""COMPUTED_VALUE"""),"Porcentaje de raciones entregadas a NNA y sus cuidadores, en 2023")</f>
        <v>Porcentaje de raciones entregadas a NNA y sus cuidadores, en 2023</v>
      </c>
      <c r="H102" s="89" t="str">
        <f ca="1">IFERROR(__xludf.DUMMYFUNCTION("""COMPUTED_VALUE"""),"MUJ Julio")</f>
        <v>MUJ Julio</v>
      </c>
      <c r="I102" s="89" t="str">
        <f ca="1">IFERROR(__xludf.DUMMYFUNCTION("""COMPUTED_VALUE"""),"Julio")</f>
        <v>Julio</v>
      </c>
      <c r="J102" s="89" t="str">
        <f ca="1">IFERROR(__xludf.DUMMYFUNCTION("""COMPUTED_VALUE"""),"MUJ")</f>
        <v>MUJ</v>
      </c>
      <c r="K102" s="92">
        <f ca="1">IFERROR(__xludf.DUMMYFUNCTION("""COMPUTED_VALUE"""),22)</f>
        <v>22</v>
      </c>
      <c r="L102" s="89" t="str">
        <f ca="1">IFERROR(__xludf.DUMMYFUNCTION("""COMPUTED_VALUE"""),"TRIMESTRE 3")</f>
        <v>TRIMESTRE 3</v>
      </c>
      <c r="M102" s="89" t="str">
        <f ca="1">IFERROR(__xludf.DUMMYFUNCTION("""COMPUTED_VALUE"""),"MUJERES ADULTAS")</f>
        <v>MUJERES ADULTAS</v>
      </c>
    </row>
    <row r="103" spans="1:13">
      <c r="A103" s="89" t="str">
        <f ca="1">IFERROR(__xludf.DUMMYFUNCTION("""COMPUTED_VALUE"""),"4.1.2.2")</f>
        <v>4.1.2.2</v>
      </c>
      <c r="B103" s="89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103" s="89" t="str">
        <f ca="1">IFERROR(__xludf.DUMMYFUNCTION("""COMPUTED_VALUE"""),"4. Programas")</f>
        <v>4. Programas</v>
      </c>
      <c r="D103" s="89" t="str">
        <f ca="1">IFERROR(__xludf.DUMMYFUNCTION("""COMPUTED_VALUE"""),"Guadalajara: Capital de las niñas y los niños")</f>
        <v>Guadalajara: Capital de las niñas y los niños</v>
      </c>
      <c r="E103" s="89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103" s="89" t="str">
        <f ca="1">IFERROR(__xludf.DUMMYFUNCTION("""COMPUTED_VALUE"""),"A2C2. Raciones alimentarias entregadas a NNA y sus cuidadores")</f>
        <v>A2C2. Raciones alimentarias entregadas a NNA y sus cuidadores</v>
      </c>
      <c r="G103" s="89" t="str">
        <f ca="1">IFERROR(__xludf.DUMMYFUNCTION("""COMPUTED_VALUE"""),"Porcentaje de raciones entregadas a NNA y sus cuidadores, en 2023")</f>
        <v>Porcentaje de raciones entregadas a NNA y sus cuidadores, en 2023</v>
      </c>
      <c r="H103" s="89" t="str">
        <f ca="1">IFERROR(__xludf.DUMMYFUNCTION("""COMPUTED_VALUE"""),"HOM Julio")</f>
        <v>HOM Julio</v>
      </c>
      <c r="I103" s="89" t="str">
        <f ca="1">IFERROR(__xludf.DUMMYFUNCTION("""COMPUTED_VALUE"""),"Julio")</f>
        <v>Julio</v>
      </c>
      <c r="J103" s="89" t="str">
        <f ca="1">IFERROR(__xludf.DUMMYFUNCTION("""COMPUTED_VALUE"""),"HOM")</f>
        <v>HOM</v>
      </c>
      <c r="K103" s="92">
        <f ca="1">IFERROR(__xludf.DUMMYFUNCTION("""COMPUTED_VALUE"""),44)</f>
        <v>44</v>
      </c>
      <c r="L103" s="89" t="str">
        <f ca="1">IFERROR(__xludf.DUMMYFUNCTION("""COMPUTED_VALUE"""),"TRIMESTRE 3")</f>
        <v>TRIMESTRE 3</v>
      </c>
      <c r="M103" s="89" t="str">
        <f ca="1">IFERROR(__xludf.DUMMYFUNCTION("""COMPUTED_VALUE"""),"HOMBRES ADULTOS")</f>
        <v>HOMBRES ADULTOS</v>
      </c>
    </row>
    <row r="104" spans="1:13">
      <c r="A104" s="89" t="str">
        <f ca="1">IFERROR(__xludf.DUMMYFUNCTION("""COMPUTED_VALUE"""),"4.1.2.2")</f>
        <v>4.1.2.2</v>
      </c>
      <c r="B104" s="89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104" s="89" t="str">
        <f ca="1">IFERROR(__xludf.DUMMYFUNCTION("""COMPUTED_VALUE"""),"4. Programas")</f>
        <v>4. Programas</v>
      </c>
      <c r="D104" s="89" t="str">
        <f ca="1">IFERROR(__xludf.DUMMYFUNCTION("""COMPUTED_VALUE"""),"Guadalajara: Capital de las niñas y los niños")</f>
        <v>Guadalajara: Capital de las niñas y los niños</v>
      </c>
      <c r="E104" s="89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104" s="89" t="str">
        <f ca="1">IFERROR(__xludf.DUMMYFUNCTION("""COMPUTED_VALUE"""),"A2C2. Raciones alimentarias entregadas a NNA y sus cuidadores")</f>
        <v>A2C2. Raciones alimentarias entregadas a NNA y sus cuidadores</v>
      </c>
      <c r="G104" s="89" t="str">
        <f ca="1">IFERROR(__xludf.DUMMYFUNCTION("""COMPUTED_VALUE"""),"Porcentaje de raciones entregadas a NNA y sus cuidadores, en 2023")</f>
        <v>Porcentaje de raciones entregadas a NNA y sus cuidadores, en 2023</v>
      </c>
      <c r="H104" s="89" t="str">
        <f ca="1">IFERROR(__xludf.DUMMYFUNCTION("""COMPUTED_VALUE"""),"AMM Julio")</f>
        <v>AMM Julio</v>
      </c>
      <c r="I104" s="89" t="str">
        <f ca="1">IFERROR(__xludf.DUMMYFUNCTION("""COMPUTED_VALUE"""),"Julio")</f>
        <v>Julio</v>
      </c>
      <c r="J104" s="89" t="str">
        <f ca="1">IFERROR(__xludf.DUMMYFUNCTION("""COMPUTED_VALUE"""),"AMM")</f>
        <v>AMM</v>
      </c>
      <c r="K104" s="92">
        <f ca="1">IFERROR(__xludf.DUMMYFUNCTION("""COMPUTED_VALUE"""),0)</f>
        <v>0</v>
      </c>
      <c r="L104" s="89" t="str">
        <f ca="1">IFERROR(__xludf.DUMMYFUNCTION("""COMPUTED_VALUE"""),"TRIMESTRE 3")</f>
        <v>TRIMESTRE 3</v>
      </c>
      <c r="M104" s="89" t="str">
        <f ca="1">IFERROR(__xludf.DUMMYFUNCTION("""COMPUTED_VALUE"""),"ADULTA MAYOR MUJER")</f>
        <v>ADULTA MAYOR MUJER</v>
      </c>
    </row>
    <row r="105" spans="1:13">
      <c r="A105" s="89" t="str">
        <f ca="1">IFERROR(__xludf.DUMMYFUNCTION("""COMPUTED_VALUE"""),"4.1.2.2")</f>
        <v>4.1.2.2</v>
      </c>
      <c r="B105" s="89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105" s="89" t="str">
        <f ca="1">IFERROR(__xludf.DUMMYFUNCTION("""COMPUTED_VALUE"""),"4. Programas")</f>
        <v>4. Programas</v>
      </c>
      <c r="D105" s="89" t="str">
        <f ca="1">IFERROR(__xludf.DUMMYFUNCTION("""COMPUTED_VALUE"""),"Guadalajara: Capital de las niñas y los niños")</f>
        <v>Guadalajara: Capital de las niñas y los niños</v>
      </c>
      <c r="E105" s="89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105" s="89" t="str">
        <f ca="1">IFERROR(__xludf.DUMMYFUNCTION("""COMPUTED_VALUE"""),"A2C2. Raciones alimentarias entregadas a NNA y sus cuidadores")</f>
        <v>A2C2. Raciones alimentarias entregadas a NNA y sus cuidadores</v>
      </c>
      <c r="G105" s="89" t="str">
        <f ca="1">IFERROR(__xludf.DUMMYFUNCTION("""COMPUTED_VALUE"""),"Porcentaje de raciones entregadas a NNA y sus cuidadores, en 2023")</f>
        <v>Porcentaje de raciones entregadas a NNA y sus cuidadores, en 2023</v>
      </c>
      <c r="H105" s="89" t="str">
        <f ca="1">IFERROR(__xludf.DUMMYFUNCTION("""COMPUTED_VALUE"""),"AMH Julio")</f>
        <v>AMH Julio</v>
      </c>
      <c r="I105" s="89" t="str">
        <f ca="1">IFERROR(__xludf.DUMMYFUNCTION("""COMPUTED_VALUE"""),"Julio")</f>
        <v>Julio</v>
      </c>
      <c r="J105" s="89" t="str">
        <f ca="1">IFERROR(__xludf.DUMMYFUNCTION("""COMPUTED_VALUE"""),"AMH")</f>
        <v>AMH</v>
      </c>
      <c r="K105" s="92">
        <f ca="1">IFERROR(__xludf.DUMMYFUNCTION("""COMPUTED_VALUE"""),0)</f>
        <v>0</v>
      </c>
      <c r="L105" s="89" t="str">
        <f ca="1">IFERROR(__xludf.DUMMYFUNCTION("""COMPUTED_VALUE"""),"TRIMESTRE 3")</f>
        <v>TRIMESTRE 3</v>
      </c>
      <c r="M105" s="89" t="str">
        <f ca="1">IFERROR(__xludf.DUMMYFUNCTION("""COMPUTED_VALUE"""),"ADULTO MAYOR HOMBRE")</f>
        <v>ADULTO MAYOR HOMBRE</v>
      </c>
    </row>
    <row r="106" spans="1:13">
      <c r="A106" s="89" t="str">
        <f ca="1">IFERROR(__xludf.DUMMYFUNCTION("""COMPUTED_VALUE"""),"4.1.2.3")</f>
        <v>4.1.2.3</v>
      </c>
      <c r="B106" s="89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106" s="89" t="str">
        <f ca="1">IFERROR(__xludf.DUMMYFUNCTION("""COMPUTED_VALUE"""),"4. Programas")</f>
        <v>4. Programas</v>
      </c>
      <c r="D106" s="89" t="str">
        <f ca="1">IFERROR(__xludf.DUMMYFUNCTION("""COMPUTED_VALUE"""),"Guadalajara: Capital de las niñas y los niños")</f>
        <v>Guadalajara: Capital de las niñas y los niños</v>
      </c>
      <c r="E106" s="89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106" s="89" t="str">
        <f ca="1">IFERROR(__xludf.DUMMYFUNCTION("""COMPUTED_VALUE"""),"A3C2. Apoyos asistenciales entregados a madres en etapa adolescente")</f>
        <v>A3C2. Apoyos asistenciales entregados a madres en etapa adolescente</v>
      </c>
      <c r="G106" s="89" t="str">
        <f ca="1">IFERROR(__xludf.DUMMYFUNCTION("""COMPUTED_VALUE"""),"Apoyos asistenciales entregados a madres adolescentes, en 2023")</f>
        <v>Apoyos asistenciales entregados a madres adolescentes, en 2023</v>
      </c>
      <c r="H106" s="89" t="str">
        <f ca="1">IFERROR(__xludf.DUMMYFUNCTION("""COMPUTED_VALUE"""),"NAS Julio")</f>
        <v>NAS Julio</v>
      </c>
      <c r="I106" s="89" t="str">
        <f ca="1">IFERROR(__xludf.DUMMYFUNCTION("""COMPUTED_VALUE"""),"Julio")</f>
        <v>Julio</v>
      </c>
      <c r="J106" s="89" t="str">
        <f ca="1">IFERROR(__xludf.DUMMYFUNCTION("""COMPUTED_VALUE"""),"NAS")</f>
        <v>NAS</v>
      </c>
      <c r="K106" s="92">
        <f ca="1">IFERROR(__xludf.DUMMYFUNCTION("""COMPUTED_VALUE"""),0)</f>
        <v>0</v>
      </c>
      <c r="L106" s="89" t="str">
        <f ca="1">IFERROR(__xludf.DUMMYFUNCTION("""COMPUTED_VALUE"""),"TRIMESTRE 3")</f>
        <v>TRIMESTRE 3</v>
      </c>
      <c r="M106" s="89" t="str">
        <f ca="1">IFERROR(__xludf.DUMMYFUNCTION("""COMPUTED_VALUE"""),"NIÑAS")</f>
        <v>NIÑAS</v>
      </c>
    </row>
    <row r="107" spans="1:13">
      <c r="A107" s="89" t="str">
        <f ca="1">IFERROR(__xludf.DUMMYFUNCTION("""COMPUTED_VALUE"""),"4.1.2.3")</f>
        <v>4.1.2.3</v>
      </c>
      <c r="B107" s="89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107" s="89" t="str">
        <f ca="1">IFERROR(__xludf.DUMMYFUNCTION("""COMPUTED_VALUE"""),"4. Programas")</f>
        <v>4. Programas</v>
      </c>
      <c r="D107" s="89" t="str">
        <f ca="1">IFERROR(__xludf.DUMMYFUNCTION("""COMPUTED_VALUE"""),"Guadalajara: Capital de las niñas y los niños")</f>
        <v>Guadalajara: Capital de las niñas y los niños</v>
      </c>
      <c r="E107" s="89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107" s="89" t="str">
        <f ca="1">IFERROR(__xludf.DUMMYFUNCTION("""COMPUTED_VALUE"""),"A3C2. Apoyos asistenciales entregados a madres en etapa adolescente")</f>
        <v>A3C2. Apoyos asistenciales entregados a madres en etapa adolescente</v>
      </c>
      <c r="G107" s="89" t="str">
        <f ca="1">IFERROR(__xludf.DUMMYFUNCTION("""COMPUTED_VALUE"""),"Apoyos asistenciales entregados a madres adolescentes, en 2023")</f>
        <v>Apoyos asistenciales entregados a madres adolescentes, en 2023</v>
      </c>
      <c r="H107" s="89" t="str">
        <f ca="1">IFERROR(__xludf.DUMMYFUNCTION("""COMPUTED_VALUE"""),"NOS Julio")</f>
        <v>NOS Julio</v>
      </c>
      <c r="I107" s="89" t="str">
        <f ca="1">IFERROR(__xludf.DUMMYFUNCTION("""COMPUTED_VALUE"""),"Julio")</f>
        <v>Julio</v>
      </c>
      <c r="J107" s="89" t="str">
        <f ca="1">IFERROR(__xludf.DUMMYFUNCTION("""COMPUTED_VALUE"""),"NOS")</f>
        <v>NOS</v>
      </c>
      <c r="K107" s="92">
        <f ca="1">IFERROR(__xludf.DUMMYFUNCTION("""COMPUTED_VALUE"""),0)</f>
        <v>0</v>
      </c>
      <c r="L107" s="89" t="str">
        <f ca="1">IFERROR(__xludf.DUMMYFUNCTION("""COMPUTED_VALUE"""),"TRIMESTRE 3")</f>
        <v>TRIMESTRE 3</v>
      </c>
      <c r="M107" s="89" t="str">
        <f ca="1">IFERROR(__xludf.DUMMYFUNCTION("""COMPUTED_VALUE"""),"NIÑOS")</f>
        <v>NIÑOS</v>
      </c>
    </row>
    <row r="108" spans="1:13">
      <c r="A108" s="89" t="str">
        <f ca="1">IFERROR(__xludf.DUMMYFUNCTION("""COMPUTED_VALUE"""),"4.1.2.3")</f>
        <v>4.1.2.3</v>
      </c>
      <c r="B108" s="89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108" s="89" t="str">
        <f ca="1">IFERROR(__xludf.DUMMYFUNCTION("""COMPUTED_VALUE"""),"4. Programas")</f>
        <v>4. Programas</v>
      </c>
      <c r="D108" s="89" t="str">
        <f ca="1">IFERROR(__xludf.DUMMYFUNCTION("""COMPUTED_VALUE"""),"Guadalajara: Capital de las niñas y los niños")</f>
        <v>Guadalajara: Capital de las niñas y los niños</v>
      </c>
      <c r="E108" s="89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108" s="89" t="str">
        <f ca="1">IFERROR(__xludf.DUMMYFUNCTION("""COMPUTED_VALUE"""),"A3C2. Apoyos asistenciales entregados a madres en etapa adolescente")</f>
        <v>A3C2. Apoyos asistenciales entregados a madres en etapa adolescente</v>
      </c>
      <c r="G108" s="89" t="str">
        <f ca="1">IFERROR(__xludf.DUMMYFUNCTION("""COMPUTED_VALUE"""),"Apoyos asistenciales entregados a madres adolescentes, en 2023")</f>
        <v>Apoyos asistenciales entregados a madres adolescentes, en 2023</v>
      </c>
      <c r="H108" s="89" t="str">
        <f ca="1">IFERROR(__xludf.DUMMYFUNCTION("""COMPUTED_VALUE"""),"AM JULIO")</f>
        <v>AM JULIO</v>
      </c>
      <c r="I108" s="89" t="str">
        <f ca="1">IFERROR(__xludf.DUMMYFUNCTION("""COMPUTED_VALUE"""),"Julio")</f>
        <v>Julio</v>
      </c>
      <c r="J108" s="89" t="str">
        <f ca="1">IFERROR(__xludf.DUMMYFUNCTION("""COMPUTED_VALUE"""),"AM")</f>
        <v>AM</v>
      </c>
      <c r="K108" s="92">
        <f ca="1">IFERROR(__xludf.DUMMYFUNCTION("""COMPUTED_VALUE"""),6)</f>
        <v>6</v>
      </c>
      <c r="L108" s="89" t="str">
        <f ca="1">IFERROR(__xludf.DUMMYFUNCTION("""COMPUTED_VALUE"""),"TRIMESTRE 3")</f>
        <v>TRIMESTRE 3</v>
      </c>
      <c r="M108" s="89" t="str">
        <f ca="1">IFERROR(__xludf.DUMMYFUNCTION("""COMPUTED_VALUE"""),"ADOLESCENTES MUJERES")</f>
        <v>ADOLESCENTES MUJERES</v>
      </c>
    </row>
    <row r="109" spans="1:13">
      <c r="A109" s="89" t="str">
        <f ca="1">IFERROR(__xludf.DUMMYFUNCTION("""COMPUTED_VALUE"""),"4.1.2.3")</f>
        <v>4.1.2.3</v>
      </c>
      <c r="B109" s="89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109" s="89" t="str">
        <f ca="1">IFERROR(__xludf.DUMMYFUNCTION("""COMPUTED_VALUE"""),"4. Programas")</f>
        <v>4. Programas</v>
      </c>
      <c r="D109" s="89" t="str">
        <f ca="1">IFERROR(__xludf.DUMMYFUNCTION("""COMPUTED_VALUE"""),"Guadalajara: Capital de las niñas y los niños")</f>
        <v>Guadalajara: Capital de las niñas y los niños</v>
      </c>
      <c r="E109" s="89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109" s="89" t="str">
        <f ca="1">IFERROR(__xludf.DUMMYFUNCTION("""COMPUTED_VALUE"""),"A3C2. Apoyos asistenciales entregados a madres en etapa adolescente")</f>
        <v>A3C2. Apoyos asistenciales entregados a madres en etapa adolescente</v>
      </c>
      <c r="G109" s="89" t="str">
        <f ca="1">IFERROR(__xludf.DUMMYFUNCTION("""COMPUTED_VALUE"""),"Apoyos asistenciales entregados a madres adolescentes, en 2023")</f>
        <v>Apoyos asistenciales entregados a madres adolescentes, en 2023</v>
      </c>
      <c r="H109" s="89" t="str">
        <f ca="1">IFERROR(__xludf.DUMMYFUNCTION("""COMPUTED_VALUE"""),"AH JULIO")</f>
        <v>AH JULIO</v>
      </c>
      <c r="I109" s="89" t="str">
        <f ca="1">IFERROR(__xludf.DUMMYFUNCTION("""COMPUTED_VALUE"""),"Julio")</f>
        <v>Julio</v>
      </c>
      <c r="J109" s="89" t="str">
        <f ca="1">IFERROR(__xludf.DUMMYFUNCTION("""COMPUTED_VALUE"""),"AH")</f>
        <v>AH</v>
      </c>
      <c r="K109" s="92">
        <f ca="1">IFERROR(__xludf.DUMMYFUNCTION("""COMPUTED_VALUE"""),0)</f>
        <v>0</v>
      </c>
      <c r="L109" s="89" t="str">
        <f ca="1">IFERROR(__xludf.DUMMYFUNCTION("""COMPUTED_VALUE"""),"TRIMESTRE 3")</f>
        <v>TRIMESTRE 3</v>
      </c>
      <c r="M109" s="89" t="str">
        <f ca="1">IFERROR(__xludf.DUMMYFUNCTION("""COMPUTED_VALUE"""),"ADOLESCENTES HOMBRES")</f>
        <v>ADOLESCENTES HOMBRES</v>
      </c>
    </row>
    <row r="110" spans="1:13">
      <c r="A110" s="89" t="str">
        <f ca="1">IFERROR(__xludf.DUMMYFUNCTION("""COMPUTED_VALUE"""),"4.1.2.3")</f>
        <v>4.1.2.3</v>
      </c>
      <c r="B110" s="89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110" s="89" t="str">
        <f ca="1">IFERROR(__xludf.DUMMYFUNCTION("""COMPUTED_VALUE"""),"4. Programas")</f>
        <v>4. Programas</v>
      </c>
      <c r="D110" s="89" t="str">
        <f ca="1">IFERROR(__xludf.DUMMYFUNCTION("""COMPUTED_VALUE"""),"Guadalajara: Capital de las niñas y los niños")</f>
        <v>Guadalajara: Capital de las niñas y los niños</v>
      </c>
      <c r="E110" s="89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110" s="89" t="str">
        <f ca="1">IFERROR(__xludf.DUMMYFUNCTION("""COMPUTED_VALUE"""),"A3C2. Apoyos asistenciales entregados a madres en etapa adolescente")</f>
        <v>A3C2. Apoyos asistenciales entregados a madres en etapa adolescente</v>
      </c>
      <c r="G110" s="89" t="str">
        <f ca="1">IFERROR(__xludf.DUMMYFUNCTION("""COMPUTED_VALUE"""),"Apoyos asistenciales entregados a madres adolescentes, en 2023")</f>
        <v>Apoyos asistenciales entregados a madres adolescentes, en 2023</v>
      </c>
      <c r="H110" s="89" t="str">
        <f ca="1">IFERROR(__xludf.DUMMYFUNCTION("""COMPUTED_VALUE"""),"MUJ Julio")</f>
        <v>MUJ Julio</v>
      </c>
      <c r="I110" s="89" t="str">
        <f ca="1">IFERROR(__xludf.DUMMYFUNCTION("""COMPUTED_VALUE"""),"Julio")</f>
        <v>Julio</v>
      </c>
      <c r="J110" s="89" t="str">
        <f ca="1">IFERROR(__xludf.DUMMYFUNCTION("""COMPUTED_VALUE"""),"MUJ")</f>
        <v>MUJ</v>
      </c>
      <c r="K110" s="92">
        <f ca="1">IFERROR(__xludf.DUMMYFUNCTION("""COMPUTED_VALUE"""),0)</f>
        <v>0</v>
      </c>
      <c r="L110" s="89" t="str">
        <f ca="1">IFERROR(__xludf.DUMMYFUNCTION("""COMPUTED_VALUE"""),"TRIMESTRE 3")</f>
        <v>TRIMESTRE 3</v>
      </c>
      <c r="M110" s="89" t="str">
        <f ca="1">IFERROR(__xludf.DUMMYFUNCTION("""COMPUTED_VALUE"""),"MUJERES ADULTAS")</f>
        <v>MUJERES ADULTAS</v>
      </c>
    </row>
    <row r="111" spans="1:13">
      <c r="A111" s="89" t="str">
        <f ca="1">IFERROR(__xludf.DUMMYFUNCTION("""COMPUTED_VALUE"""),"4.1.2.3")</f>
        <v>4.1.2.3</v>
      </c>
      <c r="B111" s="89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111" s="89" t="str">
        <f ca="1">IFERROR(__xludf.DUMMYFUNCTION("""COMPUTED_VALUE"""),"4. Programas")</f>
        <v>4. Programas</v>
      </c>
      <c r="D111" s="89" t="str">
        <f ca="1">IFERROR(__xludf.DUMMYFUNCTION("""COMPUTED_VALUE"""),"Guadalajara: Capital de las niñas y los niños")</f>
        <v>Guadalajara: Capital de las niñas y los niños</v>
      </c>
      <c r="E111" s="89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111" s="89" t="str">
        <f ca="1">IFERROR(__xludf.DUMMYFUNCTION("""COMPUTED_VALUE"""),"A3C2. Apoyos asistenciales entregados a madres en etapa adolescente")</f>
        <v>A3C2. Apoyos asistenciales entregados a madres en etapa adolescente</v>
      </c>
      <c r="G111" s="89" t="str">
        <f ca="1">IFERROR(__xludf.DUMMYFUNCTION("""COMPUTED_VALUE"""),"Apoyos asistenciales entregados a madres adolescentes, en 2023")</f>
        <v>Apoyos asistenciales entregados a madres adolescentes, en 2023</v>
      </c>
      <c r="H111" s="89" t="str">
        <f ca="1">IFERROR(__xludf.DUMMYFUNCTION("""COMPUTED_VALUE"""),"HOM Julio")</f>
        <v>HOM Julio</v>
      </c>
      <c r="I111" s="89" t="str">
        <f ca="1">IFERROR(__xludf.DUMMYFUNCTION("""COMPUTED_VALUE"""),"Julio")</f>
        <v>Julio</v>
      </c>
      <c r="J111" s="89" t="str">
        <f ca="1">IFERROR(__xludf.DUMMYFUNCTION("""COMPUTED_VALUE"""),"HOM")</f>
        <v>HOM</v>
      </c>
      <c r="K111" s="92">
        <f ca="1">IFERROR(__xludf.DUMMYFUNCTION("""COMPUTED_VALUE"""),0)</f>
        <v>0</v>
      </c>
      <c r="L111" s="89" t="str">
        <f ca="1">IFERROR(__xludf.DUMMYFUNCTION("""COMPUTED_VALUE"""),"TRIMESTRE 3")</f>
        <v>TRIMESTRE 3</v>
      </c>
      <c r="M111" s="89" t="str">
        <f ca="1">IFERROR(__xludf.DUMMYFUNCTION("""COMPUTED_VALUE"""),"HOMBRES ADULTOS")</f>
        <v>HOMBRES ADULTOS</v>
      </c>
    </row>
    <row r="112" spans="1:13">
      <c r="A112" s="89" t="str">
        <f ca="1">IFERROR(__xludf.DUMMYFUNCTION("""COMPUTED_VALUE"""),"4.1.2.3")</f>
        <v>4.1.2.3</v>
      </c>
      <c r="B112" s="89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112" s="89" t="str">
        <f ca="1">IFERROR(__xludf.DUMMYFUNCTION("""COMPUTED_VALUE"""),"4. Programas")</f>
        <v>4. Programas</v>
      </c>
      <c r="D112" s="89" t="str">
        <f ca="1">IFERROR(__xludf.DUMMYFUNCTION("""COMPUTED_VALUE"""),"Guadalajara: Capital de las niñas y los niños")</f>
        <v>Guadalajara: Capital de las niñas y los niños</v>
      </c>
      <c r="E112" s="89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112" s="89" t="str">
        <f ca="1">IFERROR(__xludf.DUMMYFUNCTION("""COMPUTED_VALUE"""),"A3C2. Apoyos asistenciales entregados a madres en etapa adolescente")</f>
        <v>A3C2. Apoyos asistenciales entregados a madres en etapa adolescente</v>
      </c>
      <c r="G112" s="89" t="str">
        <f ca="1">IFERROR(__xludf.DUMMYFUNCTION("""COMPUTED_VALUE"""),"Apoyos asistenciales entregados a madres adolescentes, en 2023")</f>
        <v>Apoyos asistenciales entregados a madres adolescentes, en 2023</v>
      </c>
      <c r="H112" s="89" t="str">
        <f ca="1">IFERROR(__xludf.DUMMYFUNCTION("""COMPUTED_VALUE"""),"AMM Julio")</f>
        <v>AMM Julio</v>
      </c>
      <c r="I112" s="89" t="str">
        <f ca="1">IFERROR(__xludf.DUMMYFUNCTION("""COMPUTED_VALUE"""),"Julio")</f>
        <v>Julio</v>
      </c>
      <c r="J112" s="89" t="str">
        <f ca="1">IFERROR(__xludf.DUMMYFUNCTION("""COMPUTED_VALUE"""),"AMM")</f>
        <v>AMM</v>
      </c>
      <c r="K112" s="92">
        <f ca="1">IFERROR(__xludf.DUMMYFUNCTION("""COMPUTED_VALUE"""),0)</f>
        <v>0</v>
      </c>
      <c r="L112" s="89" t="str">
        <f ca="1">IFERROR(__xludf.DUMMYFUNCTION("""COMPUTED_VALUE"""),"TRIMESTRE 3")</f>
        <v>TRIMESTRE 3</v>
      </c>
      <c r="M112" s="89" t="str">
        <f ca="1">IFERROR(__xludf.DUMMYFUNCTION("""COMPUTED_VALUE"""),"ADULTA MAYOR MUJER")</f>
        <v>ADULTA MAYOR MUJER</v>
      </c>
    </row>
    <row r="113" spans="1:13">
      <c r="A113" s="89" t="str">
        <f ca="1">IFERROR(__xludf.DUMMYFUNCTION("""COMPUTED_VALUE"""),"4.1.2.3")</f>
        <v>4.1.2.3</v>
      </c>
      <c r="B113" s="89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113" s="89" t="str">
        <f ca="1">IFERROR(__xludf.DUMMYFUNCTION("""COMPUTED_VALUE"""),"4. Programas")</f>
        <v>4. Programas</v>
      </c>
      <c r="D113" s="89" t="str">
        <f ca="1">IFERROR(__xludf.DUMMYFUNCTION("""COMPUTED_VALUE"""),"Guadalajara: Capital de las niñas y los niños")</f>
        <v>Guadalajara: Capital de las niñas y los niños</v>
      </c>
      <c r="E113" s="89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113" s="89" t="str">
        <f ca="1">IFERROR(__xludf.DUMMYFUNCTION("""COMPUTED_VALUE"""),"A3C2. Apoyos asistenciales entregados a madres en etapa adolescente")</f>
        <v>A3C2. Apoyos asistenciales entregados a madres en etapa adolescente</v>
      </c>
      <c r="G113" s="89" t="str">
        <f ca="1">IFERROR(__xludf.DUMMYFUNCTION("""COMPUTED_VALUE"""),"Apoyos asistenciales entregados a madres adolescentes, en 2023")</f>
        <v>Apoyos asistenciales entregados a madres adolescentes, en 2023</v>
      </c>
      <c r="H113" s="89" t="str">
        <f ca="1">IFERROR(__xludf.DUMMYFUNCTION("""COMPUTED_VALUE"""),"AMH Julio")</f>
        <v>AMH Julio</v>
      </c>
      <c r="I113" s="89" t="str">
        <f ca="1">IFERROR(__xludf.DUMMYFUNCTION("""COMPUTED_VALUE"""),"Julio")</f>
        <v>Julio</v>
      </c>
      <c r="J113" s="89" t="str">
        <f ca="1">IFERROR(__xludf.DUMMYFUNCTION("""COMPUTED_VALUE"""),"AMH")</f>
        <v>AMH</v>
      </c>
      <c r="K113" s="92">
        <f ca="1">IFERROR(__xludf.DUMMYFUNCTION("""COMPUTED_VALUE"""),0)</f>
        <v>0</v>
      </c>
      <c r="L113" s="89" t="str">
        <f ca="1">IFERROR(__xludf.DUMMYFUNCTION("""COMPUTED_VALUE"""),"TRIMESTRE 3")</f>
        <v>TRIMESTRE 3</v>
      </c>
      <c r="M113" s="89" t="str">
        <f ca="1">IFERROR(__xludf.DUMMYFUNCTION("""COMPUTED_VALUE"""),"ADULTO MAYOR HOMBRE")</f>
        <v>ADULTO MAYOR HOMBRE</v>
      </c>
    </row>
    <row r="114" spans="1:13">
      <c r="A114" s="89" t="str">
        <f ca="1">IFERROR(__xludf.DUMMYFUNCTION("""COMPUTED_VALUE"""),"4.1.2.2")</f>
        <v>4.1.2.2</v>
      </c>
      <c r="B114" s="89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114" s="89" t="str">
        <f ca="1">IFERROR(__xludf.DUMMYFUNCTION("""COMPUTED_VALUE"""),"4. Programas")</f>
        <v>4. Programas</v>
      </c>
      <c r="D114" s="89" t="str">
        <f ca="1">IFERROR(__xludf.DUMMYFUNCTION("""COMPUTED_VALUE"""),"Guadalajara: Capital de las niñas y los niños")</f>
        <v>Guadalajara: Capital de las niñas y los niños</v>
      </c>
      <c r="E114" s="89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114" s="89" t="str">
        <f ca="1">IFERROR(__xludf.DUMMYFUNCTION("""COMPUTED_VALUE"""),"A2C2. Raciones alimentarias entregadas a NNA y sus cuidadores")</f>
        <v>A2C2. Raciones alimentarias entregadas a NNA y sus cuidadores</v>
      </c>
      <c r="G114" s="89" t="str">
        <f ca="1">IFERROR(__xludf.DUMMYFUNCTION("""COMPUTED_VALUE"""),"Porcentaje de raciones entregadas a NNA y sus cuidadores, en 2023")</f>
        <v>Porcentaje de raciones entregadas a NNA y sus cuidadores, en 2023</v>
      </c>
      <c r="H114" s="89" t="str">
        <f ca="1">IFERROR(__xludf.DUMMYFUNCTION("""COMPUTED_VALUE"""),"NAS Agosto")</f>
        <v>NAS Agosto</v>
      </c>
      <c r="I114" s="89" t="str">
        <f ca="1">IFERROR(__xludf.DUMMYFUNCTION("""COMPUTED_VALUE"""),"Agosto")</f>
        <v>Agosto</v>
      </c>
      <c r="J114" s="89" t="str">
        <f ca="1">IFERROR(__xludf.DUMMYFUNCTION("""COMPUTED_VALUE"""),"NAS")</f>
        <v>NAS</v>
      </c>
      <c r="K114" s="92">
        <f ca="1">IFERROR(__xludf.DUMMYFUNCTION("""COMPUTED_VALUE"""),339)</f>
        <v>339</v>
      </c>
      <c r="L114" s="89" t="str">
        <f ca="1">IFERROR(__xludf.DUMMYFUNCTION("""COMPUTED_VALUE"""),"TRIMESTRE 3")</f>
        <v>TRIMESTRE 3</v>
      </c>
      <c r="M114" s="89" t="str">
        <f ca="1">IFERROR(__xludf.DUMMYFUNCTION("""COMPUTED_VALUE"""),"NIÑAS")</f>
        <v>NIÑAS</v>
      </c>
    </row>
    <row r="115" spans="1:13">
      <c r="A115" s="89" t="str">
        <f ca="1">IFERROR(__xludf.DUMMYFUNCTION("""COMPUTED_VALUE"""),"4.1.2.2")</f>
        <v>4.1.2.2</v>
      </c>
      <c r="B115" s="89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115" s="89" t="str">
        <f ca="1">IFERROR(__xludf.DUMMYFUNCTION("""COMPUTED_VALUE"""),"4. Programas")</f>
        <v>4. Programas</v>
      </c>
      <c r="D115" s="89" t="str">
        <f ca="1">IFERROR(__xludf.DUMMYFUNCTION("""COMPUTED_VALUE"""),"Guadalajara: Capital de las niñas y los niños")</f>
        <v>Guadalajara: Capital de las niñas y los niños</v>
      </c>
      <c r="E115" s="89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115" s="89" t="str">
        <f ca="1">IFERROR(__xludf.DUMMYFUNCTION("""COMPUTED_VALUE"""),"A2C2. Raciones alimentarias entregadas a NNA y sus cuidadores")</f>
        <v>A2C2. Raciones alimentarias entregadas a NNA y sus cuidadores</v>
      </c>
      <c r="G115" s="89" t="str">
        <f ca="1">IFERROR(__xludf.DUMMYFUNCTION("""COMPUTED_VALUE"""),"Porcentaje de raciones entregadas a NNA y sus cuidadores, en 2023")</f>
        <v>Porcentaje de raciones entregadas a NNA y sus cuidadores, en 2023</v>
      </c>
      <c r="H115" s="89" t="str">
        <f ca="1">IFERROR(__xludf.DUMMYFUNCTION("""COMPUTED_VALUE"""),"NOS Agosto")</f>
        <v>NOS Agosto</v>
      </c>
      <c r="I115" s="89" t="str">
        <f ca="1">IFERROR(__xludf.DUMMYFUNCTION("""COMPUTED_VALUE"""),"Agosto")</f>
        <v>Agosto</v>
      </c>
      <c r="J115" s="89" t="str">
        <f ca="1">IFERROR(__xludf.DUMMYFUNCTION("""COMPUTED_VALUE"""),"NOS")</f>
        <v>NOS</v>
      </c>
      <c r="K115" s="92">
        <f ca="1">IFERROR(__xludf.DUMMYFUNCTION("""COMPUTED_VALUE"""),356)</f>
        <v>356</v>
      </c>
      <c r="L115" s="89" t="str">
        <f ca="1">IFERROR(__xludf.DUMMYFUNCTION("""COMPUTED_VALUE"""),"TRIMESTRE 3")</f>
        <v>TRIMESTRE 3</v>
      </c>
      <c r="M115" s="89" t="str">
        <f ca="1">IFERROR(__xludf.DUMMYFUNCTION("""COMPUTED_VALUE"""),"NIÑOS")</f>
        <v>NIÑOS</v>
      </c>
    </row>
    <row r="116" spans="1:13">
      <c r="A116" s="89" t="str">
        <f ca="1">IFERROR(__xludf.DUMMYFUNCTION("""COMPUTED_VALUE"""),"4.1.2.2")</f>
        <v>4.1.2.2</v>
      </c>
      <c r="B116" s="89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116" s="89" t="str">
        <f ca="1">IFERROR(__xludf.DUMMYFUNCTION("""COMPUTED_VALUE"""),"4. Programas")</f>
        <v>4. Programas</v>
      </c>
      <c r="D116" s="89" t="str">
        <f ca="1">IFERROR(__xludf.DUMMYFUNCTION("""COMPUTED_VALUE"""),"Guadalajara: Capital de las niñas y los niños")</f>
        <v>Guadalajara: Capital de las niñas y los niños</v>
      </c>
      <c r="E116" s="89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116" s="89" t="str">
        <f ca="1">IFERROR(__xludf.DUMMYFUNCTION("""COMPUTED_VALUE"""),"A2C2. Raciones alimentarias entregadas a NNA y sus cuidadores")</f>
        <v>A2C2. Raciones alimentarias entregadas a NNA y sus cuidadores</v>
      </c>
      <c r="G116" s="89" t="str">
        <f ca="1">IFERROR(__xludf.DUMMYFUNCTION("""COMPUTED_VALUE"""),"Porcentaje de raciones entregadas a NNA y sus cuidadores, en 2023")</f>
        <v>Porcentaje de raciones entregadas a NNA y sus cuidadores, en 2023</v>
      </c>
      <c r="H116" s="89" t="str">
        <f ca="1">IFERROR(__xludf.DUMMYFUNCTION("""COMPUTED_VALUE"""),"AM AGOSTO")</f>
        <v>AM AGOSTO</v>
      </c>
      <c r="I116" s="89" t="str">
        <f ca="1">IFERROR(__xludf.DUMMYFUNCTION("""COMPUTED_VALUE"""),"Agosto")</f>
        <v>Agosto</v>
      </c>
      <c r="J116" s="89" t="str">
        <f ca="1">IFERROR(__xludf.DUMMYFUNCTION("""COMPUTED_VALUE"""),"AM")</f>
        <v>AM</v>
      </c>
      <c r="K116" s="92">
        <f ca="1">IFERROR(__xludf.DUMMYFUNCTION("""COMPUTED_VALUE"""),77)</f>
        <v>77</v>
      </c>
      <c r="L116" s="89" t="str">
        <f ca="1">IFERROR(__xludf.DUMMYFUNCTION("""COMPUTED_VALUE"""),"TRIMESTRE 3")</f>
        <v>TRIMESTRE 3</v>
      </c>
      <c r="M116" s="89" t="str">
        <f ca="1">IFERROR(__xludf.DUMMYFUNCTION("""COMPUTED_VALUE"""),"ADOLESCENTES MUJERES")</f>
        <v>ADOLESCENTES MUJERES</v>
      </c>
    </row>
    <row r="117" spans="1:13">
      <c r="A117" s="89" t="str">
        <f ca="1">IFERROR(__xludf.DUMMYFUNCTION("""COMPUTED_VALUE"""),"4.1.2.2")</f>
        <v>4.1.2.2</v>
      </c>
      <c r="B117" s="89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117" s="89" t="str">
        <f ca="1">IFERROR(__xludf.DUMMYFUNCTION("""COMPUTED_VALUE"""),"4. Programas")</f>
        <v>4. Programas</v>
      </c>
      <c r="D117" s="89" t="str">
        <f ca="1">IFERROR(__xludf.DUMMYFUNCTION("""COMPUTED_VALUE"""),"Guadalajara: Capital de las niñas y los niños")</f>
        <v>Guadalajara: Capital de las niñas y los niños</v>
      </c>
      <c r="E117" s="89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117" s="89" t="str">
        <f ca="1">IFERROR(__xludf.DUMMYFUNCTION("""COMPUTED_VALUE"""),"A2C2. Raciones alimentarias entregadas a NNA y sus cuidadores")</f>
        <v>A2C2. Raciones alimentarias entregadas a NNA y sus cuidadores</v>
      </c>
      <c r="G117" s="89" t="str">
        <f ca="1">IFERROR(__xludf.DUMMYFUNCTION("""COMPUTED_VALUE"""),"Porcentaje de raciones entregadas a NNA y sus cuidadores, en 2023")</f>
        <v>Porcentaje de raciones entregadas a NNA y sus cuidadores, en 2023</v>
      </c>
      <c r="H117" s="89" t="str">
        <f ca="1">IFERROR(__xludf.DUMMYFUNCTION("""COMPUTED_VALUE"""),"AH AGOSTO")</f>
        <v>AH AGOSTO</v>
      </c>
      <c r="I117" s="89" t="str">
        <f ca="1">IFERROR(__xludf.DUMMYFUNCTION("""COMPUTED_VALUE"""),"Agosto")</f>
        <v>Agosto</v>
      </c>
      <c r="J117" s="89" t="str">
        <f ca="1">IFERROR(__xludf.DUMMYFUNCTION("""COMPUTED_VALUE"""),"AH")</f>
        <v>AH</v>
      </c>
      <c r="K117" s="92">
        <f ca="1">IFERROR(__xludf.DUMMYFUNCTION("""COMPUTED_VALUE"""),59)</f>
        <v>59</v>
      </c>
      <c r="L117" s="89" t="str">
        <f ca="1">IFERROR(__xludf.DUMMYFUNCTION("""COMPUTED_VALUE"""),"TRIMESTRE 3")</f>
        <v>TRIMESTRE 3</v>
      </c>
      <c r="M117" s="89" t="str">
        <f ca="1">IFERROR(__xludf.DUMMYFUNCTION("""COMPUTED_VALUE"""),"ADOLESCENTES HOMBRES")</f>
        <v>ADOLESCENTES HOMBRES</v>
      </c>
    </row>
    <row r="118" spans="1:13">
      <c r="A118" s="89" t="str">
        <f ca="1">IFERROR(__xludf.DUMMYFUNCTION("""COMPUTED_VALUE"""),"4.1.2.2")</f>
        <v>4.1.2.2</v>
      </c>
      <c r="B118" s="89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118" s="89" t="str">
        <f ca="1">IFERROR(__xludf.DUMMYFUNCTION("""COMPUTED_VALUE"""),"4. Programas")</f>
        <v>4. Programas</v>
      </c>
      <c r="D118" s="89" t="str">
        <f ca="1">IFERROR(__xludf.DUMMYFUNCTION("""COMPUTED_VALUE"""),"Guadalajara: Capital de las niñas y los niños")</f>
        <v>Guadalajara: Capital de las niñas y los niños</v>
      </c>
      <c r="E118" s="89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118" s="89" t="str">
        <f ca="1">IFERROR(__xludf.DUMMYFUNCTION("""COMPUTED_VALUE"""),"A2C2. Raciones alimentarias entregadas a NNA y sus cuidadores")</f>
        <v>A2C2. Raciones alimentarias entregadas a NNA y sus cuidadores</v>
      </c>
      <c r="G118" s="89" t="str">
        <f ca="1">IFERROR(__xludf.DUMMYFUNCTION("""COMPUTED_VALUE"""),"Porcentaje de raciones entregadas a NNA y sus cuidadores, en 2023")</f>
        <v>Porcentaje de raciones entregadas a NNA y sus cuidadores, en 2023</v>
      </c>
      <c r="H118" s="89" t="str">
        <f ca="1">IFERROR(__xludf.DUMMYFUNCTION("""COMPUTED_VALUE"""),"MUJ Agosto")</f>
        <v>MUJ Agosto</v>
      </c>
      <c r="I118" s="89" t="str">
        <f ca="1">IFERROR(__xludf.DUMMYFUNCTION("""COMPUTED_VALUE"""),"Agosto")</f>
        <v>Agosto</v>
      </c>
      <c r="J118" s="89" t="str">
        <f ca="1">IFERROR(__xludf.DUMMYFUNCTION("""COMPUTED_VALUE"""),"MUJ")</f>
        <v>MUJ</v>
      </c>
      <c r="K118" s="92">
        <f ca="1">IFERROR(__xludf.DUMMYFUNCTION("""COMPUTED_VALUE"""),58)</f>
        <v>58</v>
      </c>
      <c r="L118" s="89" t="str">
        <f ca="1">IFERROR(__xludf.DUMMYFUNCTION("""COMPUTED_VALUE"""),"TRIMESTRE 3")</f>
        <v>TRIMESTRE 3</v>
      </c>
      <c r="M118" s="89" t="str">
        <f ca="1">IFERROR(__xludf.DUMMYFUNCTION("""COMPUTED_VALUE"""),"MUJERES ADULTAS")</f>
        <v>MUJERES ADULTAS</v>
      </c>
    </row>
    <row r="119" spans="1:13">
      <c r="A119" s="89" t="str">
        <f ca="1">IFERROR(__xludf.DUMMYFUNCTION("""COMPUTED_VALUE"""),"4.1.2.2")</f>
        <v>4.1.2.2</v>
      </c>
      <c r="B119" s="89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119" s="89" t="str">
        <f ca="1">IFERROR(__xludf.DUMMYFUNCTION("""COMPUTED_VALUE"""),"4. Programas")</f>
        <v>4. Programas</v>
      </c>
      <c r="D119" s="89" t="str">
        <f ca="1">IFERROR(__xludf.DUMMYFUNCTION("""COMPUTED_VALUE"""),"Guadalajara: Capital de las niñas y los niños")</f>
        <v>Guadalajara: Capital de las niñas y los niños</v>
      </c>
      <c r="E119" s="89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119" s="89" t="str">
        <f ca="1">IFERROR(__xludf.DUMMYFUNCTION("""COMPUTED_VALUE"""),"A2C2. Raciones alimentarias entregadas a NNA y sus cuidadores")</f>
        <v>A2C2. Raciones alimentarias entregadas a NNA y sus cuidadores</v>
      </c>
      <c r="G119" s="89" t="str">
        <f ca="1">IFERROR(__xludf.DUMMYFUNCTION("""COMPUTED_VALUE"""),"Porcentaje de raciones entregadas a NNA y sus cuidadores, en 2023")</f>
        <v>Porcentaje de raciones entregadas a NNA y sus cuidadores, en 2023</v>
      </c>
      <c r="H119" s="89" t="str">
        <f ca="1">IFERROR(__xludf.DUMMYFUNCTION("""COMPUTED_VALUE"""),"HOM Agosto")</f>
        <v>HOM Agosto</v>
      </c>
      <c r="I119" s="89" t="str">
        <f ca="1">IFERROR(__xludf.DUMMYFUNCTION("""COMPUTED_VALUE"""),"Agosto")</f>
        <v>Agosto</v>
      </c>
      <c r="J119" s="89" t="str">
        <f ca="1">IFERROR(__xludf.DUMMYFUNCTION("""COMPUTED_VALUE"""),"HOM")</f>
        <v>HOM</v>
      </c>
      <c r="K119" s="92">
        <f ca="1">IFERROR(__xludf.DUMMYFUNCTION("""COMPUTED_VALUE"""),34)</f>
        <v>34</v>
      </c>
      <c r="L119" s="89" t="str">
        <f ca="1">IFERROR(__xludf.DUMMYFUNCTION("""COMPUTED_VALUE"""),"TRIMESTRE 3")</f>
        <v>TRIMESTRE 3</v>
      </c>
      <c r="M119" s="89" t="str">
        <f ca="1">IFERROR(__xludf.DUMMYFUNCTION("""COMPUTED_VALUE"""),"HOMBRES ADULTOS")</f>
        <v>HOMBRES ADULTOS</v>
      </c>
    </row>
    <row r="120" spans="1:13">
      <c r="A120" s="89" t="str">
        <f ca="1">IFERROR(__xludf.DUMMYFUNCTION("""COMPUTED_VALUE"""),"4.1.2.2")</f>
        <v>4.1.2.2</v>
      </c>
      <c r="B120" s="89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120" s="89" t="str">
        <f ca="1">IFERROR(__xludf.DUMMYFUNCTION("""COMPUTED_VALUE"""),"4. Programas")</f>
        <v>4. Programas</v>
      </c>
      <c r="D120" s="89" t="str">
        <f ca="1">IFERROR(__xludf.DUMMYFUNCTION("""COMPUTED_VALUE"""),"Guadalajara: Capital de las niñas y los niños")</f>
        <v>Guadalajara: Capital de las niñas y los niños</v>
      </c>
      <c r="E120" s="89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120" s="89" t="str">
        <f ca="1">IFERROR(__xludf.DUMMYFUNCTION("""COMPUTED_VALUE"""),"A2C2. Raciones alimentarias entregadas a NNA y sus cuidadores")</f>
        <v>A2C2. Raciones alimentarias entregadas a NNA y sus cuidadores</v>
      </c>
      <c r="G120" s="89" t="str">
        <f ca="1">IFERROR(__xludf.DUMMYFUNCTION("""COMPUTED_VALUE"""),"Porcentaje de raciones entregadas a NNA y sus cuidadores, en 2023")</f>
        <v>Porcentaje de raciones entregadas a NNA y sus cuidadores, en 2023</v>
      </c>
      <c r="H120" s="89" t="str">
        <f ca="1">IFERROR(__xludf.DUMMYFUNCTION("""COMPUTED_VALUE"""),"AMM Agosto")</f>
        <v>AMM Agosto</v>
      </c>
      <c r="I120" s="89" t="str">
        <f ca="1">IFERROR(__xludf.DUMMYFUNCTION("""COMPUTED_VALUE"""),"Agosto")</f>
        <v>Agosto</v>
      </c>
      <c r="J120" s="89" t="str">
        <f ca="1">IFERROR(__xludf.DUMMYFUNCTION("""COMPUTED_VALUE"""),"AMM")</f>
        <v>AMM</v>
      </c>
      <c r="K120" s="92">
        <f ca="1">IFERROR(__xludf.DUMMYFUNCTION("""COMPUTED_VALUE"""),3)</f>
        <v>3</v>
      </c>
      <c r="L120" s="89" t="str">
        <f ca="1">IFERROR(__xludf.DUMMYFUNCTION("""COMPUTED_VALUE"""),"TRIMESTRE 3")</f>
        <v>TRIMESTRE 3</v>
      </c>
      <c r="M120" s="89" t="str">
        <f ca="1">IFERROR(__xludf.DUMMYFUNCTION("""COMPUTED_VALUE"""),"ADULTA MAYOR MUJER")</f>
        <v>ADULTA MAYOR MUJER</v>
      </c>
    </row>
    <row r="121" spans="1:13">
      <c r="A121" s="89" t="str">
        <f ca="1">IFERROR(__xludf.DUMMYFUNCTION("""COMPUTED_VALUE"""),"4.1.2.2")</f>
        <v>4.1.2.2</v>
      </c>
      <c r="B121" s="89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121" s="89" t="str">
        <f ca="1">IFERROR(__xludf.DUMMYFUNCTION("""COMPUTED_VALUE"""),"4. Programas")</f>
        <v>4. Programas</v>
      </c>
      <c r="D121" s="89" t="str">
        <f ca="1">IFERROR(__xludf.DUMMYFUNCTION("""COMPUTED_VALUE"""),"Guadalajara: Capital de las niñas y los niños")</f>
        <v>Guadalajara: Capital de las niñas y los niños</v>
      </c>
      <c r="E121" s="89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121" s="89" t="str">
        <f ca="1">IFERROR(__xludf.DUMMYFUNCTION("""COMPUTED_VALUE"""),"A2C2. Raciones alimentarias entregadas a NNA y sus cuidadores")</f>
        <v>A2C2. Raciones alimentarias entregadas a NNA y sus cuidadores</v>
      </c>
      <c r="G121" s="89" t="str">
        <f ca="1">IFERROR(__xludf.DUMMYFUNCTION("""COMPUTED_VALUE"""),"Porcentaje de raciones entregadas a NNA y sus cuidadores, en 2023")</f>
        <v>Porcentaje de raciones entregadas a NNA y sus cuidadores, en 2023</v>
      </c>
      <c r="H121" s="89" t="str">
        <f ca="1">IFERROR(__xludf.DUMMYFUNCTION("""COMPUTED_VALUE"""),"AMH Agosto")</f>
        <v>AMH Agosto</v>
      </c>
      <c r="I121" s="89" t="str">
        <f ca="1">IFERROR(__xludf.DUMMYFUNCTION("""COMPUTED_VALUE"""),"Agosto")</f>
        <v>Agosto</v>
      </c>
      <c r="J121" s="89" t="str">
        <f ca="1">IFERROR(__xludf.DUMMYFUNCTION("""COMPUTED_VALUE"""),"AMH")</f>
        <v>AMH</v>
      </c>
      <c r="K121" s="92">
        <f ca="1">IFERROR(__xludf.DUMMYFUNCTION("""COMPUTED_VALUE"""),2)</f>
        <v>2</v>
      </c>
      <c r="L121" s="89" t="str">
        <f ca="1">IFERROR(__xludf.DUMMYFUNCTION("""COMPUTED_VALUE"""),"TRIMESTRE 3")</f>
        <v>TRIMESTRE 3</v>
      </c>
      <c r="M121" s="89" t="str">
        <f ca="1">IFERROR(__xludf.DUMMYFUNCTION("""COMPUTED_VALUE"""),"ADULTO MAYOR HOMBRE")</f>
        <v>ADULTO MAYOR HOMBRE</v>
      </c>
    </row>
    <row r="122" spans="1:13">
      <c r="A122" s="89" t="str">
        <f ca="1">IFERROR(__xludf.DUMMYFUNCTION("""COMPUTED_VALUE"""),"4.1.2.3")</f>
        <v>4.1.2.3</v>
      </c>
      <c r="B122" s="89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122" s="89" t="str">
        <f ca="1">IFERROR(__xludf.DUMMYFUNCTION("""COMPUTED_VALUE"""),"4. Programas")</f>
        <v>4. Programas</v>
      </c>
      <c r="D122" s="89" t="str">
        <f ca="1">IFERROR(__xludf.DUMMYFUNCTION("""COMPUTED_VALUE"""),"Guadalajara: Capital de las niñas y los niños")</f>
        <v>Guadalajara: Capital de las niñas y los niños</v>
      </c>
      <c r="E122" s="89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122" s="89" t="str">
        <f ca="1">IFERROR(__xludf.DUMMYFUNCTION("""COMPUTED_VALUE"""),"A3C2. Apoyos asistenciales entregados a madres en etapa adolescente")</f>
        <v>A3C2. Apoyos asistenciales entregados a madres en etapa adolescente</v>
      </c>
      <c r="G122" s="89" t="str">
        <f ca="1">IFERROR(__xludf.DUMMYFUNCTION("""COMPUTED_VALUE"""),"Apoyos asistenciales entregados a madres adolescentes, en 2023")</f>
        <v>Apoyos asistenciales entregados a madres adolescentes, en 2023</v>
      </c>
      <c r="H122" s="89" t="str">
        <f ca="1">IFERROR(__xludf.DUMMYFUNCTION("""COMPUTED_VALUE"""),"NAS Agosto")</f>
        <v>NAS Agosto</v>
      </c>
      <c r="I122" s="89" t="str">
        <f ca="1">IFERROR(__xludf.DUMMYFUNCTION("""COMPUTED_VALUE"""),"Agosto")</f>
        <v>Agosto</v>
      </c>
      <c r="J122" s="89" t="str">
        <f ca="1">IFERROR(__xludf.DUMMYFUNCTION("""COMPUTED_VALUE"""),"NAS")</f>
        <v>NAS</v>
      </c>
      <c r="K122" s="92">
        <f ca="1">IFERROR(__xludf.DUMMYFUNCTION("""COMPUTED_VALUE"""),0)</f>
        <v>0</v>
      </c>
      <c r="L122" s="89" t="str">
        <f ca="1">IFERROR(__xludf.DUMMYFUNCTION("""COMPUTED_VALUE"""),"TRIMESTRE 3")</f>
        <v>TRIMESTRE 3</v>
      </c>
      <c r="M122" s="89" t="str">
        <f ca="1">IFERROR(__xludf.DUMMYFUNCTION("""COMPUTED_VALUE"""),"NIÑAS")</f>
        <v>NIÑAS</v>
      </c>
    </row>
    <row r="123" spans="1:13">
      <c r="A123" s="89" t="str">
        <f ca="1">IFERROR(__xludf.DUMMYFUNCTION("""COMPUTED_VALUE"""),"4.1.2.3")</f>
        <v>4.1.2.3</v>
      </c>
      <c r="B123" s="89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123" s="89" t="str">
        <f ca="1">IFERROR(__xludf.DUMMYFUNCTION("""COMPUTED_VALUE"""),"4. Programas")</f>
        <v>4. Programas</v>
      </c>
      <c r="D123" s="89" t="str">
        <f ca="1">IFERROR(__xludf.DUMMYFUNCTION("""COMPUTED_VALUE"""),"Guadalajara: Capital de las niñas y los niños")</f>
        <v>Guadalajara: Capital de las niñas y los niños</v>
      </c>
      <c r="E123" s="89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123" s="89" t="str">
        <f ca="1">IFERROR(__xludf.DUMMYFUNCTION("""COMPUTED_VALUE"""),"A3C2. Apoyos asistenciales entregados a madres en etapa adolescente")</f>
        <v>A3C2. Apoyos asistenciales entregados a madres en etapa adolescente</v>
      </c>
      <c r="G123" s="89" t="str">
        <f ca="1">IFERROR(__xludf.DUMMYFUNCTION("""COMPUTED_VALUE"""),"Apoyos asistenciales entregados a madres adolescentes, en 2023")</f>
        <v>Apoyos asistenciales entregados a madres adolescentes, en 2023</v>
      </c>
      <c r="H123" s="89" t="str">
        <f ca="1">IFERROR(__xludf.DUMMYFUNCTION("""COMPUTED_VALUE"""),"NOS Agosto")</f>
        <v>NOS Agosto</v>
      </c>
      <c r="I123" s="89" t="str">
        <f ca="1">IFERROR(__xludf.DUMMYFUNCTION("""COMPUTED_VALUE"""),"Agosto")</f>
        <v>Agosto</v>
      </c>
      <c r="J123" s="89" t="str">
        <f ca="1">IFERROR(__xludf.DUMMYFUNCTION("""COMPUTED_VALUE"""),"NOS")</f>
        <v>NOS</v>
      </c>
      <c r="K123" s="92">
        <f ca="1">IFERROR(__xludf.DUMMYFUNCTION("""COMPUTED_VALUE"""),0)</f>
        <v>0</v>
      </c>
      <c r="L123" s="89" t="str">
        <f ca="1">IFERROR(__xludf.DUMMYFUNCTION("""COMPUTED_VALUE"""),"TRIMESTRE 3")</f>
        <v>TRIMESTRE 3</v>
      </c>
      <c r="M123" s="89" t="str">
        <f ca="1">IFERROR(__xludf.DUMMYFUNCTION("""COMPUTED_VALUE"""),"NIÑOS")</f>
        <v>NIÑOS</v>
      </c>
    </row>
    <row r="124" spans="1:13">
      <c r="A124" s="89" t="str">
        <f ca="1">IFERROR(__xludf.DUMMYFUNCTION("""COMPUTED_VALUE"""),"4.1.2.3")</f>
        <v>4.1.2.3</v>
      </c>
      <c r="B124" s="89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124" s="89" t="str">
        <f ca="1">IFERROR(__xludf.DUMMYFUNCTION("""COMPUTED_VALUE"""),"4. Programas")</f>
        <v>4. Programas</v>
      </c>
      <c r="D124" s="89" t="str">
        <f ca="1">IFERROR(__xludf.DUMMYFUNCTION("""COMPUTED_VALUE"""),"Guadalajara: Capital de las niñas y los niños")</f>
        <v>Guadalajara: Capital de las niñas y los niños</v>
      </c>
      <c r="E124" s="89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124" s="89" t="str">
        <f ca="1">IFERROR(__xludf.DUMMYFUNCTION("""COMPUTED_VALUE"""),"A3C2. Apoyos asistenciales entregados a madres en etapa adolescente")</f>
        <v>A3C2. Apoyos asistenciales entregados a madres en etapa adolescente</v>
      </c>
      <c r="G124" s="89" t="str">
        <f ca="1">IFERROR(__xludf.DUMMYFUNCTION("""COMPUTED_VALUE"""),"Apoyos asistenciales entregados a madres adolescentes, en 2023")</f>
        <v>Apoyos asistenciales entregados a madres adolescentes, en 2023</v>
      </c>
      <c r="H124" s="89" t="str">
        <f ca="1">IFERROR(__xludf.DUMMYFUNCTION("""COMPUTED_VALUE"""),"AM AGOSTO")</f>
        <v>AM AGOSTO</v>
      </c>
      <c r="I124" s="89" t="str">
        <f ca="1">IFERROR(__xludf.DUMMYFUNCTION("""COMPUTED_VALUE"""),"Agosto")</f>
        <v>Agosto</v>
      </c>
      <c r="J124" s="89" t="str">
        <f ca="1">IFERROR(__xludf.DUMMYFUNCTION("""COMPUTED_VALUE"""),"AM")</f>
        <v>AM</v>
      </c>
      <c r="K124" s="92">
        <f ca="1">IFERROR(__xludf.DUMMYFUNCTION("""COMPUTED_VALUE"""),0)</f>
        <v>0</v>
      </c>
      <c r="L124" s="89" t="str">
        <f ca="1">IFERROR(__xludf.DUMMYFUNCTION("""COMPUTED_VALUE"""),"TRIMESTRE 3")</f>
        <v>TRIMESTRE 3</v>
      </c>
      <c r="M124" s="89" t="str">
        <f ca="1">IFERROR(__xludf.DUMMYFUNCTION("""COMPUTED_VALUE"""),"ADOLESCENTES MUJERES")</f>
        <v>ADOLESCENTES MUJERES</v>
      </c>
    </row>
    <row r="125" spans="1:13">
      <c r="A125" s="89" t="str">
        <f ca="1">IFERROR(__xludf.DUMMYFUNCTION("""COMPUTED_VALUE"""),"4.1.2.3")</f>
        <v>4.1.2.3</v>
      </c>
      <c r="B125" s="89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125" s="89" t="str">
        <f ca="1">IFERROR(__xludf.DUMMYFUNCTION("""COMPUTED_VALUE"""),"4. Programas")</f>
        <v>4. Programas</v>
      </c>
      <c r="D125" s="89" t="str">
        <f ca="1">IFERROR(__xludf.DUMMYFUNCTION("""COMPUTED_VALUE"""),"Guadalajara: Capital de las niñas y los niños")</f>
        <v>Guadalajara: Capital de las niñas y los niños</v>
      </c>
      <c r="E125" s="89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125" s="89" t="str">
        <f ca="1">IFERROR(__xludf.DUMMYFUNCTION("""COMPUTED_VALUE"""),"A3C2. Apoyos asistenciales entregados a madres en etapa adolescente")</f>
        <v>A3C2. Apoyos asistenciales entregados a madres en etapa adolescente</v>
      </c>
      <c r="G125" s="89" t="str">
        <f ca="1">IFERROR(__xludf.DUMMYFUNCTION("""COMPUTED_VALUE"""),"Apoyos asistenciales entregados a madres adolescentes, en 2023")</f>
        <v>Apoyos asistenciales entregados a madres adolescentes, en 2023</v>
      </c>
      <c r="H125" s="89" t="str">
        <f ca="1">IFERROR(__xludf.DUMMYFUNCTION("""COMPUTED_VALUE"""),"AH AGOSTO")</f>
        <v>AH AGOSTO</v>
      </c>
      <c r="I125" s="89" t="str">
        <f ca="1">IFERROR(__xludf.DUMMYFUNCTION("""COMPUTED_VALUE"""),"Agosto")</f>
        <v>Agosto</v>
      </c>
      <c r="J125" s="89" t="str">
        <f ca="1">IFERROR(__xludf.DUMMYFUNCTION("""COMPUTED_VALUE"""),"AH")</f>
        <v>AH</v>
      </c>
      <c r="K125" s="92">
        <f ca="1">IFERROR(__xludf.DUMMYFUNCTION("""COMPUTED_VALUE"""),0)</f>
        <v>0</v>
      </c>
      <c r="L125" s="89" t="str">
        <f ca="1">IFERROR(__xludf.DUMMYFUNCTION("""COMPUTED_VALUE"""),"TRIMESTRE 3")</f>
        <v>TRIMESTRE 3</v>
      </c>
      <c r="M125" s="89" t="str">
        <f ca="1">IFERROR(__xludf.DUMMYFUNCTION("""COMPUTED_VALUE"""),"ADOLESCENTES HOMBRES")</f>
        <v>ADOLESCENTES HOMBRES</v>
      </c>
    </row>
    <row r="126" spans="1:13">
      <c r="A126" s="89" t="str">
        <f ca="1">IFERROR(__xludf.DUMMYFUNCTION("""COMPUTED_VALUE"""),"4.1.2.3")</f>
        <v>4.1.2.3</v>
      </c>
      <c r="B126" s="89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126" s="89" t="str">
        <f ca="1">IFERROR(__xludf.DUMMYFUNCTION("""COMPUTED_VALUE"""),"4. Programas")</f>
        <v>4. Programas</v>
      </c>
      <c r="D126" s="89" t="str">
        <f ca="1">IFERROR(__xludf.DUMMYFUNCTION("""COMPUTED_VALUE"""),"Guadalajara: Capital de las niñas y los niños")</f>
        <v>Guadalajara: Capital de las niñas y los niños</v>
      </c>
      <c r="E126" s="89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126" s="89" t="str">
        <f ca="1">IFERROR(__xludf.DUMMYFUNCTION("""COMPUTED_VALUE"""),"A3C2. Apoyos asistenciales entregados a madres en etapa adolescente")</f>
        <v>A3C2. Apoyos asistenciales entregados a madres en etapa adolescente</v>
      </c>
      <c r="G126" s="89" t="str">
        <f ca="1">IFERROR(__xludf.DUMMYFUNCTION("""COMPUTED_VALUE"""),"Apoyos asistenciales entregados a madres adolescentes, en 2023")</f>
        <v>Apoyos asistenciales entregados a madres adolescentes, en 2023</v>
      </c>
      <c r="H126" s="89" t="str">
        <f ca="1">IFERROR(__xludf.DUMMYFUNCTION("""COMPUTED_VALUE"""),"MUJ Agosto")</f>
        <v>MUJ Agosto</v>
      </c>
      <c r="I126" s="89" t="str">
        <f ca="1">IFERROR(__xludf.DUMMYFUNCTION("""COMPUTED_VALUE"""),"Agosto")</f>
        <v>Agosto</v>
      </c>
      <c r="J126" s="89" t="str">
        <f ca="1">IFERROR(__xludf.DUMMYFUNCTION("""COMPUTED_VALUE"""),"MUJ")</f>
        <v>MUJ</v>
      </c>
      <c r="K126" s="92">
        <f ca="1">IFERROR(__xludf.DUMMYFUNCTION("""COMPUTED_VALUE"""),0)</f>
        <v>0</v>
      </c>
      <c r="L126" s="89" t="str">
        <f ca="1">IFERROR(__xludf.DUMMYFUNCTION("""COMPUTED_VALUE"""),"TRIMESTRE 3")</f>
        <v>TRIMESTRE 3</v>
      </c>
      <c r="M126" s="89" t="str">
        <f ca="1">IFERROR(__xludf.DUMMYFUNCTION("""COMPUTED_VALUE"""),"MUJERES ADULTAS")</f>
        <v>MUJERES ADULTAS</v>
      </c>
    </row>
    <row r="127" spans="1:13">
      <c r="A127" s="89" t="str">
        <f ca="1">IFERROR(__xludf.DUMMYFUNCTION("""COMPUTED_VALUE"""),"4.1.2.3")</f>
        <v>4.1.2.3</v>
      </c>
      <c r="B127" s="89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127" s="89" t="str">
        <f ca="1">IFERROR(__xludf.DUMMYFUNCTION("""COMPUTED_VALUE"""),"4. Programas")</f>
        <v>4. Programas</v>
      </c>
      <c r="D127" s="89" t="str">
        <f ca="1">IFERROR(__xludf.DUMMYFUNCTION("""COMPUTED_VALUE"""),"Guadalajara: Capital de las niñas y los niños")</f>
        <v>Guadalajara: Capital de las niñas y los niños</v>
      </c>
      <c r="E127" s="89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127" s="89" t="str">
        <f ca="1">IFERROR(__xludf.DUMMYFUNCTION("""COMPUTED_VALUE"""),"A3C2. Apoyos asistenciales entregados a madres en etapa adolescente")</f>
        <v>A3C2. Apoyos asistenciales entregados a madres en etapa adolescente</v>
      </c>
      <c r="G127" s="89" t="str">
        <f ca="1">IFERROR(__xludf.DUMMYFUNCTION("""COMPUTED_VALUE"""),"Apoyos asistenciales entregados a madres adolescentes, en 2023")</f>
        <v>Apoyos asistenciales entregados a madres adolescentes, en 2023</v>
      </c>
      <c r="H127" s="89" t="str">
        <f ca="1">IFERROR(__xludf.DUMMYFUNCTION("""COMPUTED_VALUE"""),"HOM Agosto")</f>
        <v>HOM Agosto</v>
      </c>
      <c r="I127" s="89" t="str">
        <f ca="1">IFERROR(__xludf.DUMMYFUNCTION("""COMPUTED_VALUE"""),"Agosto")</f>
        <v>Agosto</v>
      </c>
      <c r="J127" s="89" t="str">
        <f ca="1">IFERROR(__xludf.DUMMYFUNCTION("""COMPUTED_VALUE"""),"HOM")</f>
        <v>HOM</v>
      </c>
      <c r="K127" s="92">
        <f ca="1">IFERROR(__xludf.DUMMYFUNCTION("""COMPUTED_VALUE"""),0)</f>
        <v>0</v>
      </c>
      <c r="L127" s="89" t="str">
        <f ca="1">IFERROR(__xludf.DUMMYFUNCTION("""COMPUTED_VALUE"""),"TRIMESTRE 3")</f>
        <v>TRIMESTRE 3</v>
      </c>
      <c r="M127" s="89" t="str">
        <f ca="1">IFERROR(__xludf.DUMMYFUNCTION("""COMPUTED_VALUE"""),"HOMBRES ADULTOS")</f>
        <v>HOMBRES ADULTOS</v>
      </c>
    </row>
    <row r="128" spans="1:13">
      <c r="A128" s="89" t="str">
        <f ca="1">IFERROR(__xludf.DUMMYFUNCTION("""COMPUTED_VALUE"""),"4.1.2.3")</f>
        <v>4.1.2.3</v>
      </c>
      <c r="B128" s="89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128" s="89" t="str">
        <f ca="1">IFERROR(__xludf.DUMMYFUNCTION("""COMPUTED_VALUE"""),"4. Programas")</f>
        <v>4. Programas</v>
      </c>
      <c r="D128" s="89" t="str">
        <f ca="1">IFERROR(__xludf.DUMMYFUNCTION("""COMPUTED_VALUE"""),"Guadalajara: Capital de las niñas y los niños")</f>
        <v>Guadalajara: Capital de las niñas y los niños</v>
      </c>
      <c r="E128" s="89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128" s="89" t="str">
        <f ca="1">IFERROR(__xludf.DUMMYFUNCTION("""COMPUTED_VALUE"""),"A3C2. Apoyos asistenciales entregados a madres en etapa adolescente")</f>
        <v>A3C2. Apoyos asistenciales entregados a madres en etapa adolescente</v>
      </c>
      <c r="G128" s="89" t="str">
        <f ca="1">IFERROR(__xludf.DUMMYFUNCTION("""COMPUTED_VALUE"""),"Apoyos asistenciales entregados a madres adolescentes, en 2023")</f>
        <v>Apoyos asistenciales entregados a madres adolescentes, en 2023</v>
      </c>
      <c r="H128" s="89" t="str">
        <f ca="1">IFERROR(__xludf.DUMMYFUNCTION("""COMPUTED_VALUE"""),"AMM Agosto")</f>
        <v>AMM Agosto</v>
      </c>
      <c r="I128" s="89" t="str">
        <f ca="1">IFERROR(__xludf.DUMMYFUNCTION("""COMPUTED_VALUE"""),"Agosto")</f>
        <v>Agosto</v>
      </c>
      <c r="J128" s="89" t="str">
        <f ca="1">IFERROR(__xludf.DUMMYFUNCTION("""COMPUTED_VALUE"""),"AMM")</f>
        <v>AMM</v>
      </c>
      <c r="K128" s="92">
        <f ca="1">IFERROR(__xludf.DUMMYFUNCTION("""COMPUTED_VALUE"""),0)</f>
        <v>0</v>
      </c>
      <c r="L128" s="89" t="str">
        <f ca="1">IFERROR(__xludf.DUMMYFUNCTION("""COMPUTED_VALUE"""),"TRIMESTRE 3")</f>
        <v>TRIMESTRE 3</v>
      </c>
      <c r="M128" s="89" t="str">
        <f ca="1">IFERROR(__xludf.DUMMYFUNCTION("""COMPUTED_VALUE"""),"ADULTA MAYOR MUJER")</f>
        <v>ADULTA MAYOR MUJER</v>
      </c>
    </row>
    <row r="129" spans="1:13">
      <c r="A129" s="89" t="str">
        <f ca="1">IFERROR(__xludf.DUMMYFUNCTION("""COMPUTED_VALUE"""),"4.1.2.3")</f>
        <v>4.1.2.3</v>
      </c>
      <c r="B129" s="89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129" s="89" t="str">
        <f ca="1">IFERROR(__xludf.DUMMYFUNCTION("""COMPUTED_VALUE"""),"4. Programas")</f>
        <v>4. Programas</v>
      </c>
      <c r="D129" s="89" t="str">
        <f ca="1">IFERROR(__xludf.DUMMYFUNCTION("""COMPUTED_VALUE"""),"Guadalajara: Capital de las niñas y los niños")</f>
        <v>Guadalajara: Capital de las niñas y los niños</v>
      </c>
      <c r="E129" s="89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129" s="89" t="str">
        <f ca="1">IFERROR(__xludf.DUMMYFUNCTION("""COMPUTED_VALUE"""),"A3C2. Apoyos asistenciales entregados a madres en etapa adolescente")</f>
        <v>A3C2. Apoyos asistenciales entregados a madres en etapa adolescente</v>
      </c>
      <c r="G129" s="89" t="str">
        <f ca="1">IFERROR(__xludf.DUMMYFUNCTION("""COMPUTED_VALUE"""),"Apoyos asistenciales entregados a madres adolescentes, en 2023")</f>
        <v>Apoyos asistenciales entregados a madres adolescentes, en 2023</v>
      </c>
      <c r="H129" s="89" t="str">
        <f ca="1">IFERROR(__xludf.DUMMYFUNCTION("""COMPUTED_VALUE"""),"AMH Agosto")</f>
        <v>AMH Agosto</v>
      </c>
      <c r="I129" s="89" t="str">
        <f ca="1">IFERROR(__xludf.DUMMYFUNCTION("""COMPUTED_VALUE"""),"Agosto")</f>
        <v>Agosto</v>
      </c>
      <c r="J129" s="89" t="str">
        <f ca="1">IFERROR(__xludf.DUMMYFUNCTION("""COMPUTED_VALUE"""),"AMH")</f>
        <v>AMH</v>
      </c>
      <c r="K129" s="92">
        <f ca="1">IFERROR(__xludf.DUMMYFUNCTION("""COMPUTED_VALUE"""),0)</f>
        <v>0</v>
      </c>
      <c r="L129" s="89" t="str">
        <f ca="1">IFERROR(__xludf.DUMMYFUNCTION("""COMPUTED_VALUE"""),"TRIMESTRE 3")</f>
        <v>TRIMESTRE 3</v>
      </c>
      <c r="M129" s="89" t="str">
        <f ca="1">IFERROR(__xludf.DUMMYFUNCTION("""COMPUTED_VALUE"""),"ADULTO MAYOR HOMBRE")</f>
        <v>ADULTO MAYOR HOMBRE</v>
      </c>
    </row>
    <row r="130" spans="1:13">
      <c r="A130" s="89" t="str">
        <f ca="1">IFERROR(__xludf.DUMMYFUNCTION("""COMPUTED_VALUE"""),"4.1.2.2")</f>
        <v>4.1.2.2</v>
      </c>
      <c r="B130" s="89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130" s="89" t="str">
        <f ca="1">IFERROR(__xludf.DUMMYFUNCTION("""COMPUTED_VALUE"""),"4. Programas")</f>
        <v>4. Programas</v>
      </c>
      <c r="D130" s="89" t="str">
        <f ca="1">IFERROR(__xludf.DUMMYFUNCTION("""COMPUTED_VALUE"""),"Guadalajara: Capital de las niñas y los niños")</f>
        <v>Guadalajara: Capital de las niñas y los niños</v>
      </c>
      <c r="E130" s="89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130" s="89" t="str">
        <f ca="1">IFERROR(__xludf.DUMMYFUNCTION("""COMPUTED_VALUE"""),"A2C2. Raciones alimentarias entregadas a NNA y sus cuidadores")</f>
        <v>A2C2. Raciones alimentarias entregadas a NNA y sus cuidadores</v>
      </c>
      <c r="G130" s="89" t="str">
        <f ca="1">IFERROR(__xludf.DUMMYFUNCTION("""COMPUTED_VALUE"""),"Porcentaje de raciones entregadas a NNA y sus cuidadores, en 2023")</f>
        <v>Porcentaje de raciones entregadas a NNA y sus cuidadores, en 2023</v>
      </c>
      <c r="H130" s="89" t="str">
        <f ca="1">IFERROR(__xludf.DUMMYFUNCTION("""COMPUTED_VALUE"""),"NAS Septiembre")</f>
        <v>NAS Septiembre</v>
      </c>
      <c r="I130" s="89" t="str">
        <f ca="1">IFERROR(__xludf.DUMMYFUNCTION("""COMPUTED_VALUE"""),"Septiembre")</f>
        <v>Septiembre</v>
      </c>
      <c r="J130" s="89" t="str">
        <f ca="1">IFERROR(__xludf.DUMMYFUNCTION("""COMPUTED_VALUE"""),"NAS")</f>
        <v>NAS</v>
      </c>
      <c r="K130" s="92">
        <f ca="1">IFERROR(__xludf.DUMMYFUNCTION("""COMPUTED_VALUE"""),368)</f>
        <v>368</v>
      </c>
      <c r="L130" s="89" t="str">
        <f ca="1">IFERROR(__xludf.DUMMYFUNCTION("""COMPUTED_VALUE"""),"TRIMESTRE 3")</f>
        <v>TRIMESTRE 3</v>
      </c>
      <c r="M130" s="89" t="str">
        <f ca="1">IFERROR(__xludf.DUMMYFUNCTION("""COMPUTED_VALUE"""),"NIÑAS")</f>
        <v>NIÑAS</v>
      </c>
    </row>
    <row r="131" spans="1:13">
      <c r="A131" s="89" t="str">
        <f ca="1">IFERROR(__xludf.DUMMYFUNCTION("""COMPUTED_VALUE"""),"4.1.2.2")</f>
        <v>4.1.2.2</v>
      </c>
      <c r="B131" s="89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131" s="89" t="str">
        <f ca="1">IFERROR(__xludf.DUMMYFUNCTION("""COMPUTED_VALUE"""),"4. Programas")</f>
        <v>4. Programas</v>
      </c>
      <c r="D131" s="89" t="str">
        <f ca="1">IFERROR(__xludf.DUMMYFUNCTION("""COMPUTED_VALUE"""),"Guadalajara: Capital de las niñas y los niños")</f>
        <v>Guadalajara: Capital de las niñas y los niños</v>
      </c>
      <c r="E131" s="89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131" s="89" t="str">
        <f ca="1">IFERROR(__xludf.DUMMYFUNCTION("""COMPUTED_VALUE"""),"A2C2. Raciones alimentarias entregadas a NNA y sus cuidadores")</f>
        <v>A2C2. Raciones alimentarias entregadas a NNA y sus cuidadores</v>
      </c>
      <c r="G131" s="89" t="str">
        <f ca="1">IFERROR(__xludf.DUMMYFUNCTION("""COMPUTED_VALUE"""),"Porcentaje de raciones entregadas a NNA y sus cuidadores, en 2023")</f>
        <v>Porcentaje de raciones entregadas a NNA y sus cuidadores, en 2023</v>
      </c>
      <c r="H131" s="89" t="str">
        <f ca="1">IFERROR(__xludf.DUMMYFUNCTION("""COMPUTED_VALUE"""),"NOS Septiembre")</f>
        <v>NOS Septiembre</v>
      </c>
      <c r="I131" s="89" t="str">
        <f ca="1">IFERROR(__xludf.DUMMYFUNCTION("""COMPUTED_VALUE"""),"Septiembre")</f>
        <v>Septiembre</v>
      </c>
      <c r="J131" s="89" t="str">
        <f ca="1">IFERROR(__xludf.DUMMYFUNCTION("""COMPUTED_VALUE"""),"NOS")</f>
        <v>NOS</v>
      </c>
      <c r="K131" s="92">
        <f ca="1">IFERROR(__xludf.DUMMYFUNCTION("""COMPUTED_VALUE"""),363)</f>
        <v>363</v>
      </c>
      <c r="L131" s="89" t="str">
        <f ca="1">IFERROR(__xludf.DUMMYFUNCTION("""COMPUTED_VALUE"""),"TRIMESTRE 3")</f>
        <v>TRIMESTRE 3</v>
      </c>
      <c r="M131" s="89" t="str">
        <f ca="1">IFERROR(__xludf.DUMMYFUNCTION("""COMPUTED_VALUE"""),"NIÑOS")</f>
        <v>NIÑOS</v>
      </c>
    </row>
    <row r="132" spans="1:13">
      <c r="A132" s="89" t="str">
        <f ca="1">IFERROR(__xludf.DUMMYFUNCTION("""COMPUTED_VALUE"""),"4.1.2.2")</f>
        <v>4.1.2.2</v>
      </c>
      <c r="B132" s="89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132" s="89" t="str">
        <f ca="1">IFERROR(__xludf.DUMMYFUNCTION("""COMPUTED_VALUE"""),"4. Programas")</f>
        <v>4. Programas</v>
      </c>
      <c r="D132" s="89" t="str">
        <f ca="1">IFERROR(__xludf.DUMMYFUNCTION("""COMPUTED_VALUE"""),"Guadalajara: Capital de las niñas y los niños")</f>
        <v>Guadalajara: Capital de las niñas y los niños</v>
      </c>
      <c r="E132" s="89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132" s="89" t="str">
        <f ca="1">IFERROR(__xludf.DUMMYFUNCTION("""COMPUTED_VALUE"""),"A2C2. Raciones alimentarias entregadas a NNA y sus cuidadores")</f>
        <v>A2C2. Raciones alimentarias entregadas a NNA y sus cuidadores</v>
      </c>
      <c r="G132" s="89" t="str">
        <f ca="1">IFERROR(__xludf.DUMMYFUNCTION("""COMPUTED_VALUE"""),"Porcentaje de raciones entregadas a NNA y sus cuidadores, en 2023")</f>
        <v>Porcentaje de raciones entregadas a NNA y sus cuidadores, en 2023</v>
      </c>
      <c r="H132" s="89" t="str">
        <f ca="1">IFERROR(__xludf.DUMMYFUNCTION("""COMPUTED_VALUE"""),"AM SEPTIEMBRE")</f>
        <v>AM SEPTIEMBRE</v>
      </c>
      <c r="I132" s="89" t="str">
        <f ca="1">IFERROR(__xludf.DUMMYFUNCTION("""COMPUTED_VALUE"""),"Septiembre")</f>
        <v>Septiembre</v>
      </c>
      <c r="J132" s="89" t="str">
        <f ca="1">IFERROR(__xludf.DUMMYFUNCTION("""COMPUTED_VALUE"""),"AM")</f>
        <v>AM</v>
      </c>
      <c r="K132" s="92">
        <f ca="1">IFERROR(__xludf.DUMMYFUNCTION("""COMPUTED_VALUE"""),121)</f>
        <v>121</v>
      </c>
      <c r="L132" s="89" t="str">
        <f ca="1">IFERROR(__xludf.DUMMYFUNCTION("""COMPUTED_VALUE"""),"TRIMESTRE 3")</f>
        <v>TRIMESTRE 3</v>
      </c>
      <c r="M132" s="89" t="str">
        <f ca="1">IFERROR(__xludf.DUMMYFUNCTION("""COMPUTED_VALUE"""),"ADOLESCENTES MUJERES")</f>
        <v>ADOLESCENTES MUJERES</v>
      </c>
    </row>
    <row r="133" spans="1:13">
      <c r="A133" s="89" t="str">
        <f ca="1">IFERROR(__xludf.DUMMYFUNCTION("""COMPUTED_VALUE"""),"4.1.2.2")</f>
        <v>4.1.2.2</v>
      </c>
      <c r="B133" s="89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133" s="89" t="str">
        <f ca="1">IFERROR(__xludf.DUMMYFUNCTION("""COMPUTED_VALUE"""),"4. Programas")</f>
        <v>4. Programas</v>
      </c>
      <c r="D133" s="89" t="str">
        <f ca="1">IFERROR(__xludf.DUMMYFUNCTION("""COMPUTED_VALUE"""),"Guadalajara: Capital de las niñas y los niños")</f>
        <v>Guadalajara: Capital de las niñas y los niños</v>
      </c>
      <c r="E133" s="89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133" s="89" t="str">
        <f ca="1">IFERROR(__xludf.DUMMYFUNCTION("""COMPUTED_VALUE"""),"A2C2. Raciones alimentarias entregadas a NNA y sus cuidadores")</f>
        <v>A2C2. Raciones alimentarias entregadas a NNA y sus cuidadores</v>
      </c>
      <c r="G133" s="89" t="str">
        <f ca="1">IFERROR(__xludf.DUMMYFUNCTION("""COMPUTED_VALUE"""),"Porcentaje de raciones entregadas a NNA y sus cuidadores, en 2023")</f>
        <v>Porcentaje de raciones entregadas a NNA y sus cuidadores, en 2023</v>
      </c>
      <c r="H133" s="89" t="str">
        <f ca="1">IFERROR(__xludf.DUMMYFUNCTION("""COMPUTED_VALUE"""),"AH SEPTIEMBRE")</f>
        <v>AH SEPTIEMBRE</v>
      </c>
      <c r="I133" s="89" t="str">
        <f ca="1">IFERROR(__xludf.DUMMYFUNCTION("""COMPUTED_VALUE"""),"Septiembre")</f>
        <v>Septiembre</v>
      </c>
      <c r="J133" s="89" t="str">
        <f ca="1">IFERROR(__xludf.DUMMYFUNCTION("""COMPUTED_VALUE"""),"AH")</f>
        <v>AH</v>
      </c>
      <c r="K133" s="92">
        <f ca="1">IFERROR(__xludf.DUMMYFUNCTION("""COMPUTED_VALUE"""),108)</f>
        <v>108</v>
      </c>
      <c r="L133" s="89" t="str">
        <f ca="1">IFERROR(__xludf.DUMMYFUNCTION("""COMPUTED_VALUE"""),"TRIMESTRE 3")</f>
        <v>TRIMESTRE 3</v>
      </c>
      <c r="M133" s="89" t="str">
        <f ca="1">IFERROR(__xludf.DUMMYFUNCTION("""COMPUTED_VALUE"""),"ADOLESCENTES HOMBRES")</f>
        <v>ADOLESCENTES HOMBRES</v>
      </c>
    </row>
    <row r="134" spans="1:13">
      <c r="A134" s="89" t="str">
        <f ca="1">IFERROR(__xludf.DUMMYFUNCTION("""COMPUTED_VALUE"""),"4.1.2.2")</f>
        <v>4.1.2.2</v>
      </c>
      <c r="B134" s="89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134" s="89" t="str">
        <f ca="1">IFERROR(__xludf.DUMMYFUNCTION("""COMPUTED_VALUE"""),"4. Programas")</f>
        <v>4. Programas</v>
      </c>
      <c r="D134" s="89" t="str">
        <f ca="1">IFERROR(__xludf.DUMMYFUNCTION("""COMPUTED_VALUE"""),"Guadalajara: Capital de las niñas y los niños")</f>
        <v>Guadalajara: Capital de las niñas y los niños</v>
      </c>
      <c r="E134" s="89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134" s="89" t="str">
        <f ca="1">IFERROR(__xludf.DUMMYFUNCTION("""COMPUTED_VALUE"""),"A2C2. Raciones alimentarias entregadas a NNA y sus cuidadores")</f>
        <v>A2C2. Raciones alimentarias entregadas a NNA y sus cuidadores</v>
      </c>
      <c r="G134" s="89" t="str">
        <f ca="1">IFERROR(__xludf.DUMMYFUNCTION("""COMPUTED_VALUE"""),"Porcentaje de raciones entregadas a NNA y sus cuidadores, en 2023")</f>
        <v>Porcentaje de raciones entregadas a NNA y sus cuidadores, en 2023</v>
      </c>
      <c r="H134" s="89" t="str">
        <f ca="1">IFERROR(__xludf.DUMMYFUNCTION("""COMPUTED_VALUE"""),"MUJ Septiembre")</f>
        <v>MUJ Septiembre</v>
      </c>
      <c r="I134" s="89" t="str">
        <f ca="1">IFERROR(__xludf.DUMMYFUNCTION("""COMPUTED_VALUE"""),"Septiembre")</f>
        <v>Septiembre</v>
      </c>
      <c r="J134" s="89" t="str">
        <f ca="1">IFERROR(__xludf.DUMMYFUNCTION("""COMPUTED_VALUE"""),"MUJ")</f>
        <v>MUJ</v>
      </c>
      <c r="K134" s="92">
        <f ca="1">IFERROR(__xludf.DUMMYFUNCTION("""COMPUTED_VALUE"""),29)</f>
        <v>29</v>
      </c>
      <c r="L134" s="89" t="str">
        <f ca="1">IFERROR(__xludf.DUMMYFUNCTION("""COMPUTED_VALUE"""),"TRIMESTRE 3")</f>
        <v>TRIMESTRE 3</v>
      </c>
      <c r="M134" s="89" t="str">
        <f ca="1">IFERROR(__xludf.DUMMYFUNCTION("""COMPUTED_VALUE"""),"MUJERES ADULTAS")</f>
        <v>MUJERES ADULTAS</v>
      </c>
    </row>
    <row r="135" spans="1:13">
      <c r="A135" s="89" t="str">
        <f ca="1">IFERROR(__xludf.DUMMYFUNCTION("""COMPUTED_VALUE"""),"4.1.2.2")</f>
        <v>4.1.2.2</v>
      </c>
      <c r="B135" s="89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135" s="89" t="str">
        <f ca="1">IFERROR(__xludf.DUMMYFUNCTION("""COMPUTED_VALUE"""),"4. Programas")</f>
        <v>4. Programas</v>
      </c>
      <c r="D135" s="89" t="str">
        <f ca="1">IFERROR(__xludf.DUMMYFUNCTION("""COMPUTED_VALUE"""),"Guadalajara: Capital de las niñas y los niños")</f>
        <v>Guadalajara: Capital de las niñas y los niños</v>
      </c>
      <c r="E135" s="89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135" s="89" t="str">
        <f ca="1">IFERROR(__xludf.DUMMYFUNCTION("""COMPUTED_VALUE"""),"A2C2. Raciones alimentarias entregadas a NNA y sus cuidadores")</f>
        <v>A2C2. Raciones alimentarias entregadas a NNA y sus cuidadores</v>
      </c>
      <c r="G135" s="89" t="str">
        <f ca="1">IFERROR(__xludf.DUMMYFUNCTION("""COMPUTED_VALUE"""),"Porcentaje de raciones entregadas a NNA y sus cuidadores, en 2023")</f>
        <v>Porcentaje de raciones entregadas a NNA y sus cuidadores, en 2023</v>
      </c>
      <c r="H135" s="89" t="str">
        <f ca="1">IFERROR(__xludf.DUMMYFUNCTION("""COMPUTED_VALUE"""),"HOM Septiembre")</f>
        <v>HOM Septiembre</v>
      </c>
      <c r="I135" s="89" t="str">
        <f ca="1">IFERROR(__xludf.DUMMYFUNCTION("""COMPUTED_VALUE"""),"Septiembre")</f>
        <v>Septiembre</v>
      </c>
      <c r="J135" s="89" t="str">
        <f ca="1">IFERROR(__xludf.DUMMYFUNCTION("""COMPUTED_VALUE"""),"HOM")</f>
        <v>HOM</v>
      </c>
      <c r="K135" s="92">
        <f ca="1">IFERROR(__xludf.DUMMYFUNCTION("""COMPUTED_VALUE"""),9)</f>
        <v>9</v>
      </c>
      <c r="L135" s="89" t="str">
        <f ca="1">IFERROR(__xludf.DUMMYFUNCTION("""COMPUTED_VALUE"""),"TRIMESTRE 3")</f>
        <v>TRIMESTRE 3</v>
      </c>
      <c r="M135" s="89" t="str">
        <f ca="1">IFERROR(__xludf.DUMMYFUNCTION("""COMPUTED_VALUE"""),"HOMBRES ADULTOS")</f>
        <v>HOMBRES ADULTOS</v>
      </c>
    </row>
    <row r="136" spans="1:13">
      <c r="A136" s="89" t="str">
        <f ca="1">IFERROR(__xludf.DUMMYFUNCTION("""COMPUTED_VALUE"""),"4.1.2.2")</f>
        <v>4.1.2.2</v>
      </c>
      <c r="B136" s="89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136" s="89" t="str">
        <f ca="1">IFERROR(__xludf.DUMMYFUNCTION("""COMPUTED_VALUE"""),"4. Programas")</f>
        <v>4. Programas</v>
      </c>
      <c r="D136" s="89" t="str">
        <f ca="1">IFERROR(__xludf.DUMMYFUNCTION("""COMPUTED_VALUE"""),"Guadalajara: Capital de las niñas y los niños")</f>
        <v>Guadalajara: Capital de las niñas y los niños</v>
      </c>
      <c r="E136" s="89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136" s="89" t="str">
        <f ca="1">IFERROR(__xludf.DUMMYFUNCTION("""COMPUTED_VALUE"""),"A2C2. Raciones alimentarias entregadas a NNA y sus cuidadores")</f>
        <v>A2C2. Raciones alimentarias entregadas a NNA y sus cuidadores</v>
      </c>
      <c r="G136" s="89" t="str">
        <f ca="1">IFERROR(__xludf.DUMMYFUNCTION("""COMPUTED_VALUE"""),"Porcentaje de raciones entregadas a NNA y sus cuidadores, en 2023")</f>
        <v>Porcentaje de raciones entregadas a NNA y sus cuidadores, en 2023</v>
      </c>
      <c r="H136" s="89" t="str">
        <f ca="1">IFERROR(__xludf.DUMMYFUNCTION("""COMPUTED_VALUE"""),"AMM Septiembre")</f>
        <v>AMM Septiembre</v>
      </c>
      <c r="I136" s="89" t="str">
        <f ca="1">IFERROR(__xludf.DUMMYFUNCTION("""COMPUTED_VALUE"""),"Septiembre")</f>
        <v>Septiembre</v>
      </c>
      <c r="J136" s="89" t="str">
        <f ca="1">IFERROR(__xludf.DUMMYFUNCTION("""COMPUTED_VALUE"""),"AMM")</f>
        <v>AMM</v>
      </c>
      <c r="K136" s="92">
        <f ca="1">IFERROR(__xludf.DUMMYFUNCTION("""COMPUTED_VALUE"""),0)</f>
        <v>0</v>
      </c>
      <c r="L136" s="89" t="str">
        <f ca="1">IFERROR(__xludf.DUMMYFUNCTION("""COMPUTED_VALUE"""),"TRIMESTRE 3")</f>
        <v>TRIMESTRE 3</v>
      </c>
      <c r="M136" s="89" t="str">
        <f ca="1">IFERROR(__xludf.DUMMYFUNCTION("""COMPUTED_VALUE"""),"ADULTA MAYOR MUJER")</f>
        <v>ADULTA MAYOR MUJER</v>
      </c>
    </row>
    <row r="137" spans="1:13">
      <c r="A137" s="89" t="str">
        <f ca="1">IFERROR(__xludf.DUMMYFUNCTION("""COMPUTED_VALUE"""),"4.1.2.2")</f>
        <v>4.1.2.2</v>
      </c>
      <c r="B137" s="89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137" s="89" t="str">
        <f ca="1">IFERROR(__xludf.DUMMYFUNCTION("""COMPUTED_VALUE"""),"4. Programas")</f>
        <v>4. Programas</v>
      </c>
      <c r="D137" s="89" t="str">
        <f ca="1">IFERROR(__xludf.DUMMYFUNCTION("""COMPUTED_VALUE"""),"Guadalajara: Capital de las niñas y los niños")</f>
        <v>Guadalajara: Capital de las niñas y los niños</v>
      </c>
      <c r="E137" s="89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137" s="89" t="str">
        <f ca="1">IFERROR(__xludf.DUMMYFUNCTION("""COMPUTED_VALUE"""),"A2C2. Raciones alimentarias entregadas a NNA y sus cuidadores")</f>
        <v>A2C2. Raciones alimentarias entregadas a NNA y sus cuidadores</v>
      </c>
      <c r="G137" s="89" t="str">
        <f ca="1">IFERROR(__xludf.DUMMYFUNCTION("""COMPUTED_VALUE"""),"Porcentaje de raciones entregadas a NNA y sus cuidadores, en 2023")</f>
        <v>Porcentaje de raciones entregadas a NNA y sus cuidadores, en 2023</v>
      </c>
      <c r="H137" s="89" t="str">
        <f ca="1">IFERROR(__xludf.DUMMYFUNCTION("""COMPUTED_VALUE"""),"AMH Septiembre")</f>
        <v>AMH Septiembre</v>
      </c>
      <c r="I137" s="89" t="str">
        <f ca="1">IFERROR(__xludf.DUMMYFUNCTION("""COMPUTED_VALUE"""),"Septiembre")</f>
        <v>Septiembre</v>
      </c>
      <c r="J137" s="89" t="str">
        <f ca="1">IFERROR(__xludf.DUMMYFUNCTION("""COMPUTED_VALUE"""),"AMH")</f>
        <v>AMH</v>
      </c>
      <c r="K137" s="92">
        <f ca="1">IFERROR(__xludf.DUMMYFUNCTION("""COMPUTED_VALUE"""),0)</f>
        <v>0</v>
      </c>
      <c r="L137" s="89" t="str">
        <f ca="1">IFERROR(__xludf.DUMMYFUNCTION("""COMPUTED_VALUE"""),"TRIMESTRE 3")</f>
        <v>TRIMESTRE 3</v>
      </c>
      <c r="M137" s="89" t="str">
        <f ca="1">IFERROR(__xludf.DUMMYFUNCTION("""COMPUTED_VALUE"""),"ADULTO MAYOR HOMBRE")</f>
        <v>ADULTO MAYOR HOMBRE</v>
      </c>
    </row>
    <row r="138" spans="1:13">
      <c r="A138" s="89" t="str">
        <f ca="1">IFERROR(__xludf.DUMMYFUNCTION("""COMPUTED_VALUE"""),"4.1.2.3")</f>
        <v>4.1.2.3</v>
      </c>
      <c r="B138" s="89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138" s="89" t="str">
        <f ca="1">IFERROR(__xludf.DUMMYFUNCTION("""COMPUTED_VALUE"""),"4. Programas")</f>
        <v>4. Programas</v>
      </c>
      <c r="D138" s="89" t="str">
        <f ca="1">IFERROR(__xludf.DUMMYFUNCTION("""COMPUTED_VALUE"""),"Guadalajara: Capital de las niñas y los niños")</f>
        <v>Guadalajara: Capital de las niñas y los niños</v>
      </c>
      <c r="E138" s="89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138" s="89" t="str">
        <f ca="1">IFERROR(__xludf.DUMMYFUNCTION("""COMPUTED_VALUE"""),"A3C2. Apoyos asistenciales entregados a madres en etapa adolescente")</f>
        <v>A3C2. Apoyos asistenciales entregados a madres en etapa adolescente</v>
      </c>
      <c r="G138" s="89" t="str">
        <f ca="1">IFERROR(__xludf.DUMMYFUNCTION("""COMPUTED_VALUE"""),"Apoyos asistenciales entregados a madres adolescentes, en 2023")</f>
        <v>Apoyos asistenciales entregados a madres adolescentes, en 2023</v>
      </c>
      <c r="H138" s="89" t="str">
        <f ca="1">IFERROR(__xludf.DUMMYFUNCTION("""COMPUTED_VALUE"""),"NAS Septiembre")</f>
        <v>NAS Septiembre</v>
      </c>
      <c r="I138" s="89" t="str">
        <f ca="1">IFERROR(__xludf.DUMMYFUNCTION("""COMPUTED_VALUE"""),"Septiembre")</f>
        <v>Septiembre</v>
      </c>
      <c r="J138" s="89" t="str">
        <f ca="1">IFERROR(__xludf.DUMMYFUNCTION("""COMPUTED_VALUE"""),"NAS")</f>
        <v>NAS</v>
      </c>
      <c r="K138" s="92">
        <f ca="1">IFERROR(__xludf.DUMMYFUNCTION("""COMPUTED_VALUE"""),0)</f>
        <v>0</v>
      </c>
      <c r="L138" s="89" t="str">
        <f ca="1">IFERROR(__xludf.DUMMYFUNCTION("""COMPUTED_VALUE"""),"TRIMESTRE 3")</f>
        <v>TRIMESTRE 3</v>
      </c>
      <c r="M138" s="89" t="str">
        <f ca="1">IFERROR(__xludf.DUMMYFUNCTION("""COMPUTED_VALUE"""),"NIÑAS")</f>
        <v>NIÑAS</v>
      </c>
    </row>
    <row r="139" spans="1:13">
      <c r="A139" s="89" t="str">
        <f ca="1">IFERROR(__xludf.DUMMYFUNCTION("""COMPUTED_VALUE"""),"4.1.2.3")</f>
        <v>4.1.2.3</v>
      </c>
      <c r="B139" s="89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139" s="89" t="str">
        <f ca="1">IFERROR(__xludf.DUMMYFUNCTION("""COMPUTED_VALUE"""),"4. Programas")</f>
        <v>4. Programas</v>
      </c>
      <c r="D139" s="89" t="str">
        <f ca="1">IFERROR(__xludf.DUMMYFUNCTION("""COMPUTED_VALUE"""),"Guadalajara: Capital de las niñas y los niños")</f>
        <v>Guadalajara: Capital de las niñas y los niños</v>
      </c>
      <c r="E139" s="89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139" s="89" t="str">
        <f ca="1">IFERROR(__xludf.DUMMYFUNCTION("""COMPUTED_VALUE"""),"A3C2. Apoyos asistenciales entregados a madres en etapa adolescente")</f>
        <v>A3C2. Apoyos asistenciales entregados a madres en etapa adolescente</v>
      </c>
      <c r="G139" s="89" t="str">
        <f ca="1">IFERROR(__xludf.DUMMYFUNCTION("""COMPUTED_VALUE"""),"Apoyos asistenciales entregados a madres adolescentes, en 2023")</f>
        <v>Apoyos asistenciales entregados a madres adolescentes, en 2023</v>
      </c>
      <c r="H139" s="89" t="str">
        <f ca="1">IFERROR(__xludf.DUMMYFUNCTION("""COMPUTED_VALUE"""),"NOS Septiembre")</f>
        <v>NOS Septiembre</v>
      </c>
      <c r="I139" s="89" t="str">
        <f ca="1">IFERROR(__xludf.DUMMYFUNCTION("""COMPUTED_VALUE"""),"Septiembre")</f>
        <v>Septiembre</v>
      </c>
      <c r="J139" s="89" t="str">
        <f ca="1">IFERROR(__xludf.DUMMYFUNCTION("""COMPUTED_VALUE"""),"NOS")</f>
        <v>NOS</v>
      </c>
      <c r="K139" s="92">
        <f ca="1">IFERROR(__xludf.DUMMYFUNCTION("""COMPUTED_VALUE"""),0)</f>
        <v>0</v>
      </c>
      <c r="L139" s="89" t="str">
        <f ca="1">IFERROR(__xludf.DUMMYFUNCTION("""COMPUTED_VALUE"""),"TRIMESTRE 3")</f>
        <v>TRIMESTRE 3</v>
      </c>
      <c r="M139" s="89" t="str">
        <f ca="1">IFERROR(__xludf.DUMMYFUNCTION("""COMPUTED_VALUE"""),"NIÑOS")</f>
        <v>NIÑOS</v>
      </c>
    </row>
    <row r="140" spans="1:13">
      <c r="A140" s="89" t="str">
        <f ca="1">IFERROR(__xludf.DUMMYFUNCTION("""COMPUTED_VALUE"""),"4.1.2.3")</f>
        <v>4.1.2.3</v>
      </c>
      <c r="B140" s="89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140" s="89" t="str">
        <f ca="1">IFERROR(__xludf.DUMMYFUNCTION("""COMPUTED_VALUE"""),"4. Programas")</f>
        <v>4. Programas</v>
      </c>
      <c r="D140" s="89" t="str">
        <f ca="1">IFERROR(__xludf.DUMMYFUNCTION("""COMPUTED_VALUE"""),"Guadalajara: Capital de las niñas y los niños")</f>
        <v>Guadalajara: Capital de las niñas y los niños</v>
      </c>
      <c r="E140" s="89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140" s="89" t="str">
        <f ca="1">IFERROR(__xludf.DUMMYFUNCTION("""COMPUTED_VALUE"""),"A3C2. Apoyos asistenciales entregados a madres en etapa adolescente")</f>
        <v>A3C2. Apoyos asistenciales entregados a madres en etapa adolescente</v>
      </c>
      <c r="G140" s="89" t="str">
        <f ca="1">IFERROR(__xludf.DUMMYFUNCTION("""COMPUTED_VALUE"""),"Apoyos asistenciales entregados a madres adolescentes, en 2023")</f>
        <v>Apoyos asistenciales entregados a madres adolescentes, en 2023</v>
      </c>
      <c r="H140" s="89" t="str">
        <f ca="1">IFERROR(__xludf.DUMMYFUNCTION("""COMPUTED_VALUE"""),"AM SEPTIEMBRE")</f>
        <v>AM SEPTIEMBRE</v>
      </c>
      <c r="I140" s="89" t="str">
        <f ca="1">IFERROR(__xludf.DUMMYFUNCTION("""COMPUTED_VALUE"""),"Septiembre")</f>
        <v>Septiembre</v>
      </c>
      <c r="J140" s="89" t="str">
        <f ca="1">IFERROR(__xludf.DUMMYFUNCTION("""COMPUTED_VALUE"""),"AM")</f>
        <v>AM</v>
      </c>
      <c r="K140" s="92">
        <f ca="1">IFERROR(__xludf.DUMMYFUNCTION("""COMPUTED_VALUE"""),0)</f>
        <v>0</v>
      </c>
      <c r="L140" s="89" t="str">
        <f ca="1">IFERROR(__xludf.DUMMYFUNCTION("""COMPUTED_VALUE"""),"TRIMESTRE 3")</f>
        <v>TRIMESTRE 3</v>
      </c>
      <c r="M140" s="89" t="str">
        <f ca="1">IFERROR(__xludf.DUMMYFUNCTION("""COMPUTED_VALUE"""),"ADOLESCENTES MUJERES")</f>
        <v>ADOLESCENTES MUJERES</v>
      </c>
    </row>
    <row r="141" spans="1:13">
      <c r="A141" s="89" t="str">
        <f ca="1">IFERROR(__xludf.DUMMYFUNCTION("""COMPUTED_VALUE"""),"4.1.2.3")</f>
        <v>4.1.2.3</v>
      </c>
      <c r="B141" s="89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141" s="89" t="str">
        <f ca="1">IFERROR(__xludf.DUMMYFUNCTION("""COMPUTED_VALUE"""),"4. Programas")</f>
        <v>4. Programas</v>
      </c>
      <c r="D141" s="89" t="str">
        <f ca="1">IFERROR(__xludf.DUMMYFUNCTION("""COMPUTED_VALUE"""),"Guadalajara: Capital de las niñas y los niños")</f>
        <v>Guadalajara: Capital de las niñas y los niños</v>
      </c>
      <c r="E141" s="89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141" s="89" t="str">
        <f ca="1">IFERROR(__xludf.DUMMYFUNCTION("""COMPUTED_VALUE"""),"A3C2. Apoyos asistenciales entregados a madres en etapa adolescente")</f>
        <v>A3C2. Apoyos asistenciales entregados a madres en etapa adolescente</v>
      </c>
      <c r="G141" s="89" t="str">
        <f ca="1">IFERROR(__xludf.DUMMYFUNCTION("""COMPUTED_VALUE"""),"Apoyos asistenciales entregados a madres adolescentes, en 2023")</f>
        <v>Apoyos asistenciales entregados a madres adolescentes, en 2023</v>
      </c>
      <c r="H141" s="89" t="str">
        <f ca="1">IFERROR(__xludf.DUMMYFUNCTION("""COMPUTED_VALUE"""),"AH SEPTIEMBRE")</f>
        <v>AH SEPTIEMBRE</v>
      </c>
      <c r="I141" s="89" t="str">
        <f ca="1">IFERROR(__xludf.DUMMYFUNCTION("""COMPUTED_VALUE"""),"Septiembre")</f>
        <v>Septiembre</v>
      </c>
      <c r="J141" s="89" t="str">
        <f ca="1">IFERROR(__xludf.DUMMYFUNCTION("""COMPUTED_VALUE"""),"AH")</f>
        <v>AH</v>
      </c>
      <c r="K141" s="92">
        <f ca="1">IFERROR(__xludf.DUMMYFUNCTION("""COMPUTED_VALUE"""),0)</f>
        <v>0</v>
      </c>
      <c r="L141" s="89" t="str">
        <f ca="1">IFERROR(__xludf.DUMMYFUNCTION("""COMPUTED_VALUE"""),"TRIMESTRE 3")</f>
        <v>TRIMESTRE 3</v>
      </c>
      <c r="M141" s="89" t="str">
        <f ca="1">IFERROR(__xludf.DUMMYFUNCTION("""COMPUTED_VALUE"""),"ADOLESCENTES HOMBRES")</f>
        <v>ADOLESCENTES HOMBRES</v>
      </c>
    </row>
    <row r="142" spans="1:13">
      <c r="A142" s="89" t="str">
        <f ca="1">IFERROR(__xludf.DUMMYFUNCTION("""COMPUTED_VALUE"""),"4.1.2.3")</f>
        <v>4.1.2.3</v>
      </c>
      <c r="B142" s="89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142" s="89" t="str">
        <f ca="1">IFERROR(__xludf.DUMMYFUNCTION("""COMPUTED_VALUE"""),"4. Programas")</f>
        <v>4. Programas</v>
      </c>
      <c r="D142" s="89" t="str">
        <f ca="1">IFERROR(__xludf.DUMMYFUNCTION("""COMPUTED_VALUE"""),"Guadalajara: Capital de las niñas y los niños")</f>
        <v>Guadalajara: Capital de las niñas y los niños</v>
      </c>
      <c r="E142" s="89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142" s="89" t="str">
        <f ca="1">IFERROR(__xludf.DUMMYFUNCTION("""COMPUTED_VALUE"""),"A3C2. Apoyos asistenciales entregados a madres en etapa adolescente")</f>
        <v>A3C2. Apoyos asistenciales entregados a madres en etapa adolescente</v>
      </c>
      <c r="G142" s="89" t="str">
        <f ca="1">IFERROR(__xludf.DUMMYFUNCTION("""COMPUTED_VALUE"""),"Apoyos asistenciales entregados a madres adolescentes, en 2023")</f>
        <v>Apoyos asistenciales entregados a madres adolescentes, en 2023</v>
      </c>
      <c r="H142" s="89" t="str">
        <f ca="1">IFERROR(__xludf.DUMMYFUNCTION("""COMPUTED_VALUE"""),"MUJ Septiembre")</f>
        <v>MUJ Septiembre</v>
      </c>
      <c r="I142" s="89" t="str">
        <f ca="1">IFERROR(__xludf.DUMMYFUNCTION("""COMPUTED_VALUE"""),"Septiembre")</f>
        <v>Septiembre</v>
      </c>
      <c r="J142" s="89" t="str">
        <f ca="1">IFERROR(__xludf.DUMMYFUNCTION("""COMPUTED_VALUE"""),"MUJ")</f>
        <v>MUJ</v>
      </c>
      <c r="K142" s="92">
        <f ca="1">IFERROR(__xludf.DUMMYFUNCTION("""COMPUTED_VALUE"""),0)</f>
        <v>0</v>
      </c>
      <c r="L142" s="89" t="str">
        <f ca="1">IFERROR(__xludf.DUMMYFUNCTION("""COMPUTED_VALUE"""),"TRIMESTRE 3")</f>
        <v>TRIMESTRE 3</v>
      </c>
      <c r="M142" s="89" t="str">
        <f ca="1">IFERROR(__xludf.DUMMYFUNCTION("""COMPUTED_VALUE"""),"MUJERES ADULTAS")</f>
        <v>MUJERES ADULTAS</v>
      </c>
    </row>
    <row r="143" spans="1:13">
      <c r="A143" s="89" t="str">
        <f ca="1">IFERROR(__xludf.DUMMYFUNCTION("""COMPUTED_VALUE"""),"4.1.2.3")</f>
        <v>4.1.2.3</v>
      </c>
      <c r="B143" s="89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143" s="89" t="str">
        <f ca="1">IFERROR(__xludf.DUMMYFUNCTION("""COMPUTED_VALUE"""),"4. Programas")</f>
        <v>4. Programas</v>
      </c>
      <c r="D143" s="89" t="str">
        <f ca="1">IFERROR(__xludf.DUMMYFUNCTION("""COMPUTED_VALUE"""),"Guadalajara: Capital de las niñas y los niños")</f>
        <v>Guadalajara: Capital de las niñas y los niños</v>
      </c>
      <c r="E143" s="89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143" s="89" t="str">
        <f ca="1">IFERROR(__xludf.DUMMYFUNCTION("""COMPUTED_VALUE"""),"A3C2. Apoyos asistenciales entregados a madres en etapa adolescente")</f>
        <v>A3C2. Apoyos asistenciales entregados a madres en etapa adolescente</v>
      </c>
      <c r="G143" s="89" t="str">
        <f ca="1">IFERROR(__xludf.DUMMYFUNCTION("""COMPUTED_VALUE"""),"Apoyos asistenciales entregados a madres adolescentes, en 2023")</f>
        <v>Apoyos asistenciales entregados a madres adolescentes, en 2023</v>
      </c>
      <c r="H143" s="89" t="str">
        <f ca="1">IFERROR(__xludf.DUMMYFUNCTION("""COMPUTED_VALUE"""),"HOM Septiembre")</f>
        <v>HOM Septiembre</v>
      </c>
      <c r="I143" s="89" t="str">
        <f ca="1">IFERROR(__xludf.DUMMYFUNCTION("""COMPUTED_VALUE"""),"Septiembre")</f>
        <v>Septiembre</v>
      </c>
      <c r="J143" s="89" t="str">
        <f ca="1">IFERROR(__xludf.DUMMYFUNCTION("""COMPUTED_VALUE"""),"HOM")</f>
        <v>HOM</v>
      </c>
      <c r="K143" s="92">
        <f ca="1">IFERROR(__xludf.DUMMYFUNCTION("""COMPUTED_VALUE"""),0)</f>
        <v>0</v>
      </c>
      <c r="L143" s="89" t="str">
        <f ca="1">IFERROR(__xludf.DUMMYFUNCTION("""COMPUTED_VALUE"""),"TRIMESTRE 3")</f>
        <v>TRIMESTRE 3</v>
      </c>
      <c r="M143" s="89" t="str">
        <f ca="1">IFERROR(__xludf.DUMMYFUNCTION("""COMPUTED_VALUE"""),"HOMBRES ADULTOS")</f>
        <v>HOMBRES ADULTOS</v>
      </c>
    </row>
    <row r="144" spans="1:13">
      <c r="A144" s="89" t="str">
        <f ca="1">IFERROR(__xludf.DUMMYFUNCTION("""COMPUTED_VALUE"""),"4.1.2.3")</f>
        <v>4.1.2.3</v>
      </c>
      <c r="B144" s="89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144" s="89" t="str">
        <f ca="1">IFERROR(__xludf.DUMMYFUNCTION("""COMPUTED_VALUE"""),"4. Programas")</f>
        <v>4. Programas</v>
      </c>
      <c r="D144" s="89" t="str">
        <f ca="1">IFERROR(__xludf.DUMMYFUNCTION("""COMPUTED_VALUE"""),"Guadalajara: Capital de las niñas y los niños")</f>
        <v>Guadalajara: Capital de las niñas y los niños</v>
      </c>
      <c r="E144" s="89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144" s="89" t="str">
        <f ca="1">IFERROR(__xludf.DUMMYFUNCTION("""COMPUTED_VALUE"""),"A3C2. Apoyos asistenciales entregados a madres en etapa adolescente")</f>
        <v>A3C2. Apoyos asistenciales entregados a madres en etapa adolescente</v>
      </c>
      <c r="G144" s="89" t="str">
        <f ca="1">IFERROR(__xludf.DUMMYFUNCTION("""COMPUTED_VALUE"""),"Apoyos asistenciales entregados a madres adolescentes, en 2023")</f>
        <v>Apoyos asistenciales entregados a madres adolescentes, en 2023</v>
      </c>
      <c r="H144" s="89" t="str">
        <f ca="1">IFERROR(__xludf.DUMMYFUNCTION("""COMPUTED_VALUE"""),"AMM Septiembre")</f>
        <v>AMM Septiembre</v>
      </c>
      <c r="I144" s="89" t="str">
        <f ca="1">IFERROR(__xludf.DUMMYFUNCTION("""COMPUTED_VALUE"""),"Septiembre")</f>
        <v>Septiembre</v>
      </c>
      <c r="J144" s="89" t="str">
        <f ca="1">IFERROR(__xludf.DUMMYFUNCTION("""COMPUTED_VALUE"""),"AMM")</f>
        <v>AMM</v>
      </c>
      <c r="K144" s="92">
        <f ca="1">IFERROR(__xludf.DUMMYFUNCTION("""COMPUTED_VALUE"""),0)</f>
        <v>0</v>
      </c>
      <c r="L144" s="89" t="str">
        <f ca="1">IFERROR(__xludf.DUMMYFUNCTION("""COMPUTED_VALUE"""),"TRIMESTRE 3")</f>
        <v>TRIMESTRE 3</v>
      </c>
      <c r="M144" s="89" t="str">
        <f ca="1">IFERROR(__xludf.DUMMYFUNCTION("""COMPUTED_VALUE"""),"ADULTA MAYOR MUJER")</f>
        <v>ADULTA MAYOR MUJER</v>
      </c>
    </row>
    <row r="145" spans="1:13">
      <c r="A145" s="89" t="str">
        <f ca="1">IFERROR(__xludf.DUMMYFUNCTION("""COMPUTED_VALUE"""),"4.1.2.3")</f>
        <v>4.1.2.3</v>
      </c>
      <c r="B145" s="89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145" s="89" t="str">
        <f ca="1">IFERROR(__xludf.DUMMYFUNCTION("""COMPUTED_VALUE"""),"4. Programas")</f>
        <v>4. Programas</v>
      </c>
      <c r="D145" s="89" t="str">
        <f ca="1">IFERROR(__xludf.DUMMYFUNCTION("""COMPUTED_VALUE"""),"Guadalajara: Capital de las niñas y los niños")</f>
        <v>Guadalajara: Capital de las niñas y los niños</v>
      </c>
      <c r="E145" s="89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145" s="89" t="str">
        <f ca="1">IFERROR(__xludf.DUMMYFUNCTION("""COMPUTED_VALUE"""),"A3C2. Apoyos asistenciales entregados a madres en etapa adolescente")</f>
        <v>A3C2. Apoyos asistenciales entregados a madres en etapa adolescente</v>
      </c>
      <c r="G145" s="89" t="str">
        <f ca="1">IFERROR(__xludf.DUMMYFUNCTION("""COMPUTED_VALUE"""),"Apoyos asistenciales entregados a madres adolescentes, en 2023")</f>
        <v>Apoyos asistenciales entregados a madres adolescentes, en 2023</v>
      </c>
      <c r="H145" s="89" t="str">
        <f ca="1">IFERROR(__xludf.DUMMYFUNCTION("""COMPUTED_VALUE"""),"AMH Septiembre")</f>
        <v>AMH Septiembre</v>
      </c>
      <c r="I145" s="89" t="str">
        <f ca="1">IFERROR(__xludf.DUMMYFUNCTION("""COMPUTED_VALUE"""),"Septiembre")</f>
        <v>Septiembre</v>
      </c>
      <c r="J145" s="89" t="str">
        <f ca="1">IFERROR(__xludf.DUMMYFUNCTION("""COMPUTED_VALUE"""),"AMH")</f>
        <v>AMH</v>
      </c>
      <c r="K145" s="92">
        <f ca="1">IFERROR(__xludf.DUMMYFUNCTION("""COMPUTED_VALUE"""),0)</f>
        <v>0</v>
      </c>
      <c r="L145" s="89" t="str">
        <f ca="1">IFERROR(__xludf.DUMMYFUNCTION("""COMPUTED_VALUE"""),"TRIMESTRE 3")</f>
        <v>TRIMESTRE 3</v>
      </c>
      <c r="M145" s="89" t="str">
        <f ca="1">IFERROR(__xludf.DUMMYFUNCTION("""COMPUTED_VALUE"""),"ADULTO MAYOR HOMBRE")</f>
        <v>ADULTO MAYOR HOMBRE</v>
      </c>
    </row>
    <row r="146" spans="1:13">
      <c r="A146" s="89" t="str">
        <f ca="1">IFERROR(__xludf.DUMMYFUNCTION("""COMPUTED_VALUE"""),"4.1.2.2")</f>
        <v>4.1.2.2</v>
      </c>
      <c r="B146" s="89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146" s="89" t="str">
        <f ca="1">IFERROR(__xludf.DUMMYFUNCTION("""COMPUTED_VALUE"""),"4. Programas")</f>
        <v>4. Programas</v>
      </c>
      <c r="D146" s="89" t="str">
        <f ca="1">IFERROR(__xludf.DUMMYFUNCTION("""COMPUTED_VALUE"""),"Guadalajara: Capital de las niñas y los niños")</f>
        <v>Guadalajara: Capital de las niñas y los niños</v>
      </c>
      <c r="E146" s="89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146" s="89" t="str">
        <f ca="1">IFERROR(__xludf.DUMMYFUNCTION("""COMPUTED_VALUE"""),"A2C2. Raciones alimentarias entregadas a NNA y sus cuidadores")</f>
        <v>A2C2. Raciones alimentarias entregadas a NNA y sus cuidadores</v>
      </c>
      <c r="G146" s="89" t="str">
        <f ca="1">IFERROR(__xludf.DUMMYFUNCTION("""COMPUTED_VALUE"""),"Porcentaje de raciones entregadas a NNA y sus cuidadores, en 2023")</f>
        <v>Porcentaje de raciones entregadas a NNA y sus cuidadores, en 2023</v>
      </c>
      <c r="H146" s="89" t="str">
        <f ca="1">IFERROR(__xludf.DUMMYFUNCTION("""COMPUTED_VALUE"""),"NAS Octubre")</f>
        <v>NAS Octubre</v>
      </c>
      <c r="I146" s="89" t="str">
        <f ca="1">IFERROR(__xludf.DUMMYFUNCTION("""COMPUTED_VALUE"""),"Octubre")</f>
        <v>Octubre</v>
      </c>
      <c r="J146" s="89" t="str">
        <f ca="1">IFERROR(__xludf.DUMMYFUNCTION("""COMPUTED_VALUE"""),"NAS")</f>
        <v>NAS</v>
      </c>
      <c r="K146" s="92">
        <f ca="1">IFERROR(__xludf.DUMMYFUNCTION("""COMPUTED_VALUE"""),179)</f>
        <v>179</v>
      </c>
      <c r="L146" s="89" t="str">
        <f ca="1">IFERROR(__xludf.DUMMYFUNCTION("""COMPUTED_VALUE"""),"TRIMESTRE 4")</f>
        <v>TRIMESTRE 4</v>
      </c>
      <c r="M146" s="89" t="str">
        <f ca="1">IFERROR(__xludf.DUMMYFUNCTION("""COMPUTED_VALUE"""),"NIÑAS")</f>
        <v>NIÑAS</v>
      </c>
    </row>
    <row r="147" spans="1:13">
      <c r="A147" s="89" t="str">
        <f ca="1">IFERROR(__xludf.DUMMYFUNCTION("""COMPUTED_VALUE"""),"4.1.2.2")</f>
        <v>4.1.2.2</v>
      </c>
      <c r="B147" s="89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147" s="89" t="str">
        <f ca="1">IFERROR(__xludf.DUMMYFUNCTION("""COMPUTED_VALUE"""),"4. Programas")</f>
        <v>4. Programas</v>
      </c>
      <c r="D147" s="89" t="str">
        <f ca="1">IFERROR(__xludf.DUMMYFUNCTION("""COMPUTED_VALUE"""),"Guadalajara: Capital de las niñas y los niños")</f>
        <v>Guadalajara: Capital de las niñas y los niños</v>
      </c>
      <c r="E147" s="89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147" s="89" t="str">
        <f ca="1">IFERROR(__xludf.DUMMYFUNCTION("""COMPUTED_VALUE"""),"A2C2. Raciones alimentarias entregadas a NNA y sus cuidadores")</f>
        <v>A2C2. Raciones alimentarias entregadas a NNA y sus cuidadores</v>
      </c>
      <c r="G147" s="89" t="str">
        <f ca="1">IFERROR(__xludf.DUMMYFUNCTION("""COMPUTED_VALUE"""),"Porcentaje de raciones entregadas a NNA y sus cuidadores, en 2023")</f>
        <v>Porcentaje de raciones entregadas a NNA y sus cuidadores, en 2023</v>
      </c>
      <c r="H147" s="89" t="str">
        <f ca="1">IFERROR(__xludf.DUMMYFUNCTION("""COMPUTED_VALUE"""),"NOS Octubre")</f>
        <v>NOS Octubre</v>
      </c>
      <c r="I147" s="89" t="str">
        <f ca="1">IFERROR(__xludf.DUMMYFUNCTION("""COMPUTED_VALUE"""),"Octubre")</f>
        <v>Octubre</v>
      </c>
      <c r="J147" s="89" t="str">
        <f ca="1">IFERROR(__xludf.DUMMYFUNCTION("""COMPUTED_VALUE"""),"NOS")</f>
        <v>NOS</v>
      </c>
      <c r="K147" s="92">
        <f ca="1">IFERROR(__xludf.DUMMYFUNCTION("""COMPUTED_VALUE"""),151)</f>
        <v>151</v>
      </c>
      <c r="L147" s="89" t="str">
        <f ca="1">IFERROR(__xludf.DUMMYFUNCTION("""COMPUTED_VALUE"""),"TRIMESTRE 4")</f>
        <v>TRIMESTRE 4</v>
      </c>
      <c r="M147" s="89" t="str">
        <f ca="1">IFERROR(__xludf.DUMMYFUNCTION("""COMPUTED_VALUE"""),"NIÑOS")</f>
        <v>NIÑOS</v>
      </c>
    </row>
    <row r="148" spans="1:13">
      <c r="A148" s="89" t="str">
        <f ca="1">IFERROR(__xludf.DUMMYFUNCTION("""COMPUTED_VALUE"""),"4.1.2.2")</f>
        <v>4.1.2.2</v>
      </c>
      <c r="B148" s="89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148" s="89" t="str">
        <f ca="1">IFERROR(__xludf.DUMMYFUNCTION("""COMPUTED_VALUE"""),"4. Programas")</f>
        <v>4. Programas</v>
      </c>
      <c r="D148" s="89" t="str">
        <f ca="1">IFERROR(__xludf.DUMMYFUNCTION("""COMPUTED_VALUE"""),"Guadalajara: Capital de las niñas y los niños")</f>
        <v>Guadalajara: Capital de las niñas y los niños</v>
      </c>
      <c r="E148" s="89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148" s="89" t="str">
        <f ca="1">IFERROR(__xludf.DUMMYFUNCTION("""COMPUTED_VALUE"""),"A2C2. Raciones alimentarias entregadas a NNA y sus cuidadores")</f>
        <v>A2C2. Raciones alimentarias entregadas a NNA y sus cuidadores</v>
      </c>
      <c r="G148" s="89" t="str">
        <f ca="1">IFERROR(__xludf.DUMMYFUNCTION("""COMPUTED_VALUE"""),"Porcentaje de raciones entregadas a NNA y sus cuidadores, en 2023")</f>
        <v>Porcentaje de raciones entregadas a NNA y sus cuidadores, en 2023</v>
      </c>
      <c r="H148" s="89" t="str">
        <f ca="1">IFERROR(__xludf.DUMMYFUNCTION("""COMPUTED_VALUE"""),"AM OCTUBRE")</f>
        <v>AM OCTUBRE</v>
      </c>
      <c r="I148" s="89" t="str">
        <f ca="1">IFERROR(__xludf.DUMMYFUNCTION("""COMPUTED_VALUE"""),"Octubre")</f>
        <v>Octubre</v>
      </c>
      <c r="J148" s="89" t="str">
        <f ca="1">IFERROR(__xludf.DUMMYFUNCTION("""COMPUTED_VALUE"""),"AM")</f>
        <v>AM</v>
      </c>
      <c r="K148" s="92">
        <f ca="1">IFERROR(__xludf.DUMMYFUNCTION("""COMPUTED_VALUE"""),118)</f>
        <v>118</v>
      </c>
      <c r="L148" s="89" t="str">
        <f ca="1">IFERROR(__xludf.DUMMYFUNCTION("""COMPUTED_VALUE"""),"TRIMESTRE 4")</f>
        <v>TRIMESTRE 4</v>
      </c>
      <c r="M148" s="89" t="str">
        <f ca="1">IFERROR(__xludf.DUMMYFUNCTION("""COMPUTED_VALUE"""),"ADOLESCENTES MUJERES")</f>
        <v>ADOLESCENTES MUJERES</v>
      </c>
    </row>
    <row r="149" spans="1:13">
      <c r="A149" s="89" t="str">
        <f ca="1">IFERROR(__xludf.DUMMYFUNCTION("""COMPUTED_VALUE"""),"4.1.2.2")</f>
        <v>4.1.2.2</v>
      </c>
      <c r="B149" s="89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149" s="89" t="str">
        <f ca="1">IFERROR(__xludf.DUMMYFUNCTION("""COMPUTED_VALUE"""),"4. Programas")</f>
        <v>4. Programas</v>
      </c>
      <c r="D149" s="89" t="str">
        <f ca="1">IFERROR(__xludf.DUMMYFUNCTION("""COMPUTED_VALUE"""),"Guadalajara: Capital de las niñas y los niños")</f>
        <v>Guadalajara: Capital de las niñas y los niños</v>
      </c>
      <c r="E149" s="89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149" s="89" t="str">
        <f ca="1">IFERROR(__xludf.DUMMYFUNCTION("""COMPUTED_VALUE"""),"A2C2. Raciones alimentarias entregadas a NNA y sus cuidadores")</f>
        <v>A2C2. Raciones alimentarias entregadas a NNA y sus cuidadores</v>
      </c>
      <c r="G149" s="89" t="str">
        <f ca="1">IFERROR(__xludf.DUMMYFUNCTION("""COMPUTED_VALUE"""),"Porcentaje de raciones entregadas a NNA y sus cuidadores, en 2023")</f>
        <v>Porcentaje de raciones entregadas a NNA y sus cuidadores, en 2023</v>
      </c>
      <c r="H149" s="89" t="str">
        <f ca="1">IFERROR(__xludf.DUMMYFUNCTION("""COMPUTED_VALUE"""),"AH OCTUBRE")</f>
        <v>AH OCTUBRE</v>
      </c>
      <c r="I149" s="89" t="str">
        <f ca="1">IFERROR(__xludf.DUMMYFUNCTION("""COMPUTED_VALUE"""),"Octubre")</f>
        <v>Octubre</v>
      </c>
      <c r="J149" s="89" t="str">
        <f ca="1">IFERROR(__xludf.DUMMYFUNCTION("""COMPUTED_VALUE"""),"AH")</f>
        <v>AH</v>
      </c>
      <c r="K149" s="92">
        <f ca="1">IFERROR(__xludf.DUMMYFUNCTION("""COMPUTED_VALUE"""),103)</f>
        <v>103</v>
      </c>
      <c r="L149" s="89" t="str">
        <f ca="1">IFERROR(__xludf.DUMMYFUNCTION("""COMPUTED_VALUE"""),"TRIMESTRE 4")</f>
        <v>TRIMESTRE 4</v>
      </c>
      <c r="M149" s="89" t="str">
        <f ca="1">IFERROR(__xludf.DUMMYFUNCTION("""COMPUTED_VALUE"""),"ADOLESCENTES HOMBRES")</f>
        <v>ADOLESCENTES HOMBRES</v>
      </c>
    </row>
    <row r="150" spans="1:13">
      <c r="A150" s="89" t="str">
        <f ca="1">IFERROR(__xludf.DUMMYFUNCTION("""COMPUTED_VALUE"""),"4.1.2.2")</f>
        <v>4.1.2.2</v>
      </c>
      <c r="B150" s="89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150" s="89" t="str">
        <f ca="1">IFERROR(__xludf.DUMMYFUNCTION("""COMPUTED_VALUE"""),"4. Programas")</f>
        <v>4. Programas</v>
      </c>
      <c r="D150" s="89" t="str">
        <f ca="1">IFERROR(__xludf.DUMMYFUNCTION("""COMPUTED_VALUE"""),"Guadalajara: Capital de las niñas y los niños")</f>
        <v>Guadalajara: Capital de las niñas y los niños</v>
      </c>
      <c r="E150" s="89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150" s="89" t="str">
        <f ca="1">IFERROR(__xludf.DUMMYFUNCTION("""COMPUTED_VALUE"""),"A2C2. Raciones alimentarias entregadas a NNA y sus cuidadores")</f>
        <v>A2C2. Raciones alimentarias entregadas a NNA y sus cuidadores</v>
      </c>
      <c r="G150" s="89" t="str">
        <f ca="1">IFERROR(__xludf.DUMMYFUNCTION("""COMPUTED_VALUE"""),"Porcentaje de raciones entregadas a NNA y sus cuidadores, en 2023")</f>
        <v>Porcentaje de raciones entregadas a NNA y sus cuidadores, en 2023</v>
      </c>
      <c r="H150" s="89" t="str">
        <f ca="1">IFERROR(__xludf.DUMMYFUNCTION("""COMPUTED_VALUE"""),"MUJ Octubre")</f>
        <v>MUJ Octubre</v>
      </c>
      <c r="I150" s="89" t="str">
        <f ca="1">IFERROR(__xludf.DUMMYFUNCTION("""COMPUTED_VALUE"""),"Octubre")</f>
        <v>Octubre</v>
      </c>
      <c r="J150" s="89" t="str">
        <f ca="1">IFERROR(__xludf.DUMMYFUNCTION("""COMPUTED_VALUE"""),"MUJ")</f>
        <v>MUJ</v>
      </c>
      <c r="K150" s="92">
        <f ca="1">IFERROR(__xludf.DUMMYFUNCTION("""COMPUTED_VALUE"""),36)</f>
        <v>36</v>
      </c>
      <c r="L150" s="89" t="str">
        <f ca="1">IFERROR(__xludf.DUMMYFUNCTION("""COMPUTED_VALUE"""),"TRIMESTRE 4")</f>
        <v>TRIMESTRE 4</v>
      </c>
      <c r="M150" s="89" t="str">
        <f ca="1">IFERROR(__xludf.DUMMYFUNCTION("""COMPUTED_VALUE"""),"MUJERES ADULTAS")</f>
        <v>MUJERES ADULTAS</v>
      </c>
    </row>
    <row r="151" spans="1:13">
      <c r="A151" s="89" t="str">
        <f ca="1">IFERROR(__xludf.DUMMYFUNCTION("""COMPUTED_VALUE"""),"4.1.2.2")</f>
        <v>4.1.2.2</v>
      </c>
      <c r="B151" s="89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151" s="89" t="str">
        <f ca="1">IFERROR(__xludf.DUMMYFUNCTION("""COMPUTED_VALUE"""),"4. Programas")</f>
        <v>4. Programas</v>
      </c>
      <c r="D151" s="89" t="str">
        <f ca="1">IFERROR(__xludf.DUMMYFUNCTION("""COMPUTED_VALUE"""),"Guadalajara: Capital de las niñas y los niños")</f>
        <v>Guadalajara: Capital de las niñas y los niños</v>
      </c>
      <c r="E151" s="89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151" s="89" t="str">
        <f ca="1">IFERROR(__xludf.DUMMYFUNCTION("""COMPUTED_VALUE"""),"A2C2. Raciones alimentarias entregadas a NNA y sus cuidadores")</f>
        <v>A2C2. Raciones alimentarias entregadas a NNA y sus cuidadores</v>
      </c>
      <c r="G151" s="89" t="str">
        <f ca="1">IFERROR(__xludf.DUMMYFUNCTION("""COMPUTED_VALUE"""),"Porcentaje de raciones entregadas a NNA y sus cuidadores, en 2023")</f>
        <v>Porcentaje de raciones entregadas a NNA y sus cuidadores, en 2023</v>
      </c>
      <c r="H151" s="89" t="str">
        <f ca="1">IFERROR(__xludf.DUMMYFUNCTION("""COMPUTED_VALUE"""),"HOM Octubre")</f>
        <v>HOM Octubre</v>
      </c>
      <c r="I151" s="89" t="str">
        <f ca="1">IFERROR(__xludf.DUMMYFUNCTION("""COMPUTED_VALUE"""),"Octubre")</f>
        <v>Octubre</v>
      </c>
      <c r="J151" s="89" t="str">
        <f ca="1">IFERROR(__xludf.DUMMYFUNCTION("""COMPUTED_VALUE"""),"HOM")</f>
        <v>HOM</v>
      </c>
      <c r="K151" s="92">
        <f ca="1">IFERROR(__xludf.DUMMYFUNCTION("""COMPUTED_VALUE"""),18)</f>
        <v>18</v>
      </c>
      <c r="L151" s="89" t="str">
        <f ca="1">IFERROR(__xludf.DUMMYFUNCTION("""COMPUTED_VALUE"""),"TRIMESTRE 4")</f>
        <v>TRIMESTRE 4</v>
      </c>
      <c r="M151" s="89" t="str">
        <f ca="1">IFERROR(__xludf.DUMMYFUNCTION("""COMPUTED_VALUE"""),"HOMBRES ADULTOS")</f>
        <v>HOMBRES ADULTOS</v>
      </c>
    </row>
    <row r="152" spans="1:13">
      <c r="A152" s="89" t="str">
        <f ca="1">IFERROR(__xludf.DUMMYFUNCTION("""COMPUTED_VALUE"""),"4.1.2.2")</f>
        <v>4.1.2.2</v>
      </c>
      <c r="B152" s="89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152" s="89" t="str">
        <f ca="1">IFERROR(__xludf.DUMMYFUNCTION("""COMPUTED_VALUE"""),"4. Programas")</f>
        <v>4. Programas</v>
      </c>
      <c r="D152" s="89" t="str">
        <f ca="1">IFERROR(__xludf.DUMMYFUNCTION("""COMPUTED_VALUE"""),"Guadalajara: Capital de las niñas y los niños")</f>
        <v>Guadalajara: Capital de las niñas y los niños</v>
      </c>
      <c r="E152" s="89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152" s="89" t="str">
        <f ca="1">IFERROR(__xludf.DUMMYFUNCTION("""COMPUTED_VALUE"""),"A2C2. Raciones alimentarias entregadas a NNA y sus cuidadores")</f>
        <v>A2C2. Raciones alimentarias entregadas a NNA y sus cuidadores</v>
      </c>
      <c r="G152" s="89" t="str">
        <f ca="1">IFERROR(__xludf.DUMMYFUNCTION("""COMPUTED_VALUE"""),"Porcentaje de raciones entregadas a NNA y sus cuidadores, en 2023")</f>
        <v>Porcentaje de raciones entregadas a NNA y sus cuidadores, en 2023</v>
      </c>
      <c r="H152" s="89" t="str">
        <f ca="1">IFERROR(__xludf.DUMMYFUNCTION("""COMPUTED_VALUE"""),"AMM Octubre")</f>
        <v>AMM Octubre</v>
      </c>
      <c r="I152" s="89" t="str">
        <f ca="1">IFERROR(__xludf.DUMMYFUNCTION("""COMPUTED_VALUE"""),"Octubre")</f>
        <v>Octubre</v>
      </c>
      <c r="J152" s="89" t="str">
        <f ca="1">IFERROR(__xludf.DUMMYFUNCTION("""COMPUTED_VALUE"""),"AMM")</f>
        <v>AMM</v>
      </c>
      <c r="K152" s="92">
        <f ca="1">IFERROR(__xludf.DUMMYFUNCTION("""COMPUTED_VALUE"""),0)</f>
        <v>0</v>
      </c>
      <c r="L152" s="89" t="str">
        <f ca="1">IFERROR(__xludf.DUMMYFUNCTION("""COMPUTED_VALUE"""),"TRIMESTRE 4")</f>
        <v>TRIMESTRE 4</v>
      </c>
      <c r="M152" s="89" t="str">
        <f ca="1">IFERROR(__xludf.DUMMYFUNCTION("""COMPUTED_VALUE"""),"ADULTA MAYOR MUJER")</f>
        <v>ADULTA MAYOR MUJER</v>
      </c>
    </row>
    <row r="153" spans="1:13">
      <c r="A153" s="89" t="str">
        <f ca="1">IFERROR(__xludf.DUMMYFUNCTION("""COMPUTED_VALUE"""),"4.1.2.2")</f>
        <v>4.1.2.2</v>
      </c>
      <c r="B153" s="89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153" s="89" t="str">
        <f ca="1">IFERROR(__xludf.DUMMYFUNCTION("""COMPUTED_VALUE"""),"4. Programas")</f>
        <v>4. Programas</v>
      </c>
      <c r="D153" s="89" t="str">
        <f ca="1">IFERROR(__xludf.DUMMYFUNCTION("""COMPUTED_VALUE"""),"Guadalajara: Capital de las niñas y los niños")</f>
        <v>Guadalajara: Capital de las niñas y los niños</v>
      </c>
      <c r="E153" s="89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153" s="89" t="str">
        <f ca="1">IFERROR(__xludf.DUMMYFUNCTION("""COMPUTED_VALUE"""),"A2C2. Raciones alimentarias entregadas a NNA y sus cuidadores")</f>
        <v>A2C2. Raciones alimentarias entregadas a NNA y sus cuidadores</v>
      </c>
      <c r="G153" s="89" t="str">
        <f ca="1">IFERROR(__xludf.DUMMYFUNCTION("""COMPUTED_VALUE"""),"Porcentaje de raciones entregadas a NNA y sus cuidadores, en 2023")</f>
        <v>Porcentaje de raciones entregadas a NNA y sus cuidadores, en 2023</v>
      </c>
      <c r="H153" s="89" t="str">
        <f ca="1">IFERROR(__xludf.DUMMYFUNCTION("""COMPUTED_VALUE"""),"AMH Octubre")</f>
        <v>AMH Octubre</v>
      </c>
      <c r="I153" s="89" t="str">
        <f ca="1">IFERROR(__xludf.DUMMYFUNCTION("""COMPUTED_VALUE"""),"Octubre")</f>
        <v>Octubre</v>
      </c>
      <c r="J153" s="89" t="str">
        <f ca="1">IFERROR(__xludf.DUMMYFUNCTION("""COMPUTED_VALUE"""),"AMH")</f>
        <v>AMH</v>
      </c>
      <c r="K153" s="92">
        <f ca="1">IFERROR(__xludf.DUMMYFUNCTION("""COMPUTED_VALUE"""),0)</f>
        <v>0</v>
      </c>
      <c r="L153" s="89" t="str">
        <f ca="1">IFERROR(__xludf.DUMMYFUNCTION("""COMPUTED_VALUE"""),"TRIMESTRE 4")</f>
        <v>TRIMESTRE 4</v>
      </c>
      <c r="M153" s="89" t="str">
        <f ca="1">IFERROR(__xludf.DUMMYFUNCTION("""COMPUTED_VALUE"""),"ADULTO MAYOR HOMBRE")</f>
        <v>ADULTO MAYOR HOMBRE</v>
      </c>
    </row>
    <row r="154" spans="1:13">
      <c r="A154" s="89" t="str">
        <f ca="1">IFERROR(__xludf.DUMMYFUNCTION("""COMPUTED_VALUE"""),"4.1.2.3")</f>
        <v>4.1.2.3</v>
      </c>
      <c r="B154" s="89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154" s="89" t="str">
        <f ca="1">IFERROR(__xludf.DUMMYFUNCTION("""COMPUTED_VALUE"""),"4. Programas")</f>
        <v>4. Programas</v>
      </c>
      <c r="D154" s="89" t="str">
        <f ca="1">IFERROR(__xludf.DUMMYFUNCTION("""COMPUTED_VALUE"""),"Guadalajara: Capital de las niñas y los niños")</f>
        <v>Guadalajara: Capital de las niñas y los niños</v>
      </c>
      <c r="E154" s="89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154" s="89" t="str">
        <f ca="1">IFERROR(__xludf.DUMMYFUNCTION("""COMPUTED_VALUE"""),"A3C2. Apoyos asistenciales entregados a madres en etapa adolescente")</f>
        <v>A3C2. Apoyos asistenciales entregados a madres en etapa adolescente</v>
      </c>
      <c r="G154" s="89" t="str">
        <f ca="1">IFERROR(__xludf.DUMMYFUNCTION("""COMPUTED_VALUE"""),"Apoyos asistenciales entregados a madres adolescentes, en 2023")</f>
        <v>Apoyos asistenciales entregados a madres adolescentes, en 2023</v>
      </c>
      <c r="H154" s="89" t="str">
        <f ca="1">IFERROR(__xludf.DUMMYFUNCTION("""COMPUTED_VALUE"""),"NAS Octubre")</f>
        <v>NAS Octubre</v>
      </c>
      <c r="I154" s="89" t="str">
        <f ca="1">IFERROR(__xludf.DUMMYFUNCTION("""COMPUTED_VALUE"""),"Octubre")</f>
        <v>Octubre</v>
      </c>
      <c r="J154" s="89" t="str">
        <f ca="1">IFERROR(__xludf.DUMMYFUNCTION("""COMPUTED_VALUE"""),"NAS")</f>
        <v>NAS</v>
      </c>
      <c r="K154" s="92">
        <f ca="1">IFERROR(__xludf.DUMMYFUNCTION("""COMPUTED_VALUE"""),0)</f>
        <v>0</v>
      </c>
      <c r="L154" s="89" t="str">
        <f ca="1">IFERROR(__xludf.DUMMYFUNCTION("""COMPUTED_VALUE"""),"TRIMESTRE 4")</f>
        <v>TRIMESTRE 4</v>
      </c>
      <c r="M154" s="89" t="str">
        <f ca="1">IFERROR(__xludf.DUMMYFUNCTION("""COMPUTED_VALUE"""),"NIÑAS")</f>
        <v>NIÑAS</v>
      </c>
    </row>
    <row r="155" spans="1:13">
      <c r="A155" s="89" t="str">
        <f ca="1">IFERROR(__xludf.DUMMYFUNCTION("""COMPUTED_VALUE"""),"4.1.2.3")</f>
        <v>4.1.2.3</v>
      </c>
      <c r="B155" s="89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155" s="89" t="str">
        <f ca="1">IFERROR(__xludf.DUMMYFUNCTION("""COMPUTED_VALUE"""),"4. Programas")</f>
        <v>4. Programas</v>
      </c>
      <c r="D155" s="89" t="str">
        <f ca="1">IFERROR(__xludf.DUMMYFUNCTION("""COMPUTED_VALUE"""),"Guadalajara: Capital de las niñas y los niños")</f>
        <v>Guadalajara: Capital de las niñas y los niños</v>
      </c>
      <c r="E155" s="89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155" s="89" t="str">
        <f ca="1">IFERROR(__xludf.DUMMYFUNCTION("""COMPUTED_VALUE"""),"A3C2. Apoyos asistenciales entregados a madres en etapa adolescente")</f>
        <v>A3C2. Apoyos asistenciales entregados a madres en etapa adolescente</v>
      </c>
      <c r="G155" s="89" t="str">
        <f ca="1">IFERROR(__xludf.DUMMYFUNCTION("""COMPUTED_VALUE"""),"Apoyos asistenciales entregados a madres adolescentes, en 2023")</f>
        <v>Apoyos asistenciales entregados a madres adolescentes, en 2023</v>
      </c>
      <c r="H155" s="89" t="str">
        <f ca="1">IFERROR(__xludf.DUMMYFUNCTION("""COMPUTED_VALUE"""),"NOS Octubre")</f>
        <v>NOS Octubre</v>
      </c>
      <c r="I155" s="89" t="str">
        <f ca="1">IFERROR(__xludf.DUMMYFUNCTION("""COMPUTED_VALUE"""),"Octubre")</f>
        <v>Octubre</v>
      </c>
      <c r="J155" s="89" t="str">
        <f ca="1">IFERROR(__xludf.DUMMYFUNCTION("""COMPUTED_VALUE"""),"NOS")</f>
        <v>NOS</v>
      </c>
      <c r="K155" s="92">
        <f ca="1">IFERROR(__xludf.DUMMYFUNCTION("""COMPUTED_VALUE"""),0)</f>
        <v>0</v>
      </c>
      <c r="L155" s="89" t="str">
        <f ca="1">IFERROR(__xludf.DUMMYFUNCTION("""COMPUTED_VALUE"""),"TRIMESTRE 4")</f>
        <v>TRIMESTRE 4</v>
      </c>
      <c r="M155" s="89" t="str">
        <f ca="1">IFERROR(__xludf.DUMMYFUNCTION("""COMPUTED_VALUE"""),"NIÑOS")</f>
        <v>NIÑOS</v>
      </c>
    </row>
    <row r="156" spans="1:13">
      <c r="A156" s="89" t="str">
        <f ca="1">IFERROR(__xludf.DUMMYFUNCTION("""COMPUTED_VALUE"""),"4.1.2.3")</f>
        <v>4.1.2.3</v>
      </c>
      <c r="B156" s="89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156" s="89" t="str">
        <f ca="1">IFERROR(__xludf.DUMMYFUNCTION("""COMPUTED_VALUE"""),"4. Programas")</f>
        <v>4. Programas</v>
      </c>
      <c r="D156" s="89" t="str">
        <f ca="1">IFERROR(__xludf.DUMMYFUNCTION("""COMPUTED_VALUE"""),"Guadalajara: Capital de las niñas y los niños")</f>
        <v>Guadalajara: Capital de las niñas y los niños</v>
      </c>
      <c r="E156" s="89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156" s="89" t="str">
        <f ca="1">IFERROR(__xludf.DUMMYFUNCTION("""COMPUTED_VALUE"""),"A3C2. Apoyos asistenciales entregados a madres en etapa adolescente")</f>
        <v>A3C2. Apoyos asistenciales entregados a madres en etapa adolescente</v>
      </c>
      <c r="G156" s="89" t="str">
        <f ca="1">IFERROR(__xludf.DUMMYFUNCTION("""COMPUTED_VALUE"""),"Apoyos asistenciales entregados a madres adolescentes, en 2023")</f>
        <v>Apoyos asistenciales entregados a madres adolescentes, en 2023</v>
      </c>
      <c r="H156" s="89" t="str">
        <f ca="1">IFERROR(__xludf.DUMMYFUNCTION("""COMPUTED_VALUE"""),"AM OCTUBRE")</f>
        <v>AM OCTUBRE</v>
      </c>
      <c r="I156" s="89" t="str">
        <f ca="1">IFERROR(__xludf.DUMMYFUNCTION("""COMPUTED_VALUE"""),"Octubre")</f>
        <v>Octubre</v>
      </c>
      <c r="J156" s="89" t="str">
        <f ca="1">IFERROR(__xludf.DUMMYFUNCTION("""COMPUTED_VALUE"""),"AM")</f>
        <v>AM</v>
      </c>
      <c r="K156" s="92">
        <f ca="1">IFERROR(__xludf.DUMMYFUNCTION("""COMPUTED_VALUE"""),0)</f>
        <v>0</v>
      </c>
      <c r="L156" s="89" t="str">
        <f ca="1">IFERROR(__xludf.DUMMYFUNCTION("""COMPUTED_VALUE"""),"TRIMESTRE 4")</f>
        <v>TRIMESTRE 4</v>
      </c>
      <c r="M156" s="89" t="str">
        <f ca="1">IFERROR(__xludf.DUMMYFUNCTION("""COMPUTED_VALUE"""),"ADOLESCENTES MUJERES")</f>
        <v>ADOLESCENTES MUJERES</v>
      </c>
    </row>
    <row r="157" spans="1:13">
      <c r="A157" s="89" t="str">
        <f ca="1">IFERROR(__xludf.DUMMYFUNCTION("""COMPUTED_VALUE"""),"4.1.2.3")</f>
        <v>4.1.2.3</v>
      </c>
      <c r="B157" s="89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157" s="89" t="str">
        <f ca="1">IFERROR(__xludf.DUMMYFUNCTION("""COMPUTED_VALUE"""),"4. Programas")</f>
        <v>4. Programas</v>
      </c>
      <c r="D157" s="89" t="str">
        <f ca="1">IFERROR(__xludf.DUMMYFUNCTION("""COMPUTED_VALUE"""),"Guadalajara: Capital de las niñas y los niños")</f>
        <v>Guadalajara: Capital de las niñas y los niños</v>
      </c>
      <c r="E157" s="89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157" s="89" t="str">
        <f ca="1">IFERROR(__xludf.DUMMYFUNCTION("""COMPUTED_VALUE"""),"A3C2. Apoyos asistenciales entregados a madres en etapa adolescente")</f>
        <v>A3C2. Apoyos asistenciales entregados a madres en etapa adolescente</v>
      </c>
      <c r="G157" s="89" t="str">
        <f ca="1">IFERROR(__xludf.DUMMYFUNCTION("""COMPUTED_VALUE"""),"Apoyos asistenciales entregados a madres adolescentes, en 2023")</f>
        <v>Apoyos asistenciales entregados a madres adolescentes, en 2023</v>
      </c>
      <c r="H157" s="89" t="str">
        <f ca="1">IFERROR(__xludf.DUMMYFUNCTION("""COMPUTED_VALUE"""),"AH OCTUBRE")</f>
        <v>AH OCTUBRE</v>
      </c>
      <c r="I157" s="89" t="str">
        <f ca="1">IFERROR(__xludf.DUMMYFUNCTION("""COMPUTED_VALUE"""),"Octubre")</f>
        <v>Octubre</v>
      </c>
      <c r="J157" s="89" t="str">
        <f ca="1">IFERROR(__xludf.DUMMYFUNCTION("""COMPUTED_VALUE"""),"AH")</f>
        <v>AH</v>
      </c>
      <c r="K157" s="92">
        <f ca="1">IFERROR(__xludf.DUMMYFUNCTION("""COMPUTED_VALUE"""),0)</f>
        <v>0</v>
      </c>
      <c r="L157" s="89" t="str">
        <f ca="1">IFERROR(__xludf.DUMMYFUNCTION("""COMPUTED_VALUE"""),"TRIMESTRE 4")</f>
        <v>TRIMESTRE 4</v>
      </c>
      <c r="M157" s="89" t="str">
        <f ca="1">IFERROR(__xludf.DUMMYFUNCTION("""COMPUTED_VALUE"""),"ADOLESCENTES HOMBRES")</f>
        <v>ADOLESCENTES HOMBRES</v>
      </c>
    </row>
    <row r="158" spans="1:13">
      <c r="A158" s="89" t="str">
        <f ca="1">IFERROR(__xludf.DUMMYFUNCTION("""COMPUTED_VALUE"""),"4.1.2.3")</f>
        <v>4.1.2.3</v>
      </c>
      <c r="B158" s="89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158" s="89" t="str">
        <f ca="1">IFERROR(__xludf.DUMMYFUNCTION("""COMPUTED_VALUE"""),"4. Programas")</f>
        <v>4. Programas</v>
      </c>
      <c r="D158" s="89" t="str">
        <f ca="1">IFERROR(__xludf.DUMMYFUNCTION("""COMPUTED_VALUE"""),"Guadalajara: Capital de las niñas y los niños")</f>
        <v>Guadalajara: Capital de las niñas y los niños</v>
      </c>
      <c r="E158" s="89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158" s="89" t="str">
        <f ca="1">IFERROR(__xludf.DUMMYFUNCTION("""COMPUTED_VALUE"""),"A3C2. Apoyos asistenciales entregados a madres en etapa adolescente")</f>
        <v>A3C2. Apoyos asistenciales entregados a madres en etapa adolescente</v>
      </c>
      <c r="G158" s="89" t="str">
        <f ca="1">IFERROR(__xludf.DUMMYFUNCTION("""COMPUTED_VALUE"""),"Apoyos asistenciales entregados a madres adolescentes, en 2023")</f>
        <v>Apoyos asistenciales entregados a madres adolescentes, en 2023</v>
      </c>
      <c r="H158" s="89" t="str">
        <f ca="1">IFERROR(__xludf.DUMMYFUNCTION("""COMPUTED_VALUE"""),"MUJ Octubre")</f>
        <v>MUJ Octubre</v>
      </c>
      <c r="I158" s="89" t="str">
        <f ca="1">IFERROR(__xludf.DUMMYFUNCTION("""COMPUTED_VALUE"""),"Octubre")</f>
        <v>Octubre</v>
      </c>
      <c r="J158" s="89" t="str">
        <f ca="1">IFERROR(__xludf.DUMMYFUNCTION("""COMPUTED_VALUE"""),"MUJ")</f>
        <v>MUJ</v>
      </c>
      <c r="K158" s="92">
        <f ca="1">IFERROR(__xludf.DUMMYFUNCTION("""COMPUTED_VALUE"""),0)</f>
        <v>0</v>
      </c>
      <c r="L158" s="89" t="str">
        <f ca="1">IFERROR(__xludf.DUMMYFUNCTION("""COMPUTED_VALUE"""),"TRIMESTRE 4")</f>
        <v>TRIMESTRE 4</v>
      </c>
      <c r="M158" s="89" t="str">
        <f ca="1">IFERROR(__xludf.DUMMYFUNCTION("""COMPUTED_VALUE"""),"MUJERES ADULTAS")</f>
        <v>MUJERES ADULTAS</v>
      </c>
    </row>
    <row r="159" spans="1:13">
      <c r="A159" s="89" t="str">
        <f ca="1">IFERROR(__xludf.DUMMYFUNCTION("""COMPUTED_VALUE"""),"4.1.2.3")</f>
        <v>4.1.2.3</v>
      </c>
      <c r="B159" s="89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159" s="89" t="str">
        <f ca="1">IFERROR(__xludf.DUMMYFUNCTION("""COMPUTED_VALUE"""),"4. Programas")</f>
        <v>4. Programas</v>
      </c>
      <c r="D159" s="89" t="str">
        <f ca="1">IFERROR(__xludf.DUMMYFUNCTION("""COMPUTED_VALUE"""),"Guadalajara: Capital de las niñas y los niños")</f>
        <v>Guadalajara: Capital de las niñas y los niños</v>
      </c>
      <c r="E159" s="89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159" s="89" t="str">
        <f ca="1">IFERROR(__xludf.DUMMYFUNCTION("""COMPUTED_VALUE"""),"A3C2. Apoyos asistenciales entregados a madres en etapa adolescente")</f>
        <v>A3C2. Apoyos asistenciales entregados a madres en etapa adolescente</v>
      </c>
      <c r="G159" s="89" t="str">
        <f ca="1">IFERROR(__xludf.DUMMYFUNCTION("""COMPUTED_VALUE"""),"Apoyos asistenciales entregados a madres adolescentes, en 2023")</f>
        <v>Apoyos asistenciales entregados a madres adolescentes, en 2023</v>
      </c>
      <c r="H159" s="89" t="str">
        <f ca="1">IFERROR(__xludf.DUMMYFUNCTION("""COMPUTED_VALUE"""),"HOM Octubre")</f>
        <v>HOM Octubre</v>
      </c>
      <c r="I159" s="89" t="str">
        <f ca="1">IFERROR(__xludf.DUMMYFUNCTION("""COMPUTED_VALUE"""),"Octubre")</f>
        <v>Octubre</v>
      </c>
      <c r="J159" s="89" t="str">
        <f ca="1">IFERROR(__xludf.DUMMYFUNCTION("""COMPUTED_VALUE"""),"HOM")</f>
        <v>HOM</v>
      </c>
      <c r="K159" s="92">
        <f ca="1">IFERROR(__xludf.DUMMYFUNCTION("""COMPUTED_VALUE"""),0)</f>
        <v>0</v>
      </c>
      <c r="L159" s="89" t="str">
        <f ca="1">IFERROR(__xludf.DUMMYFUNCTION("""COMPUTED_VALUE"""),"TRIMESTRE 4")</f>
        <v>TRIMESTRE 4</v>
      </c>
      <c r="M159" s="89" t="str">
        <f ca="1">IFERROR(__xludf.DUMMYFUNCTION("""COMPUTED_VALUE"""),"HOMBRES ADULTOS")</f>
        <v>HOMBRES ADULTOS</v>
      </c>
    </row>
    <row r="160" spans="1:13">
      <c r="A160" s="89" t="str">
        <f ca="1">IFERROR(__xludf.DUMMYFUNCTION("""COMPUTED_VALUE"""),"4.1.2.3")</f>
        <v>4.1.2.3</v>
      </c>
      <c r="B160" s="89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160" s="89" t="str">
        <f ca="1">IFERROR(__xludf.DUMMYFUNCTION("""COMPUTED_VALUE"""),"4. Programas")</f>
        <v>4. Programas</v>
      </c>
      <c r="D160" s="89" t="str">
        <f ca="1">IFERROR(__xludf.DUMMYFUNCTION("""COMPUTED_VALUE"""),"Guadalajara: Capital de las niñas y los niños")</f>
        <v>Guadalajara: Capital de las niñas y los niños</v>
      </c>
      <c r="E160" s="89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160" s="89" t="str">
        <f ca="1">IFERROR(__xludf.DUMMYFUNCTION("""COMPUTED_VALUE"""),"A3C2. Apoyos asistenciales entregados a madres en etapa adolescente")</f>
        <v>A3C2. Apoyos asistenciales entregados a madres en etapa adolescente</v>
      </c>
      <c r="G160" s="89" t="str">
        <f ca="1">IFERROR(__xludf.DUMMYFUNCTION("""COMPUTED_VALUE"""),"Apoyos asistenciales entregados a madres adolescentes, en 2023")</f>
        <v>Apoyos asistenciales entregados a madres adolescentes, en 2023</v>
      </c>
      <c r="H160" s="89" t="str">
        <f ca="1">IFERROR(__xludf.DUMMYFUNCTION("""COMPUTED_VALUE"""),"AMM Octubre")</f>
        <v>AMM Octubre</v>
      </c>
      <c r="I160" s="89" t="str">
        <f ca="1">IFERROR(__xludf.DUMMYFUNCTION("""COMPUTED_VALUE"""),"Octubre")</f>
        <v>Octubre</v>
      </c>
      <c r="J160" s="89" t="str">
        <f ca="1">IFERROR(__xludf.DUMMYFUNCTION("""COMPUTED_VALUE"""),"AMM")</f>
        <v>AMM</v>
      </c>
      <c r="K160" s="92">
        <f ca="1">IFERROR(__xludf.DUMMYFUNCTION("""COMPUTED_VALUE"""),0)</f>
        <v>0</v>
      </c>
      <c r="L160" s="89" t="str">
        <f ca="1">IFERROR(__xludf.DUMMYFUNCTION("""COMPUTED_VALUE"""),"TRIMESTRE 4")</f>
        <v>TRIMESTRE 4</v>
      </c>
      <c r="M160" s="89" t="str">
        <f ca="1">IFERROR(__xludf.DUMMYFUNCTION("""COMPUTED_VALUE"""),"ADULTA MAYOR MUJER")</f>
        <v>ADULTA MAYOR MUJER</v>
      </c>
    </row>
    <row r="161" spans="1:13">
      <c r="A161" s="89" t="str">
        <f ca="1">IFERROR(__xludf.DUMMYFUNCTION("""COMPUTED_VALUE"""),"4.1.2.3")</f>
        <v>4.1.2.3</v>
      </c>
      <c r="B161" s="89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161" s="89" t="str">
        <f ca="1">IFERROR(__xludf.DUMMYFUNCTION("""COMPUTED_VALUE"""),"4. Programas")</f>
        <v>4. Programas</v>
      </c>
      <c r="D161" s="89" t="str">
        <f ca="1">IFERROR(__xludf.DUMMYFUNCTION("""COMPUTED_VALUE"""),"Guadalajara: Capital de las niñas y los niños")</f>
        <v>Guadalajara: Capital de las niñas y los niños</v>
      </c>
      <c r="E161" s="89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161" s="89" t="str">
        <f ca="1">IFERROR(__xludf.DUMMYFUNCTION("""COMPUTED_VALUE"""),"A3C2. Apoyos asistenciales entregados a madres en etapa adolescente")</f>
        <v>A3C2. Apoyos asistenciales entregados a madres en etapa adolescente</v>
      </c>
      <c r="G161" s="89" t="str">
        <f ca="1">IFERROR(__xludf.DUMMYFUNCTION("""COMPUTED_VALUE"""),"Apoyos asistenciales entregados a madres adolescentes, en 2023")</f>
        <v>Apoyos asistenciales entregados a madres adolescentes, en 2023</v>
      </c>
      <c r="H161" s="89" t="str">
        <f ca="1">IFERROR(__xludf.DUMMYFUNCTION("""COMPUTED_VALUE"""),"AMH Octubre")</f>
        <v>AMH Octubre</v>
      </c>
      <c r="I161" s="89" t="str">
        <f ca="1">IFERROR(__xludf.DUMMYFUNCTION("""COMPUTED_VALUE"""),"Octubre")</f>
        <v>Octubre</v>
      </c>
      <c r="J161" s="89" t="str">
        <f ca="1">IFERROR(__xludf.DUMMYFUNCTION("""COMPUTED_VALUE"""),"AMH")</f>
        <v>AMH</v>
      </c>
      <c r="K161" s="92">
        <f ca="1">IFERROR(__xludf.DUMMYFUNCTION("""COMPUTED_VALUE"""),0)</f>
        <v>0</v>
      </c>
      <c r="L161" s="89" t="str">
        <f ca="1">IFERROR(__xludf.DUMMYFUNCTION("""COMPUTED_VALUE"""),"TRIMESTRE 4")</f>
        <v>TRIMESTRE 4</v>
      </c>
      <c r="M161" s="89" t="str">
        <f ca="1">IFERROR(__xludf.DUMMYFUNCTION("""COMPUTED_VALUE"""),"ADULTO MAYOR HOMBRE")</f>
        <v>ADULTO MAYOR HOMBRE</v>
      </c>
    </row>
    <row r="162" spans="1:13">
      <c r="A162" s="89" t="str">
        <f ca="1">IFERROR(__xludf.DUMMYFUNCTION("""COMPUTED_VALUE"""),"4.1.2.2")</f>
        <v>4.1.2.2</v>
      </c>
      <c r="B162" s="89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162" s="89" t="str">
        <f ca="1">IFERROR(__xludf.DUMMYFUNCTION("""COMPUTED_VALUE"""),"4. Programas")</f>
        <v>4. Programas</v>
      </c>
      <c r="D162" s="89" t="str">
        <f ca="1">IFERROR(__xludf.DUMMYFUNCTION("""COMPUTED_VALUE"""),"Guadalajara: Capital de las niñas y los niños")</f>
        <v>Guadalajara: Capital de las niñas y los niños</v>
      </c>
      <c r="E162" s="89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162" s="89" t="str">
        <f ca="1">IFERROR(__xludf.DUMMYFUNCTION("""COMPUTED_VALUE"""),"A2C2. Raciones alimentarias entregadas a NNA y sus cuidadores")</f>
        <v>A2C2. Raciones alimentarias entregadas a NNA y sus cuidadores</v>
      </c>
      <c r="G162" s="89" t="str">
        <f ca="1">IFERROR(__xludf.DUMMYFUNCTION("""COMPUTED_VALUE"""),"Porcentaje de raciones entregadas a NNA y sus cuidadores, en 2023")</f>
        <v>Porcentaje de raciones entregadas a NNA y sus cuidadores, en 2023</v>
      </c>
      <c r="H162" s="89" t="str">
        <f ca="1">IFERROR(__xludf.DUMMYFUNCTION("""COMPUTED_VALUE"""),"NAS Noviembre")</f>
        <v>NAS Noviembre</v>
      </c>
      <c r="I162" s="89" t="str">
        <f ca="1">IFERROR(__xludf.DUMMYFUNCTION("""COMPUTED_VALUE"""),"Noviembre")</f>
        <v>Noviembre</v>
      </c>
      <c r="J162" s="89" t="str">
        <f ca="1">IFERROR(__xludf.DUMMYFUNCTION("""COMPUTED_VALUE"""),"NAS")</f>
        <v>NAS</v>
      </c>
      <c r="K162" s="92">
        <f ca="1">IFERROR(__xludf.DUMMYFUNCTION("""COMPUTED_VALUE"""),174)</f>
        <v>174</v>
      </c>
      <c r="L162" s="89" t="str">
        <f ca="1">IFERROR(__xludf.DUMMYFUNCTION("""COMPUTED_VALUE"""),"TRIMESTRE 4")</f>
        <v>TRIMESTRE 4</v>
      </c>
      <c r="M162" s="89" t="str">
        <f ca="1">IFERROR(__xludf.DUMMYFUNCTION("""COMPUTED_VALUE"""),"NIÑAS")</f>
        <v>NIÑAS</v>
      </c>
    </row>
    <row r="163" spans="1:13">
      <c r="A163" s="89" t="str">
        <f ca="1">IFERROR(__xludf.DUMMYFUNCTION("""COMPUTED_VALUE"""),"4.1.2.2")</f>
        <v>4.1.2.2</v>
      </c>
      <c r="B163" s="89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163" s="89" t="str">
        <f ca="1">IFERROR(__xludf.DUMMYFUNCTION("""COMPUTED_VALUE"""),"4. Programas")</f>
        <v>4. Programas</v>
      </c>
      <c r="D163" s="89" t="str">
        <f ca="1">IFERROR(__xludf.DUMMYFUNCTION("""COMPUTED_VALUE"""),"Guadalajara: Capital de las niñas y los niños")</f>
        <v>Guadalajara: Capital de las niñas y los niños</v>
      </c>
      <c r="E163" s="89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163" s="89" t="str">
        <f ca="1">IFERROR(__xludf.DUMMYFUNCTION("""COMPUTED_VALUE"""),"A2C2. Raciones alimentarias entregadas a NNA y sus cuidadores")</f>
        <v>A2C2. Raciones alimentarias entregadas a NNA y sus cuidadores</v>
      </c>
      <c r="G163" s="89" t="str">
        <f ca="1">IFERROR(__xludf.DUMMYFUNCTION("""COMPUTED_VALUE"""),"Porcentaje de raciones entregadas a NNA y sus cuidadores, en 2023")</f>
        <v>Porcentaje de raciones entregadas a NNA y sus cuidadores, en 2023</v>
      </c>
      <c r="H163" s="89" t="str">
        <f ca="1">IFERROR(__xludf.DUMMYFUNCTION("""COMPUTED_VALUE"""),"NOS Noviembre")</f>
        <v>NOS Noviembre</v>
      </c>
      <c r="I163" s="89" t="str">
        <f ca="1">IFERROR(__xludf.DUMMYFUNCTION("""COMPUTED_VALUE"""),"Noviembre")</f>
        <v>Noviembre</v>
      </c>
      <c r="J163" s="89" t="str">
        <f ca="1">IFERROR(__xludf.DUMMYFUNCTION("""COMPUTED_VALUE"""),"NOS")</f>
        <v>NOS</v>
      </c>
      <c r="K163" s="92">
        <f ca="1">IFERROR(__xludf.DUMMYFUNCTION("""COMPUTED_VALUE"""),189)</f>
        <v>189</v>
      </c>
      <c r="L163" s="89" t="str">
        <f ca="1">IFERROR(__xludf.DUMMYFUNCTION("""COMPUTED_VALUE"""),"TRIMESTRE 4")</f>
        <v>TRIMESTRE 4</v>
      </c>
      <c r="M163" s="89" t="str">
        <f ca="1">IFERROR(__xludf.DUMMYFUNCTION("""COMPUTED_VALUE"""),"NIÑOS")</f>
        <v>NIÑOS</v>
      </c>
    </row>
    <row r="164" spans="1:13">
      <c r="A164" s="89" t="str">
        <f ca="1">IFERROR(__xludf.DUMMYFUNCTION("""COMPUTED_VALUE"""),"4.1.2.2")</f>
        <v>4.1.2.2</v>
      </c>
      <c r="B164" s="89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164" s="89" t="str">
        <f ca="1">IFERROR(__xludf.DUMMYFUNCTION("""COMPUTED_VALUE"""),"4. Programas")</f>
        <v>4. Programas</v>
      </c>
      <c r="D164" s="89" t="str">
        <f ca="1">IFERROR(__xludf.DUMMYFUNCTION("""COMPUTED_VALUE"""),"Guadalajara: Capital de las niñas y los niños")</f>
        <v>Guadalajara: Capital de las niñas y los niños</v>
      </c>
      <c r="E164" s="89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164" s="89" t="str">
        <f ca="1">IFERROR(__xludf.DUMMYFUNCTION("""COMPUTED_VALUE"""),"A2C2. Raciones alimentarias entregadas a NNA y sus cuidadores")</f>
        <v>A2C2. Raciones alimentarias entregadas a NNA y sus cuidadores</v>
      </c>
      <c r="G164" s="89" t="str">
        <f ca="1">IFERROR(__xludf.DUMMYFUNCTION("""COMPUTED_VALUE"""),"Porcentaje de raciones entregadas a NNA y sus cuidadores, en 2023")</f>
        <v>Porcentaje de raciones entregadas a NNA y sus cuidadores, en 2023</v>
      </c>
      <c r="H164" s="89" t="str">
        <f ca="1">IFERROR(__xludf.DUMMYFUNCTION("""COMPUTED_VALUE"""),"AM NOVIEMBRE")</f>
        <v>AM NOVIEMBRE</v>
      </c>
      <c r="I164" s="89" t="str">
        <f ca="1">IFERROR(__xludf.DUMMYFUNCTION("""COMPUTED_VALUE"""),"Noviembre")</f>
        <v>Noviembre</v>
      </c>
      <c r="J164" s="89" t="str">
        <f ca="1">IFERROR(__xludf.DUMMYFUNCTION("""COMPUTED_VALUE"""),"AM")</f>
        <v>AM</v>
      </c>
      <c r="K164" s="92">
        <f ca="1">IFERROR(__xludf.DUMMYFUNCTION("""COMPUTED_VALUE"""),132)</f>
        <v>132</v>
      </c>
      <c r="L164" s="89" t="str">
        <f ca="1">IFERROR(__xludf.DUMMYFUNCTION("""COMPUTED_VALUE"""),"TRIMESTRE 4")</f>
        <v>TRIMESTRE 4</v>
      </c>
      <c r="M164" s="89" t="str">
        <f ca="1">IFERROR(__xludf.DUMMYFUNCTION("""COMPUTED_VALUE"""),"ADOLESCENTES MUJERES")</f>
        <v>ADOLESCENTES MUJERES</v>
      </c>
    </row>
    <row r="165" spans="1:13">
      <c r="A165" s="89" t="str">
        <f ca="1">IFERROR(__xludf.DUMMYFUNCTION("""COMPUTED_VALUE"""),"4.1.2.2")</f>
        <v>4.1.2.2</v>
      </c>
      <c r="B165" s="89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165" s="89" t="str">
        <f ca="1">IFERROR(__xludf.DUMMYFUNCTION("""COMPUTED_VALUE"""),"4. Programas")</f>
        <v>4. Programas</v>
      </c>
      <c r="D165" s="89" t="str">
        <f ca="1">IFERROR(__xludf.DUMMYFUNCTION("""COMPUTED_VALUE"""),"Guadalajara: Capital de las niñas y los niños")</f>
        <v>Guadalajara: Capital de las niñas y los niños</v>
      </c>
      <c r="E165" s="89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165" s="89" t="str">
        <f ca="1">IFERROR(__xludf.DUMMYFUNCTION("""COMPUTED_VALUE"""),"A2C2. Raciones alimentarias entregadas a NNA y sus cuidadores")</f>
        <v>A2C2. Raciones alimentarias entregadas a NNA y sus cuidadores</v>
      </c>
      <c r="G165" s="89" t="str">
        <f ca="1">IFERROR(__xludf.DUMMYFUNCTION("""COMPUTED_VALUE"""),"Porcentaje de raciones entregadas a NNA y sus cuidadores, en 2023")</f>
        <v>Porcentaje de raciones entregadas a NNA y sus cuidadores, en 2023</v>
      </c>
      <c r="H165" s="89" t="str">
        <f ca="1">IFERROR(__xludf.DUMMYFUNCTION("""COMPUTED_VALUE"""),"AH NOVIEMBRE")</f>
        <v>AH NOVIEMBRE</v>
      </c>
      <c r="I165" s="89" t="str">
        <f ca="1">IFERROR(__xludf.DUMMYFUNCTION("""COMPUTED_VALUE"""),"Noviembre")</f>
        <v>Noviembre</v>
      </c>
      <c r="J165" s="89" t="str">
        <f ca="1">IFERROR(__xludf.DUMMYFUNCTION("""COMPUTED_VALUE"""),"AH")</f>
        <v>AH</v>
      </c>
      <c r="K165" s="92">
        <f ca="1">IFERROR(__xludf.DUMMYFUNCTION("""COMPUTED_VALUE"""),140)</f>
        <v>140</v>
      </c>
      <c r="L165" s="89" t="str">
        <f ca="1">IFERROR(__xludf.DUMMYFUNCTION("""COMPUTED_VALUE"""),"TRIMESTRE 4")</f>
        <v>TRIMESTRE 4</v>
      </c>
      <c r="M165" s="89" t="str">
        <f ca="1">IFERROR(__xludf.DUMMYFUNCTION("""COMPUTED_VALUE"""),"ADOLESCENTES HOMBRES")</f>
        <v>ADOLESCENTES HOMBRES</v>
      </c>
    </row>
    <row r="166" spans="1:13">
      <c r="A166" s="89" t="str">
        <f ca="1">IFERROR(__xludf.DUMMYFUNCTION("""COMPUTED_VALUE"""),"4.1.2.2")</f>
        <v>4.1.2.2</v>
      </c>
      <c r="B166" s="89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166" s="89" t="str">
        <f ca="1">IFERROR(__xludf.DUMMYFUNCTION("""COMPUTED_VALUE"""),"4. Programas")</f>
        <v>4. Programas</v>
      </c>
      <c r="D166" s="89" t="str">
        <f ca="1">IFERROR(__xludf.DUMMYFUNCTION("""COMPUTED_VALUE"""),"Guadalajara: Capital de las niñas y los niños")</f>
        <v>Guadalajara: Capital de las niñas y los niños</v>
      </c>
      <c r="E166" s="89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166" s="89" t="str">
        <f ca="1">IFERROR(__xludf.DUMMYFUNCTION("""COMPUTED_VALUE"""),"A2C2. Raciones alimentarias entregadas a NNA y sus cuidadores")</f>
        <v>A2C2. Raciones alimentarias entregadas a NNA y sus cuidadores</v>
      </c>
      <c r="G166" s="89" t="str">
        <f ca="1">IFERROR(__xludf.DUMMYFUNCTION("""COMPUTED_VALUE"""),"Porcentaje de raciones entregadas a NNA y sus cuidadores, en 2023")</f>
        <v>Porcentaje de raciones entregadas a NNA y sus cuidadores, en 2023</v>
      </c>
      <c r="H166" s="89" t="str">
        <f ca="1">IFERROR(__xludf.DUMMYFUNCTION("""COMPUTED_VALUE"""),"MUJ Noviembre")</f>
        <v>MUJ Noviembre</v>
      </c>
      <c r="I166" s="89" t="str">
        <f ca="1">IFERROR(__xludf.DUMMYFUNCTION("""COMPUTED_VALUE"""),"Noviembre")</f>
        <v>Noviembre</v>
      </c>
      <c r="J166" s="89" t="str">
        <f ca="1">IFERROR(__xludf.DUMMYFUNCTION("""COMPUTED_VALUE"""),"MUJ")</f>
        <v>MUJ</v>
      </c>
      <c r="K166" s="92">
        <f ca="1">IFERROR(__xludf.DUMMYFUNCTION("""COMPUTED_VALUE"""),43)</f>
        <v>43</v>
      </c>
      <c r="L166" s="89" t="str">
        <f ca="1">IFERROR(__xludf.DUMMYFUNCTION("""COMPUTED_VALUE"""),"TRIMESTRE 4")</f>
        <v>TRIMESTRE 4</v>
      </c>
      <c r="M166" s="89" t="str">
        <f ca="1">IFERROR(__xludf.DUMMYFUNCTION("""COMPUTED_VALUE"""),"MUJERES ADULTAS")</f>
        <v>MUJERES ADULTAS</v>
      </c>
    </row>
    <row r="167" spans="1:13">
      <c r="A167" s="89" t="str">
        <f ca="1">IFERROR(__xludf.DUMMYFUNCTION("""COMPUTED_VALUE"""),"4.1.2.2")</f>
        <v>4.1.2.2</v>
      </c>
      <c r="B167" s="89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167" s="89" t="str">
        <f ca="1">IFERROR(__xludf.DUMMYFUNCTION("""COMPUTED_VALUE"""),"4. Programas")</f>
        <v>4. Programas</v>
      </c>
      <c r="D167" s="89" t="str">
        <f ca="1">IFERROR(__xludf.DUMMYFUNCTION("""COMPUTED_VALUE"""),"Guadalajara: Capital de las niñas y los niños")</f>
        <v>Guadalajara: Capital de las niñas y los niños</v>
      </c>
      <c r="E167" s="89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167" s="89" t="str">
        <f ca="1">IFERROR(__xludf.DUMMYFUNCTION("""COMPUTED_VALUE"""),"A2C2. Raciones alimentarias entregadas a NNA y sus cuidadores")</f>
        <v>A2C2. Raciones alimentarias entregadas a NNA y sus cuidadores</v>
      </c>
      <c r="G167" s="89" t="str">
        <f ca="1">IFERROR(__xludf.DUMMYFUNCTION("""COMPUTED_VALUE"""),"Porcentaje de raciones entregadas a NNA y sus cuidadores, en 2023")</f>
        <v>Porcentaje de raciones entregadas a NNA y sus cuidadores, en 2023</v>
      </c>
      <c r="H167" s="89" t="str">
        <f ca="1">IFERROR(__xludf.DUMMYFUNCTION("""COMPUTED_VALUE"""),"HOM Noviembre")</f>
        <v>HOM Noviembre</v>
      </c>
      <c r="I167" s="89" t="str">
        <f ca="1">IFERROR(__xludf.DUMMYFUNCTION("""COMPUTED_VALUE"""),"Noviembre")</f>
        <v>Noviembre</v>
      </c>
      <c r="J167" s="89" t="str">
        <f ca="1">IFERROR(__xludf.DUMMYFUNCTION("""COMPUTED_VALUE"""),"HOM")</f>
        <v>HOM</v>
      </c>
      <c r="K167" s="92">
        <f ca="1">IFERROR(__xludf.DUMMYFUNCTION("""COMPUTED_VALUE"""),24)</f>
        <v>24</v>
      </c>
      <c r="L167" s="89" t="str">
        <f ca="1">IFERROR(__xludf.DUMMYFUNCTION("""COMPUTED_VALUE"""),"TRIMESTRE 4")</f>
        <v>TRIMESTRE 4</v>
      </c>
      <c r="M167" s="89" t="str">
        <f ca="1">IFERROR(__xludf.DUMMYFUNCTION("""COMPUTED_VALUE"""),"HOMBRES ADULTOS")</f>
        <v>HOMBRES ADULTOS</v>
      </c>
    </row>
    <row r="168" spans="1:13">
      <c r="A168" s="89" t="str">
        <f ca="1">IFERROR(__xludf.DUMMYFUNCTION("""COMPUTED_VALUE"""),"4.1.2.2")</f>
        <v>4.1.2.2</v>
      </c>
      <c r="B168" s="89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168" s="89" t="str">
        <f ca="1">IFERROR(__xludf.DUMMYFUNCTION("""COMPUTED_VALUE"""),"4. Programas")</f>
        <v>4. Programas</v>
      </c>
      <c r="D168" s="89" t="str">
        <f ca="1">IFERROR(__xludf.DUMMYFUNCTION("""COMPUTED_VALUE"""),"Guadalajara: Capital de las niñas y los niños")</f>
        <v>Guadalajara: Capital de las niñas y los niños</v>
      </c>
      <c r="E168" s="89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168" s="89" t="str">
        <f ca="1">IFERROR(__xludf.DUMMYFUNCTION("""COMPUTED_VALUE"""),"A2C2. Raciones alimentarias entregadas a NNA y sus cuidadores")</f>
        <v>A2C2. Raciones alimentarias entregadas a NNA y sus cuidadores</v>
      </c>
      <c r="G168" s="89" t="str">
        <f ca="1">IFERROR(__xludf.DUMMYFUNCTION("""COMPUTED_VALUE"""),"Porcentaje de raciones entregadas a NNA y sus cuidadores, en 2023")</f>
        <v>Porcentaje de raciones entregadas a NNA y sus cuidadores, en 2023</v>
      </c>
      <c r="H168" s="89" t="str">
        <f ca="1">IFERROR(__xludf.DUMMYFUNCTION("""COMPUTED_VALUE"""),"AMM Noviembre")</f>
        <v>AMM Noviembre</v>
      </c>
      <c r="I168" s="89" t="str">
        <f ca="1">IFERROR(__xludf.DUMMYFUNCTION("""COMPUTED_VALUE"""),"Noviembre")</f>
        <v>Noviembre</v>
      </c>
      <c r="J168" s="89" t="str">
        <f ca="1">IFERROR(__xludf.DUMMYFUNCTION("""COMPUTED_VALUE"""),"AMM")</f>
        <v>AMM</v>
      </c>
      <c r="K168" s="92">
        <f ca="1">IFERROR(__xludf.DUMMYFUNCTION("""COMPUTED_VALUE"""),3)</f>
        <v>3</v>
      </c>
      <c r="L168" s="89" t="str">
        <f ca="1">IFERROR(__xludf.DUMMYFUNCTION("""COMPUTED_VALUE"""),"TRIMESTRE 4")</f>
        <v>TRIMESTRE 4</v>
      </c>
      <c r="M168" s="89" t="str">
        <f ca="1">IFERROR(__xludf.DUMMYFUNCTION("""COMPUTED_VALUE"""),"ADULTA MAYOR MUJER")</f>
        <v>ADULTA MAYOR MUJER</v>
      </c>
    </row>
    <row r="169" spans="1:13">
      <c r="A169" s="89" t="str">
        <f ca="1">IFERROR(__xludf.DUMMYFUNCTION("""COMPUTED_VALUE"""),"4.1.2.2")</f>
        <v>4.1.2.2</v>
      </c>
      <c r="B169" s="89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169" s="89" t="str">
        <f ca="1">IFERROR(__xludf.DUMMYFUNCTION("""COMPUTED_VALUE"""),"4. Programas")</f>
        <v>4. Programas</v>
      </c>
      <c r="D169" s="89" t="str">
        <f ca="1">IFERROR(__xludf.DUMMYFUNCTION("""COMPUTED_VALUE"""),"Guadalajara: Capital de las niñas y los niños")</f>
        <v>Guadalajara: Capital de las niñas y los niños</v>
      </c>
      <c r="E169" s="89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169" s="89" t="str">
        <f ca="1">IFERROR(__xludf.DUMMYFUNCTION("""COMPUTED_VALUE"""),"A2C2. Raciones alimentarias entregadas a NNA y sus cuidadores")</f>
        <v>A2C2. Raciones alimentarias entregadas a NNA y sus cuidadores</v>
      </c>
      <c r="G169" s="89" t="str">
        <f ca="1">IFERROR(__xludf.DUMMYFUNCTION("""COMPUTED_VALUE"""),"Porcentaje de raciones entregadas a NNA y sus cuidadores, en 2023")</f>
        <v>Porcentaje de raciones entregadas a NNA y sus cuidadores, en 2023</v>
      </c>
      <c r="H169" s="89" t="str">
        <f ca="1">IFERROR(__xludf.DUMMYFUNCTION("""COMPUTED_VALUE"""),"AMH Noviembre")</f>
        <v>AMH Noviembre</v>
      </c>
      <c r="I169" s="89" t="str">
        <f ca="1">IFERROR(__xludf.DUMMYFUNCTION("""COMPUTED_VALUE"""),"Noviembre")</f>
        <v>Noviembre</v>
      </c>
      <c r="J169" s="89" t="str">
        <f ca="1">IFERROR(__xludf.DUMMYFUNCTION("""COMPUTED_VALUE"""),"AMH")</f>
        <v>AMH</v>
      </c>
      <c r="K169" s="92">
        <f ca="1">IFERROR(__xludf.DUMMYFUNCTION("""COMPUTED_VALUE"""),0)</f>
        <v>0</v>
      </c>
      <c r="L169" s="89" t="str">
        <f ca="1">IFERROR(__xludf.DUMMYFUNCTION("""COMPUTED_VALUE"""),"TRIMESTRE 4")</f>
        <v>TRIMESTRE 4</v>
      </c>
      <c r="M169" s="89" t="str">
        <f ca="1">IFERROR(__xludf.DUMMYFUNCTION("""COMPUTED_VALUE"""),"ADULTO MAYOR HOMBRE")</f>
        <v>ADULTO MAYOR HOMBRE</v>
      </c>
    </row>
    <row r="170" spans="1:13">
      <c r="A170" s="89" t="str">
        <f ca="1">IFERROR(__xludf.DUMMYFUNCTION("""COMPUTED_VALUE"""),"4.1.2.3")</f>
        <v>4.1.2.3</v>
      </c>
      <c r="B170" s="89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170" s="89" t="str">
        <f ca="1">IFERROR(__xludf.DUMMYFUNCTION("""COMPUTED_VALUE"""),"4. Programas")</f>
        <v>4. Programas</v>
      </c>
      <c r="D170" s="89" t="str">
        <f ca="1">IFERROR(__xludf.DUMMYFUNCTION("""COMPUTED_VALUE"""),"Guadalajara: Capital de las niñas y los niños")</f>
        <v>Guadalajara: Capital de las niñas y los niños</v>
      </c>
      <c r="E170" s="89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170" s="89" t="str">
        <f ca="1">IFERROR(__xludf.DUMMYFUNCTION("""COMPUTED_VALUE"""),"A3C2. Apoyos asistenciales entregados a madres en etapa adolescente")</f>
        <v>A3C2. Apoyos asistenciales entregados a madres en etapa adolescente</v>
      </c>
      <c r="G170" s="89" t="str">
        <f ca="1">IFERROR(__xludf.DUMMYFUNCTION("""COMPUTED_VALUE"""),"Apoyos asistenciales entregados a madres adolescentes, en 2023")</f>
        <v>Apoyos asistenciales entregados a madres adolescentes, en 2023</v>
      </c>
      <c r="H170" s="89" t="str">
        <f ca="1">IFERROR(__xludf.DUMMYFUNCTION("""COMPUTED_VALUE"""),"NAS Noviembre")</f>
        <v>NAS Noviembre</v>
      </c>
      <c r="I170" s="89" t="str">
        <f ca="1">IFERROR(__xludf.DUMMYFUNCTION("""COMPUTED_VALUE"""),"Noviembre")</f>
        <v>Noviembre</v>
      </c>
      <c r="J170" s="89" t="str">
        <f ca="1">IFERROR(__xludf.DUMMYFUNCTION("""COMPUTED_VALUE"""),"NAS")</f>
        <v>NAS</v>
      </c>
      <c r="K170" s="92"/>
      <c r="L170" s="89" t="str">
        <f ca="1">IFERROR(__xludf.DUMMYFUNCTION("""COMPUTED_VALUE"""),"TRIMESTRE 4")</f>
        <v>TRIMESTRE 4</v>
      </c>
      <c r="M170" s="89" t="str">
        <f ca="1">IFERROR(__xludf.DUMMYFUNCTION("""COMPUTED_VALUE"""),"NIÑAS")</f>
        <v>NIÑAS</v>
      </c>
    </row>
    <row r="171" spans="1:13">
      <c r="A171" s="89" t="str">
        <f ca="1">IFERROR(__xludf.DUMMYFUNCTION("""COMPUTED_VALUE"""),"4.1.2.3")</f>
        <v>4.1.2.3</v>
      </c>
      <c r="B171" s="89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171" s="89" t="str">
        <f ca="1">IFERROR(__xludf.DUMMYFUNCTION("""COMPUTED_VALUE"""),"4. Programas")</f>
        <v>4. Programas</v>
      </c>
      <c r="D171" s="89" t="str">
        <f ca="1">IFERROR(__xludf.DUMMYFUNCTION("""COMPUTED_VALUE"""),"Guadalajara: Capital de las niñas y los niños")</f>
        <v>Guadalajara: Capital de las niñas y los niños</v>
      </c>
      <c r="E171" s="89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171" s="89" t="str">
        <f ca="1">IFERROR(__xludf.DUMMYFUNCTION("""COMPUTED_VALUE"""),"A3C2. Apoyos asistenciales entregados a madres en etapa adolescente")</f>
        <v>A3C2. Apoyos asistenciales entregados a madres en etapa adolescente</v>
      </c>
      <c r="G171" s="89" t="str">
        <f ca="1">IFERROR(__xludf.DUMMYFUNCTION("""COMPUTED_VALUE"""),"Apoyos asistenciales entregados a madres adolescentes, en 2023")</f>
        <v>Apoyos asistenciales entregados a madres adolescentes, en 2023</v>
      </c>
      <c r="H171" s="89" t="str">
        <f ca="1">IFERROR(__xludf.DUMMYFUNCTION("""COMPUTED_VALUE"""),"NOS Noviembre")</f>
        <v>NOS Noviembre</v>
      </c>
      <c r="I171" s="89" t="str">
        <f ca="1">IFERROR(__xludf.DUMMYFUNCTION("""COMPUTED_VALUE"""),"Noviembre")</f>
        <v>Noviembre</v>
      </c>
      <c r="J171" s="89" t="str">
        <f ca="1">IFERROR(__xludf.DUMMYFUNCTION("""COMPUTED_VALUE"""),"NOS")</f>
        <v>NOS</v>
      </c>
      <c r="K171" s="92"/>
      <c r="L171" s="89" t="str">
        <f ca="1">IFERROR(__xludf.DUMMYFUNCTION("""COMPUTED_VALUE"""),"TRIMESTRE 4")</f>
        <v>TRIMESTRE 4</v>
      </c>
      <c r="M171" s="89" t="str">
        <f ca="1">IFERROR(__xludf.DUMMYFUNCTION("""COMPUTED_VALUE"""),"NIÑOS")</f>
        <v>NIÑOS</v>
      </c>
    </row>
    <row r="172" spans="1:13">
      <c r="A172" s="89" t="str">
        <f ca="1">IFERROR(__xludf.DUMMYFUNCTION("""COMPUTED_VALUE"""),"4.1.2.3")</f>
        <v>4.1.2.3</v>
      </c>
      <c r="B172" s="89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172" s="89" t="str">
        <f ca="1">IFERROR(__xludf.DUMMYFUNCTION("""COMPUTED_VALUE"""),"4. Programas")</f>
        <v>4. Programas</v>
      </c>
      <c r="D172" s="89" t="str">
        <f ca="1">IFERROR(__xludf.DUMMYFUNCTION("""COMPUTED_VALUE"""),"Guadalajara: Capital de las niñas y los niños")</f>
        <v>Guadalajara: Capital de las niñas y los niños</v>
      </c>
      <c r="E172" s="89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172" s="89" t="str">
        <f ca="1">IFERROR(__xludf.DUMMYFUNCTION("""COMPUTED_VALUE"""),"A3C2. Apoyos asistenciales entregados a madres en etapa adolescente")</f>
        <v>A3C2. Apoyos asistenciales entregados a madres en etapa adolescente</v>
      </c>
      <c r="G172" s="89" t="str">
        <f ca="1">IFERROR(__xludf.DUMMYFUNCTION("""COMPUTED_VALUE"""),"Apoyos asistenciales entregados a madres adolescentes, en 2023")</f>
        <v>Apoyos asistenciales entregados a madres adolescentes, en 2023</v>
      </c>
      <c r="H172" s="89" t="str">
        <f ca="1">IFERROR(__xludf.DUMMYFUNCTION("""COMPUTED_VALUE"""),"AM NOVIEMBRE")</f>
        <v>AM NOVIEMBRE</v>
      </c>
      <c r="I172" s="89" t="str">
        <f ca="1">IFERROR(__xludf.DUMMYFUNCTION("""COMPUTED_VALUE"""),"Noviembre")</f>
        <v>Noviembre</v>
      </c>
      <c r="J172" s="89" t="str">
        <f ca="1">IFERROR(__xludf.DUMMYFUNCTION("""COMPUTED_VALUE"""),"AM")</f>
        <v>AM</v>
      </c>
      <c r="K172" s="92"/>
      <c r="L172" s="89" t="str">
        <f ca="1">IFERROR(__xludf.DUMMYFUNCTION("""COMPUTED_VALUE"""),"TRIMESTRE 4")</f>
        <v>TRIMESTRE 4</v>
      </c>
      <c r="M172" s="89" t="str">
        <f ca="1">IFERROR(__xludf.DUMMYFUNCTION("""COMPUTED_VALUE"""),"ADOLESCENTES MUJERES")</f>
        <v>ADOLESCENTES MUJERES</v>
      </c>
    </row>
    <row r="173" spans="1:13">
      <c r="A173" s="89" t="str">
        <f ca="1">IFERROR(__xludf.DUMMYFUNCTION("""COMPUTED_VALUE"""),"4.1.2.3")</f>
        <v>4.1.2.3</v>
      </c>
      <c r="B173" s="89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173" s="89" t="str">
        <f ca="1">IFERROR(__xludf.DUMMYFUNCTION("""COMPUTED_VALUE"""),"4. Programas")</f>
        <v>4. Programas</v>
      </c>
      <c r="D173" s="89" t="str">
        <f ca="1">IFERROR(__xludf.DUMMYFUNCTION("""COMPUTED_VALUE"""),"Guadalajara: Capital de las niñas y los niños")</f>
        <v>Guadalajara: Capital de las niñas y los niños</v>
      </c>
      <c r="E173" s="89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173" s="89" t="str">
        <f ca="1">IFERROR(__xludf.DUMMYFUNCTION("""COMPUTED_VALUE"""),"A3C2. Apoyos asistenciales entregados a madres en etapa adolescente")</f>
        <v>A3C2. Apoyos asistenciales entregados a madres en etapa adolescente</v>
      </c>
      <c r="G173" s="89" t="str">
        <f ca="1">IFERROR(__xludf.DUMMYFUNCTION("""COMPUTED_VALUE"""),"Apoyos asistenciales entregados a madres adolescentes, en 2023")</f>
        <v>Apoyos asistenciales entregados a madres adolescentes, en 2023</v>
      </c>
      <c r="H173" s="89" t="str">
        <f ca="1">IFERROR(__xludf.DUMMYFUNCTION("""COMPUTED_VALUE"""),"AH NOVIEMBRE")</f>
        <v>AH NOVIEMBRE</v>
      </c>
      <c r="I173" s="89" t="str">
        <f ca="1">IFERROR(__xludf.DUMMYFUNCTION("""COMPUTED_VALUE"""),"Noviembre")</f>
        <v>Noviembre</v>
      </c>
      <c r="J173" s="89" t="str">
        <f ca="1">IFERROR(__xludf.DUMMYFUNCTION("""COMPUTED_VALUE"""),"AH")</f>
        <v>AH</v>
      </c>
      <c r="K173" s="92"/>
      <c r="L173" s="89" t="str">
        <f ca="1">IFERROR(__xludf.DUMMYFUNCTION("""COMPUTED_VALUE"""),"TRIMESTRE 4")</f>
        <v>TRIMESTRE 4</v>
      </c>
      <c r="M173" s="89" t="str">
        <f ca="1">IFERROR(__xludf.DUMMYFUNCTION("""COMPUTED_VALUE"""),"ADOLESCENTES HOMBRES")</f>
        <v>ADOLESCENTES HOMBRES</v>
      </c>
    </row>
    <row r="174" spans="1:13">
      <c r="A174" s="89" t="str">
        <f ca="1">IFERROR(__xludf.DUMMYFUNCTION("""COMPUTED_VALUE"""),"4.1.2.3")</f>
        <v>4.1.2.3</v>
      </c>
      <c r="B174" s="89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174" s="89" t="str">
        <f ca="1">IFERROR(__xludf.DUMMYFUNCTION("""COMPUTED_VALUE"""),"4. Programas")</f>
        <v>4. Programas</v>
      </c>
      <c r="D174" s="89" t="str">
        <f ca="1">IFERROR(__xludf.DUMMYFUNCTION("""COMPUTED_VALUE"""),"Guadalajara: Capital de las niñas y los niños")</f>
        <v>Guadalajara: Capital de las niñas y los niños</v>
      </c>
      <c r="E174" s="89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174" s="89" t="str">
        <f ca="1">IFERROR(__xludf.DUMMYFUNCTION("""COMPUTED_VALUE"""),"A3C2. Apoyos asistenciales entregados a madres en etapa adolescente")</f>
        <v>A3C2. Apoyos asistenciales entregados a madres en etapa adolescente</v>
      </c>
      <c r="G174" s="89" t="str">
        <f ca="1">IFERROR(__xludf.DUMMYFUNCTION("""COMPUTED_VALUE"""),"Apoyos asistenciales entregados a madres adolescentes, en 2023")</f>
        <v>Apoyos asistenciales entregados a madres adolescentes, en 2023</v>
      </c>
      <c r="H174" s="89" t="str">
        <f ca="1">IFERROR(__xludf.DUMMYFUNCTION("""COMPUTED_VALUE"""),"MUJ Noviembre")</f>
        <v>MUJ Noviembre</v>
      </c>
      <c r="I174" s="89" t="str">
        <f ca="1">IFERROR(__xludf.DUMMYFUNCTION("""COMPUTED_VALUE"""),"Noviembre")</f>
        <v>Noviembre</v>
      </c>
      <c r="J174" s="89" t="str">
        <f ca="1">IFERROR(__xludf.DUMMYFUNCTION("""COMPUTED_VALUE"""),"MUJ")</f>
        <v>MUJ</v>
      </c>
      <c r="K174" s="92"/>
      <c r="L174" s="89" t="str">
        <f ca="1">IFERROR(__xludf.DUMMYFUNCTION("""COMPUTED_VALUE"""),"TRIMESTRE 4")</f>
        <v>TRIMESTRE 4</v>
      </c>
      <c r="M174" s="89" t="str">
        <f ca="1">IFERROR(__xludf.DUMMYFUNCTION("""COMPUTED_VALUE"""),"MUJERES ADULTAS")</f>
        <v>MUJERES ADULTAS</v>
      </c>
    </row>
    <row r="175" spans="1:13">
      <c r="A175" s="89" t="str">
        <f ca="1">IFERROR(__xludf.DUMMYFUNCTION("""COMPUTED_VALUE"""),"4.1.2.3")</f>
        <v>4.1.2.3</v>
      </c>
      <c r="B175" s="89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175" s="89" t="str">
        <f ca="1">IFERROR(__xludf.DUMMYFUNCTION("""COMPUTED_VALUE"""),"4. Programas")</f>
        <v>4. Programas</v>
      </c>
      <c r="D175" s="89" t="str">
        <f ca="1">IFERROR(__xludf.DUMMYFUNCTION("""COMPUTED_VALUE"""),"Guadalajara: Capital de las niñas y los niños")</f>
        <v>Guadalajara: Capital de las niñas y los niños</v>
      </c>
      <c r="E175" s="89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175" s="89" t="str">
        <f ca="1">IFERROR(__xludf.DUMMYFUNCTION("""COMPUTED_VALUE"""),"A3C2. Apoyos asistenciales entregados a madres en etapa adolescente")</f>
        <v>A3C2. Apoyos asistenciales entregados a madres en etapa adolescente</v>
      </c>
      <c r="G175" s="89" t="str">
        <f ca="1">IFERROR(__xludf.DUMMYFUNCTION("""COMPUTED_VALUE"""),"Apoyos asistenciales entregados a madres adolescentes, en 2023")</f>
        <v>Apoyos asistenciales entregados a madres adolescentes, en 2023</v>
      </c>
      <c r="H175" s="89" t="str">
        <f ca="1">IFERROR(__xludf.DUMMYFUNCTION("""COMPUTED_VALUE"""),"HOM Noviembre")</f>
        <v>HOM Noviembre</v>
      </c>
      <c r="I175" s="89" t="str">
        <f ca="1">IFERROR(__xludf.DUMMYFUNCTION("""COMPUTED_VALUE"""),"Noviembre")</f>
        <v>Noviembre</v>
      </c>
      <c r="J175" s="89" t="str">
        <f ca="1">IFERROR(__xludf.DUMMYFUNCTION("""COMPUTED_VALUE"""),"HOM")</f>
        <v>HOM</v>
      </c>
      <c r="K175" s="92"/>
      <c r="L175" s="89" t="str">
        <f ca="1">IFERROR(__xludf.DUMMYFUNCTION("""COMPUTED_VALUE"""),"TRIMESTRE 4")</f>
        <v>TRIMESTRE 4</v>
      </c>
      <c r="M175" s="89" t="str">
        <f ca="1">IFERROR(__xludf.DUMMYFUNCTION("""COMPUTED_VALUE"""),"HOMBRES ADULTOS")</f>
        <v>HOMBRES ADULTOS</v>
      </c>
    </row>
    <row r="176" spans="1:13">
      <c r="A176" s="89" t="str">
        <f ca="1">IFERROR(__xludf.DUMMYFUNCTION("""COMPUTED_VALUE"""),"4.1.2.3")</f>
        <v>4.1.2.3</v>
      </c>
      <c r="B176" s="89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176" s="89" t="str">
        <f ca="1">IFERROR(__xludf.DUMMYFUNCTION("""COMPUTED_VALUE"""),"4. Programas")</f>
        <v>4. Programas</v>
      </c>
      <c r="D176" s="89" t="str">
        <f ca="1">IFERROR(__xludf.DUMMYFUNCTION("""COMPUTED_VALUE"""),"Guadalajara: Capital de las niñas y los niños")</f>
        <v>Guadalajara: Capital de las niñas y los niños</v>
      </c>
      <c r="E176" s="89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176" s="89" t="str">
        <f ca="1">IFERROR(__xludf.DUMMYFUNCTION("""COMPUTED_VALUE"""),"A3C2. Apoyos asistenciales entregados a madres en etapa adolescente")</f>
        <v>A3C2. Apoyos asistenciales entregados a madres en etapa adolescente</v>
      </c>
      <c r="G176" s="89" t="str">
        <f ca="1">IFERROR(__xludf.DUMMYFUNCTION("""COMPUTED_VALUE"""),"Apoyos asistenciales entregados a madres adolescentes, en 2023")</f>
        <v>Apoyos asistenciales entregados a madres adolescentes, en 2023</v>
      </c>
      <c r="H176" s="89" t="str">
        <f ca="1">IFERROR(__xludf.DUMMYFUNCTION("""COMPUTED_VALUE"""),"AMM Noviembre")</f>
        <v>AMM Noviembre</v>
      </c>
      <c r="I176" s="89" t="str">
        <f ca="1">IFERROR(__xludf.DUMMYFUNCTION("""COMPUTED_VALUE"""),"Noviembre")</f>
        <v>Noviembre</v>
      </c>
      <c r="J176" s="89" t="str">
        <f ca="1">IFERROR(__xludf.DUMMYFUNCTION("""COMPUTED_VALUE"""),"AMM")</f>
        <v>AMM</v>
      </c>
      <c r="K176" s="92"/>
      <c r="L176" s="89" t="str">
        <f ca="1">IFERROR(__xludf.DUMMYFUNCTION("""COMPUTED_VALUE"""),"TRIMESTRE 4")</f>
        <v>TRIMESTRE 4</v>
      </c>
      <c r="M176" s="89" t="str">
        <f ca="1">IFERROR(__xludf.DUMMYFUNCTION("""COMPUTED_VALUE"""),"ADULTA MAYOR MUJER")</f>
        <v>ADULTA MAYOR MUJER</v>
      </c>
    </row>
    <row r="177" spans="1:13">
      <c r="A177" s="89" t="str">
        <f ca="1">IFERROR(__xludf.DUMMYFUNCTION("""COMPUTED_VALUE"""),"4.1.2.3")</f>
        <v>4.1.2.3</v>
      </c>
      <c r="B177" s="89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177" s="89" t="str">
        <f ca="1">IFERROR(__xludf.DUMMYFUNCTION("""COMPUTED_VALUE"""),"4. Programas")</f>
        <v>4. Programas</v>
      </c>
      <c r="D177" s="89" t="str">
        <f ca="1">IFERROR(__xludf.DUMMYFUNCTION("""COMPUTED_VALUE"""),"Guadalajara: Capital de las niñas y los niños")</f>
        <v>Guadalajara: Capital de las niñas y los niños</v>
      </c>
      <c r="E177" s="89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177" s="89" t="str">
        <f ca="1">IFERROR(__xludf.DUMMYFUNCTION("""COMPUTED_VALUE"""),"A3C2. Apoyos asistenciales entregados a madres en etapa adolescente")</f>
        <v>A3C2. Apoyos asistenciales entregados a madres en etapa adolescente</v>
      </c>
      <c r="G177" s="89" t="str">
        <f ca="1">IFERROR(__xludf.DUMMYFUNCTION("""COMPUTED_VALUE"""),"Apoyos asistenciales entregados a madres adolescentes, en 2023")</f>
        <v>Apoyos asistenciales entregados a madres adolescentes, en 2023</v>
      </c>
      <c r="H177" s="89" t="str">
        <f ca="1">IFERROR(__xludf.DUMMYFUNCTION("""COMPUTED_VALUE"""),"AMH Noviembre")</f>
        <v>AMH Noviembre</v>
      </c>
      <c r="I177" s="89" t="str">
        <f ca="1">IFERROR(__xludf.DUMMYFUNCTION("""COMPUTED_VALUE"""),"Noviembre")</f>
        <v>Noviembre</v>
      </c>
      <c r="J177" s="89" t="str">
        <f ca="1">IFERROR(__xludf.DUMMYFUNCTION("""COMPUTED_VALUE"""),"AMH")</f>
        <v>AMH</v>
      </c>
      <c r="K177" s="92"/>
      <c r="L177" s="89" t="str">
        <f ca="1">IFERROR(__xludf.DUMMYFUNCTION("""COMPUTED_VALUE"""),"TRIMESTRE 4")</f>
        <v>TRIMESTRE 4</v>
      </c>
      <c r="M177" s="89" t="str">
        <f ca="1">IFERROR(__xludf.DUMMYFUNCTION("""COMPUTED_VALUE"""),"ADULTO MAYOR HOMBRE")</f>
        <v>ADULTO MAYOR HOMBRE</v>
      </c>
    </row>
    <row r="178" spans="1:13">
      <c r="A178" s="89" t="str">
        <f ca="1">IFERROR(__xludf.DUMMYFUNCTION("""COMPUTED_VALUE"""),"4.1.2.2")</f>
        <v>4.1.2.2</v>
      </c>
      <c r="B178" s="89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178" s="89" t="str">
        <f ca="1">IFERROR(__xludf.DUMMYFUNCTION("""COMPUTED_VALUE"""),"4. Programas")</f>
        <v>4. Programas</v>
      </c>
      <c r="D178" s="89" t="str">
        <f ca="1">IFERROR(__xludf.DUMMYFUNCTION("""COMPUTED_VALUE"""),"Guadalajara: Capital de las niñas y los niños")</f>
        <v>Guadalajara: Capital de las niñas y los niños</v>
      </c>
      <c r="E178" s="89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178" s="89" t="str">
        <f ca="1">IFERROR(__xludf.DUMMYFUNCTION("""COMPUTED_VALUE"""),"A2C2. Raciones alimentarias entregadas a NNA y sus cuidadores")</f>
        <v>A2C2. Raciones alimentarias entregadas a NNA y sus cuidadores</v>
      </c>
      <c r="G178" s="89" t="str">
        <f ca="1">IFERROR(__xludf.DUMMYFUNCTION("""COMPUTED_VALUE"""),"Porcentaje de raciones entregadas a NNA y sus cuidadores, en 2023")</f>
        <v>Porcentaje de raciones entregadas a NNA y sus cuidadores, en 2023</v>
      </c>
      <c r="H178" s="89" t="str">
        <f ca="1">IFERROR(__xludf.DUMMYFUNCTION("""COMPUTED_VALUE"""),"NAS Diciembre")</f>
        <v>NAS Diciembre</v>
      </c>
      <c r="I178" s="89" t="str">
        <f ca="1">IFERROR(__xludf.DUMMYFUNCTION("""COMPUTED_VALUE"""),"Diciembre")</f>
        <v>Diciembre</v>
      </c>
      <c r="J178" s="89" t="str">
        <f ca="1">IFERROR(__xludf.DUMMYFUNCTION("""COMPUTED_VALUE"""),"NAS")</f>
        <v>NAS</v>
      </c>
      <c r="K178" s="92">
        <f ca="1">IFERROR(__xludf.DUMMYFUNCTION("""COMPUTED_VALUE"""),114)</f>
        <v>114</v>
      </c>
      <c r="L178" s="89" t="str">
        <f ca="1">IFERROR(__xludf.DUMMYFUNCTION("""COMPUTED_VALUE"""),"TRIMESTRE 4")</f>
        <v>TRIMESTRE 4</v>
      </c>
      <c r="M178" s="89" t="str">
        <f ca="1">IFERROR(__xludf.DUMMYFUNCTION("""COMPUTED_VALUE"""),"NIÑAS")</f>
        <v>NIÑAS</v>
      </c>
    </row>
    <row r="179" spans="1:13">
      <c r="A179" s="89" t="str">
        <f ca="1">IFERROR(__xludf.DUMMYFUNCTION("""COMPUTED_VALUE"""),"4.1.2.2")</f>
        <v>4.1.2.2</v>
      </c>
      <c r="B179" s="89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179" s="89" t="str">
        <f ca="1">IFERROR(__xludf.DUMMYFUNCTION("""COMPUTED_VALUE"""),"4. Programas")</f>
        <v>4. Programas</v>
      </c>
      <c r="D179" s="89" t="str">
        <f ca="1">IFERROR(__xludf.DUMMYFUNCTION("""COMPUTED_VALUE"""),"Guadalajara: Capital de las niñas y los niños")</f>
        <v>Guadalajara: Capital de las niñas y los niños</v>
      </c>
      <c r="E179" s="89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179" s="89" t="str">
        <f ca="1">IFERROR(__xludf.DUMMYFUNCTION("""COMPUTED_VALUE"""),"A2C2. Raciones alimentarias entregadas a NNA y sus cuidadores")</f>
        <v>A2C2. Raciones alimentarias entregadas a NNA y sus cuidadores</v>
      </c>
      <c r="G179" s="89" t="str">
        <f ca="1">IFERROR(__xludf.DUMMYFUNCTION("""COMPUTED_VALUE"""),"Porcentaje de raciones entregadas a NNA y sus cuidadores, en 2023")</f>
        <v>Porcentaje de raciones entregadas a NNA y sus cuidadores, en 2023</v>
      </c>
      <c r="H179" s="89" t="str">
        <f ca="1">IFERROR(__xludf.DUMMYFUNCTION("""COMPUTED_VALUE"""),"NOS Diciembre")</f>
        <v>NOS Diciembre</v>
      </c>
      <c r="I179" s="89" t="str">
        <f ca="1">IFERROR(__xludf.DUMMYFUNCTION("""COMPUTED_VALUE"""),"Diciembre")</f>
        <v>Diciembre</v>
      </c>
      <c r="J179" s="89" t="str">
        <f ca="1">IFERROR(__xludf.DUMMYFUNCTION("""COMPUTED_VALUE"""),"NOS")</f>
        <v>NOS</v>
      </c>
      <c r="K179" s="92">
        <f ca="1">IFERROR(__xludf.DUMMYFUNCTION("""COMPUTED_VALUE"""),164)</f>
        <v>164</v>
      </c>
      <c r="L179" s="89" t="str">
        <f ca="1">IFERROR(__xludf.DUMMYFUNCTION("""COMPUTED_VALUE"""),"TRIMESTRE 4")</f>
        <v>TRIMESTRE 4</v>
      </c>
      <c r="M179" s="89" t="str">
        <f ca="1">IFERROR(__xludf.DUMMYFUNCTION("""COMPUTED_VALUE"""),"NIÑOS")</f>
        <v>NIÑOS</v>
      </c>
    </row>
    <row r="180" spans="1:13">
      <c r="A180" s="89" t="str">
        <f ca="1">IFERROR(__xludf.DUMMYFUNCTION("""COMPUTED_VALUE"""),"4.1.2.2")</f>
        <v>4.1.2.2</v>
      </c>
      <c r="B180" s="89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180" s="89" t="str">
        <f ca="1">IFERROR(__xludf.DUMMYFUNCTION("""COMPUTED_VALUE"""),"4. Programas")</f>
        <v>4. Programas</v>
      </c>
      <c r="D180" s="89" t="str">
        <f ca="1">IFERROR(__xludf.DUMMYFUNCTION("""COMPUTED_VALUE"""),"Guadalajara: Capital de las niñas y los niños")</f>
        <v>Guadalajara: Capital de las niñas y los niños</v>
      </c>
      <c r="E180" s="89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180" s="89" t="str">
        <f ca="1">IFERROR(__xludf.DUMMYFUNCTION("""COMPUTED_VALUE"""),"A2C2. Raciones alimentarias entregadas a NNA y sus cuidadores")</f>
        <v>A2C2. Raciones alimentarias entregadas a NNA y sus cuidadores</v>
      </c>
      <c r="G180" s="89" t="str">
        <f ca="1">IFERROR(__xludf.DUMMYFUNCTION("""COMPUTED_VALUE"""),"Porcentaje de raciones entregadas a NNA y sus cuidadores, en 2023")</f>
        <v>Porcentaje de raciones entregadas a NNA y sus cuidadores, en 2023</v>
      </c>
      <c r="H180" s="89" t="str">
        <f ca="1">IFERROR(__xludf.DUMMYFUNCTION("""COMPUTED_VALUE"""),"AM DICIEMBRE")</f>
        <v>AM DICIEMBRE</v>
      </c>
      <c r="I180" s="89" t="str">
        <f ca="1">IFERROR(__xludf.DUMMYFUNCTION("""COMPUTED_VALUE"""),"Diciembre")</f>
        <v>Diciembre</v>
      </c>
      <c r="J180" s="89" t="str">
        <f ca="1">IFERROR(__xludf.DUMMYFUNCTION("""COMPUTED_VALUE"""),"AM")</f>
        <v>AM</v>
      </c>
      <c r="K180" s="92">
        <f ca="1">IFERROR(__xludf.DUMMYFUNCTION("""COMPUTED_VALUE"""),126)</f>
        <v>126</v>
      </c>
      <c r="L180" s="89" t="str">
        <f ca="1">IFERROR(__xludf.DUMMYFUNCTION("""COMPUTED_VALUE"""),"TRIMESTRE 4")</f>
        <v>TRIMESTRE 4</v>
      </c>
      <c r="M180" s="89" t="str">
        <f ca="1">IFERROR(__xludf.DUMMYFUNCTION("""COMPUTED_VALUE"""),"ADOLESCENTES MUJERES")</f>
        <v>ADOLESCENTES MUJERES</v>
      </c>
    </row>
    <row r="181" spans="1:13">
      <c r="A181" s="89" t="str">
        <f ca="1">IFERROR(__xludf.DUMMYFUNCTION("""COMPUTED_VALUE"""),"4.1.2.2")</f>
        <v>4.1.2.2</v>
      </c>
      <c r="B181" s="89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181" s="89" t="str">
        <f ca="1">IFERROR(__xludf.DUMMYFUNCTION("""COMPUTED_VALUE"""),"4. Programas")</f>
        <v>4. Programas</v>
      </c>
      <c r="D181" s="89" t="str">
        <f ca="1">IFERROR(__xludf.DUMMYFUNCTION("""COMPUTED_VALUE"""),"Guadalajara: Capital de las niñas y los niños")</f>
        <v>Guadalajara: Capital de las niñas y los niños</v>
      </c>
      <c r="E181" s="89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181" s="89" t="str">
        <f ca="1">IFERROR(__xludf.DUMMYFUNCTION("""COMPUTED_VALUE"""),"A2C2. Raciones alimentarias entregadas a NNA y sus cuidadores")</f>
        <v>A2C2. Raciones alimentarias entregadas a NNA y sus cuidadores</v>
      </c>
      <c r="G181" s="89" t="str">
        <f ca="1">IFERROR(__xludf.DUMMYFUNCTION("""COMPUTED_VALUE"""),"Porcentaje de raciones entregadas a NNA y sus cuidadores, en 2023")</f>
        <v>Porcentaje de raciones entregadas a NNA y sus cuidadores, en 2023</v>
      </c>
      <c r="H181" s="89" t="str">
        <f ca="1">IFERROR(__xludf.DUMMYFUNCTION("""COMPUTED_VALUE"""),"AH DICIEMBRE")</f>
        <v>AH DICIEMBRE</v>
      </c>
      <c r="I181" s="89" t="str">
        <f ca="1">IFERROR(__xludf.DUMMYFUNCTION("""COMPUTED_VALUE"""),"Diciembre")</f>
        <v>Diciembre</v>
      </c>
      <c r="J181" s="89" t="str">
        <f ca="1">IFERROR(__xludf.DUMMYFUNCTION("""COMPUTED_VALUE"""),"AH")</f>
        <v>AH</v>
      </c>
      <c r="K181" s="92">
        <f ca="1">IFERROR(__xludf.DUMMYFUNCTION("""COMPUTED_VALUE"""),86)</f>
        <v>86</v>
      </c>
      <c r="L181" s="89" t="str">
        <f ca="1">IFERROR(__xludf.DUMMYFUNCTION("""COMPUTED_VALUE"""),"TRIMESTRE 4")</f>
        <v>TRIMESTRE 4</v>
      </c>
      <c r="M181" s="89" t="str">
        <f ca="1">IFERROR(__xludf.DUMMYFUNCTION("""COMPUTED_VALUE"""),"ADOLESCENTES HOMBRES")</f>
        <v>ADOLESCENTES HOMBRES</v>
      </c>
    </row>
    <row r="182" spans="1:13">
      <c r="A182" s="89" t="str">
        <f ca="1">IFERROR(__xludf.DUMMYFUNCTION("""COMPUTED_VALUE"""),"4.1.2.2")</f>
        <v>4.1.2.2</v>
      </c>
      <c r="B182" s="89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182" s="89" t="str">
        <f ca="1">IFERROR(__xludf.DUMMYFUNCTION("""COMPUTED_VALUE"""),"4. Programas")</f>
        <v>4. Programas</v>
      </c>
      <c r="D182" s="89" t="str">
        <f ca="1">IFERROR(__xludf.DUMMYFUNCTION("""COMPUTED_VALUE"""),"Guadalajara: Capital de las niñas y los niños")</f>
        <v>Guadalajara: Capital de las niñas y los niños</v>
      </c>
      <c r="E182" s="89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182" s="89" t="str">
        <f ca="1">IFERROR(__xludf.DUMMYFUNCTION("""COMPUTED_VALUE"""),"A2C2. Raciones alimentarias entregadas a NNA y sus cuidadores")</f>
        <v>A2C2. Raciones alimentarias entregadas a NNA y sus cuidadores</v>
      </c>
      <c r="G182" s="89" t="str">
        <f ca="1">IFERROR(__xludf.DUMMYFUNCTION("""COMPUTED_VALUE"""),"Porcentaje de raciones entregadas a NNA y sus cuidadores, en 2023")</f>
        <v>Porcentaje de raciones entregadas a NNA y sus cuidadores, en 2023</v>
      </c>
      <c r="H182" s="89" t="str">
        <f ca="1">IFERROR(__xludf.DUMMYFUNCTION("""COMPUTED_VALUE"""),"MUJ Diciembre")</f>
        <v>MUJ Diciembre</v>
      </c>
      <c r="I182" s="89" t="str">
        <f ca="1">IFERROR(__xludf.DUMMYFUNCTION("""COMPUTED_VALUE"""),"Diciembre")</f>
        <v>Diciembre</v>
      </c>
      <c r="J182" s="89" t="str">
        <f ca="1">IFERROR(__xludf.DUMMYFUNCTION("""COMPUTED_VALUE"""),"MUJ")</f>
        <v>MUJ</v>
      </c>
      <c r="K182" s="92">
        <f ca="1">IFERROR(__xludf.DUMMYFUNCTION("""COMPUTED_VALUE"""),99)</f>
        <v>99</v>
      </c>
      <c r="L182" s="89" t="str">
        <f ca="1">IFERROR(__xludf.DUMMYFUNCTION("""COMPUTED_VALUE"""),"TRIMESTRE 4")</f>
        <v>TRIMESTRE 4</v>
      </c>
      <c r="M182" s="89" t="str">
        <f ca="1">IFERROR(__xludf.DUMMYFUNCTION("""COMPUTED_VALUE"""),"MUJERES ADULTAS")</f>
        <v>MUJERES ADULTAS</v>
      </c>
    </row>
    <row r="183" spans="1:13">
      <c r="A183" s="89" t="str">
        <f ca="1">IFERROR(__xludf.DUMMYFUNCTION("""COMPUTED_VALUE"""),"4.1.2.2")</f>
        <v>4.1.2.2</v>
      </c>
      <c r="B183" s="89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183" s="89" t="str">
        <f ca="1">IFERROR(__xludf.DUMMYFUNCTION("""COMPUTED_VALUE"""),"4. Programas")</f>
        <v>4. Programas</v>
      </c>
      <c r="D183" s="89" t="str">
        <f ca="1">IFERROR(__xludf.DUMMYFUNCTION("""COMPUTED_VALUE"""),"Guadalajara: Capital de las niñas y los niños")</f>
        <v>Guadalajara: Capital de las niñas y los niños</v>
      </c>
      <c r="E183" s="89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183" s="89" t="str">
        <f ca="1">IFERROR(__xludf.DUMMYFUNCTION("""COMPUTED_VALUE"""),"A2C2. Raciones alimentarias entregadas a NNA y sus cuidadores")</f>
        <v>A2C2. Raciones alimentarias entregadas a NNA y sus cuidadores</v>
      </c>
      <c r="G183" s="89" t="str">
        <f ca="1">IFERROR(__xludf.DUMMYFUNCTION("""COMPUTED_VALUE"""),"Porcentaje de raciones entregadas a NNA y sus cuidadores, en 2023")</f>
        <v>Porcentaje de raciones entregadas a NNA y sus cuidadores, en 2023</v>
      </c>
      <c r="H183" s="89" t="str">
        <f ca="1">IFERROR(__xludf.DUMMYFUNCTION("""COMPUTED_VALUE"""),"HOM Diciembre")</f>
        <v>HOM Diciembre</v>
      </c>
      <c r="I183" s="89" t="str">
        <f ca="1">IFERROR(__xludf.DUMMYFUNCTION("""COMPUTED_VALUE"""),"Diciembre")</f>
        <v>Diciembre</v>
      </c>
      <c r="J183" s="89" t="str">
        <f ca="1">IFERROR(__xludf.DUMMYFUNCTION("""COMPUTED_VALUE"""),"HOM")</f>
        <v>HOM</v>
      </c>
      <c r="K183" s="92">
        <f ca="1">IFERROR(__xludf.DUMMYFUNCTION("""COMPUTED_VALUE"""),35)</f>
        <v>35</v>
      </c>
      <c r="L183" s="89" t="str">
        <f ca="1">IFERROR(__xludf.DUMMYFUNCTION("""COMPUTED_VALUE"""),"TRIMESTRE 4")</f>
        <v>TRIMESTRE 4</v>
      </c>
      <c r="M183" s="89" t="str">
        <f ca="1">IFERROR(__xludf.DUMMYFUNCTION("""COMPUTED_VALUE"""),"HOMBRES ADULTOS")</f>
        <v>HOMBRES ADULTOS</v>
      </c>
    </row>
    <row r="184" spans="1:13">
      <c r="A184" s="89" t="str">
        <f ca="1">IFERROR(__xludf.DUMMYFUNCTION("""COMPUTED_VALUE"""),"4.1.2.2")</f>
        <v>4.1.2.2</v>
      </c>
      <c r="B184" s="89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184" s="89" t="str">
        <f ca="1">IFERROR(__xludf.DUMMYFUNCTION("""COMPUTED_VALUE"""),"4. Programas")</f>
        <v>4. Programas</v>
      </c>
      <c r="D184" s="89" t="str">
        <f ca="1">IFERROR(__xludf.DUMMYFUNCTION("""COMPUTED_VALUE"""),"Guadalajara: Capital de las niñas y los niños")</f>
        <v>Guadalajara: Capital de las niñas y los niños</v>
      </c>
      <c r="E184" s="89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184" s="89" t="str">
        <f ca="1">IFERROR(__xludf.DUMMYFUNCTION("""COMPUTED_VALUE"""),"A2C2. Raciones alimentarias entregadas a NNA y sus cuidadores")</f>
        <v>A2C2. Raciones alimentarias entregadas a NNA y sus cuidadores</v>
      </c>
      <c r="G184" s="89" t="str">
        <f ca="1">IFERROR(__xludf.DUMMYFUNCTION("""COMPUTED_VALUE"""),"Porcentaje de raciones entregadas a NNA y sus cuidadores, en 2023")</f>
        <v>Porcentaje de raciones entregadas a NNA y sus cuidadores, en 2023</v>
      </c>
      <c r="H184" s="89" t="str">
        <f ca="1">IFERROR(__xludf.DUMMYFUNCTION("""COMPUTED_VALUE"""),"AMM Diciembre")</f>
        <v>AMM Diciembre</v>
      </c>
      <c r="I184" s="89" t="str">
        <f ca="1">IFERROR(__xludf.DUMMYFUNCTION("""COMPUTED_VALUE"""),"Diciembre")</f>
        <v>Diciembre</v>
      </c>
      <c r="J184" s="89" t="str">
        <f ca="1">IFERROR(__xludf.DUMMYFUNCTION("""COMPUTED_VALUE"""),"AMM")</f>
        <v>AMM</v>
      </c>
      <c r="K184" s="92">
        <f ca="1">IFERROR(__xludf.DUMMYFUNCTION("""COMPUTED_VALUE"""),1)</f>
        <v>1</v>
      </c>
      <c r="L184" s="89" t="str">
        <f ca="1">IFERROR(__xludf.DUMMYFUNCTION("""COMPUTED_VALUE"""),"TRIMESTRE 4")</f>
        <v>TRIMESTRE 4</v>
      </c>
      <c r="M184" s="89" t="str">
        <f ca="1">IFERROR(__xludf.DUMMYFUNCTION("""COMPUTED_VALUE"""),"ADULTA MAYOR MUJER")</f>
        <v>ADULTA MAYOR MUJER</v>
      </c>
    </row>
    <row r="185" spans="1:13">
      <c r="A185" s="89" t="str">
        <f ca="1">IFERROR(__xludf.DUMMYFUNCTION("""COMPUTED_VALUE"""),"4.1.2.2")</f>
        <v>4.1.2.2</v>
      </c>
      <c r="B185" s="89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185" s="89" t="str">
        <f ca="1">IFERROR(__xludf.DUMMYFUNCTION("""COMPUTED_VALUE"""),"4. Programas")</f>
        <v>4. Programas</v>
      </c>
      <c r="D185" s="89" t="str">
        <f ca="1">IFERROR(__xludf.DUMMYFUNCTION("""COMPUTED_VALUE"""),"Guadalajara: Capital de las niñas y los niños")</f>
        <v>Guadalajara: Capital de las niñas y los niños</v>
      </c>
      <c r="E185" s="89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185" s="89" t="str">
        <f ca="1">IFERROR(__xludf.DUMMYFUNCTION("""COMPUTED_VALUE"""),"A2C2. Raciones alimentarias entregadas a NNA y sus cuidadores")</f>
        <v>A2C2. Raciones alimentarias entregadas a NNA y sus cuidadores</v>
      </c>
      <c r="G185" s="89" t="str">
        <f ca="1">IFERROR(__xludf.DUMMYFUNCTION("""COMPUTED_VALUE"""),"Porcentaje de raciones entregadas a NNA y sus cuidadores, en 2023")</f>
        <v>Porcentaje de raciones entregadas a NNA y sus cuidadores, en 2023</v>
      </c>
      <c r="H185" s="89" t="str">
        <f ca="1">IFERROR(__xludf.DUMMYFUNCTION("""COMPUTED_VALUE"""),"AMH Diciembre")</f>
        <v>AMH Diciembre</v>
      </c>
      <c r="I185" s="89" t="str">
        <f ca="1">IFERROR(__xludf.DUMMYFUNCTION("""COMPUTED_VALUE"""),"Diciembre")</f>
        <v>Diciembre</v>
      </c>
      <c r="J185" s="89" t="str">
        <f ca="1">IFERROR(__xludf.DUMMYFUNCTION("""COMPUTED_VALUE"""),"AMH")</f>
        <v>AMH</v>
      </c>
      <c r="K185" s="92">
        <f ca="1">IFERROR(__xludf.DUMMYFUNCTION("""COMPUTED_VALUE"""),0)</f>
        <v>0</v>
      </c>
      <c r="L185" s="89" t="str">
        <f ca="1">IFERROR(__xludf.DUMMYFUNCTION("""COMPUTED_VALUE"""),"TRIMESTRE 4")</f>
        <v>TRIMESTRE 4</v>
      </c>
      <c r="M185" s="89" t="str">
        <f ca="1">IFERROR(__xludf.DUMMYFUNCTION("""COMPUTED_VALUE"""),"ADULTO MAYOR HOMBRE")</f>
        <v>ADULTO MAYOR HOMBRE</v>
      </c>
    </row>
    <row r="186" spans="1:13">
      <c r="A186" s="89" t="str">
        <f ca="1">IFERROR(__xludf.DUMMYFUNCTION("""COMPUTED_VALUE"""),"4.1.2.3")</f>
        <v>4.1.2.3</v>
      </c>
      <c r="B186" s="89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186" s="89" t="str">
        <f ca="1">IFERROR(__xludf.DUMMYFUNCTION("""COMPUTED_VALUE"""),"4. Programas")</f>
        <v>4. Programas</v>
      </c>
      <c r="D186" s="89" t="str">
        <f ca="1">IFERROR(__xludf.DUMMYFUNCTION("""COMPUTED_VALUE"""),"Guadalajara: Capital de las niñas y los niños")</f>
        <v>Guadalajara: Capital de las niñas y los niños</v>
      </c>
      <c r="E186" s="89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186" s="89" t="str">
        <f ca="1">IFERROR(__xludf.DUMMYFUNCTION("""COMPUTED_VALUE"""),"A3C2. Apoyos asistenciales entregados a madres en etapa adolescente")</f>
        <v>A3C2. Apoyos asistenciales entregados a madres en etapa adolescente</v>
      </c>
      <c r="G186" s="89" t="str">
        <f ca="1">IFERROR(__xludf.DUMMYFUNCTION("""COMPUTED_VALUE"""),"Apoyos asistenciales entregados a madres adolescentes, en 2023")</f>
        <v>Apoyos asistenciales entregados a madres adolescentes, en 2023</v>
      </c>
      <c r="H186" s="89" t="str">
        <f ca="1">IFERROR(__xludf.DUMMYFUNCTION("""COMPUTED_VALUE"""),"NAS Diciembre")</f>
        <v>NAS Diciembre</v>
      </c>
      <c r="I186" s="89" t="str">
        <f ca="1">IFERROR(__xludf.DUMMYFUNCTION("""COMPUTED_VALUE"""),"Diciembre")</f>
        <v>Diciembre</v>
      </c>
      <c r="J186" s="89" t="str">
        <f ca="1">IFERROR(__xludf.DUMMYFUNCTION("""COMPUTED_VALUE"""),"NAS")</f>
        <v>NAS</v>
      </c>
      <c r="K186" s="92"/>
      <c r="L186" s="89" t="str">
        <f ca="1">IFERROR(__xludf.DUMMYFUNCTION("""COMPUTED_VALUE"""),"TRIMESTRE 4")</f>
        <v>TRIMESTRE 4</v>
      </c>
      <c r="M186" s="89" t="str">
        <f ca="1">IFERROR(__xludf.DUMMYFUNCTION("""COMPUTED_VALUE"""),"NIÑAS")</f>
        <v>NIÑAS</v>
      </c>
    </row>
    <row r="187" spans="1:13">
      <c r="A187" s="89" t="str">
        <f ca="1">IFERROR(__xludf.DUMMYFUNCTION("""COMPUTED_VALUE"""),"4.1.2.3")</f>
        <v>4.1.2.3</v>
      </c>
      <c r="B187" s="89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187" s="89" t="str">
        <f ca="1">IFERROR(__xludf.DUMMYFUNCTION("""COMPUTED_VALUE"""),"4. Programas")</f>
        <v>4. Programas</v>
      </c>
      <c r="D187" s="89" t="str">
        <f ca="1">IFERROR(__xludf.DUMMYFUNCTION("""COMPUTED_VALUE"""),"Guadalajara: Capital de las niñas y los niños")</f>
        <v>Guadalajara: Capital de las niñas y los niños</v>
      </c>
      <c r="E187" s="89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187" s="89" t="str">
        <f ca="1">IFERROR(__xludf.DUMMYFUNCTION("""COMPUTED_VALUE"""),"A3C2. Apoyos asistenciales entregados a madres en etapa adolescente")</f>
        <v>A3C2. Apoyos asistenciales entregados a madres en etapa adolescente</v>
      </c>
      <c r="G187" s="89" t="str">
        <f ca="1">IFERROR(__xludf.DUMMYFUNCTION("""COMPUTED_VALUE"""),"Apoyos asistenciales entregados a madres adolescentes, en 2023")</f>
        <v>Apoyos asistenciales entregados a madres adolescentes, en 2023</v>
      </c>
      <c r="H187" s="89" t="str">
        <f ca="1">IFERROR(__xludf.DUMMYFUNCTION("""COMPUTED_VALUE"""),"NOS Diciembre")</f>
        <v>NOS Diciembre</v>
      </c>
      <c r="I187" s="89" t="str">
        <f ca="1">IFERROR(__xludf.DUMMYFUNCTION("""COMPUTED_VALUE"""),"Diciembre")</f>
        <v>Diciembre</v>
      </c>
      <c r="J187" s="89" t="str">
        <f ca="1">IFERROR(__xludf.DUMMYFUNCTION("""COMPUTED_VALUE"""),"NOS")</f>
        <v>NOS</v>
      </c>
      <c r="K187" s="92"/>
      <c r="L187" s="89" t="str">
        <f ca="1">IFERROR(__xludf.DUMMYFUNCTION("""COMPUTED_VALUE"""),"TRIMESTRE 4")</f>
        <v>TRIMESTRE 4</v>
      </c>
      <c r="M187" s="89" t="str">
        <f ca="1">IFERROR(__xludf.DUMMYFUNCTION("""COMPUTED_VALUE"""),"NIÑOS")</f>
        <v>NIÑOS</v>
      </c>
    </row>
    <row r="188" spans="1:13">
      <c r="A188" s="89" t="str">
        <f ca="1">IFERROR(__xludf.DUMMYFUNCTION("""COMPUTED_VALUE"""),"4.1.2.3")</f>
        <v>4.1.2.3</v>
      </c>
      <c r="B188" s="89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188" s="89" t="str">
        <f ca="1">IFERROR(__xludf.DUMMYFUNCTION("""COMPUTED_VALUE"""),"4. Programas")</f>
        <v>4. Programas</v>
      </c>
      <c r="D188" s="89" t="str">
        <f ca="1">IFERROR(__xludf.DUMMYFUNCTION("""COMPUTED_VALUE"""),"Guadalajara: Capital de las niñas y los niños")</f>
        <v>Guadalajara: Capital de las niñas y los niños</v>
      </c>
      <c r="E188" s="89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188" s="89" t="str">
        <f ca="1">IFERROR(__xludf.DUMMYFUNCTION("""COMPUTED_VALUE"""),"A3C2. Apoyos asistenciales entregados a madres en etapa adolescente")</f>
        <v>A3C2. Apoyos asistenciales entregados a madres en etapa adolescente</v>
      </c>
      <c r="G188" s="89" t="str">
        <f ca="1">IFERROR(__xludf.DUMMYFUNCTION("""COMPUTED_VALUE"""),"Apoyos asistenciales entregados a madres adolescentes, en 2023")</f>
        <v>Apoyos asistenciales entregados a madres adolescentes, en 2023</v>
      </c>
      <c r="H188" s="89" t="str">
        <f ca="1">IFERROR(__xludf.DUMMYFUNCTION("""COMPUTED_VALUE"""),"AM DICIEMBRE")</f>
        <v>AM DICIEMBRE</v>
      </c>
      <c r="I188" s="89" t="str">
        <f ca="1">IFERROR(__xludf.DUMMYFUNCTION("""COMPUTED_VALUE"""),"Diciembre")</f>
        <v>Diciembre</v>
      </c>
      <c r="J188" s="89" t="str">
        <f ca="1">IFERROR(__xludf.DUMMYFUNCTION("""COMPUTED_VALUE"""),"AM")</f>
        <v>AM</v>
      </c>
      <c r="K188" s="92"/>
      <c r="L188" s="89" t="str">
        <f ca="1">IFERROR(__xludf.DUMMYFUNCTION("""COMPUTED_VALUE"""),"TRIMESTRE 4")</f>
        <v>TRIMESTRE 4</v>
      </c>
      <c r="M188" s="89" t="str">
        <f ca="1">IFERROR(__xludf.DUMMYFUNCTION("""COMPUTED_VALUE"""),"ADOLESCENTES MUJERES")</f>
        <v>ADOLESCENTES MUJERES</v>
      </c>
    </row>
    <row r="189" spans="1:13">
      <c r="A189" s="89" t="str">
        <f ca="1">IFERROR(__xludf.DUMMYFUNCTION("""COMPUTED_VALUE"""),"4.1.2.3")</f>
        <v>4.1.2.3</v>
      </c>
      <c r="B189" s="89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189" s="89" t="str">
        <f ca="1">IFERROR(__xludf.DUMMYFUNCTION("""COMPUTED_VALUE"""),"4. Programas")</f>
        <v>4. Programas</v>
      </c>
      <c r="D189" s="89" t="str">
        <f ca="1">IFERROR(__xludf.DUMMYFUNCTION("""COMPUTED_VALUE"""),"Guadalajara: Capital de las niñas y los niños")</f>
        <v>Guadalajara: Capital de las niñas y los niños</v>
      </c>
      <c r="E189" s="89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189" s="89" t="str">
        <f ca="1">IFERROR(__xludf.DUMMYFUNCTION("""COMPUTED_VALUE"""),"A3C2. Apoyos asistenciales entregados a madres en etapa adolescente")</f>
        <v>A3C2. Apoyos asistenciales entregados a madres en etapa adolescente</v>
      </c>
      <c r="G189" s="89" t="str">
        <f ca="1">IFERROR(__xludf.DUMMYFUNCTION("""COMPUTED_VALUE"""),"Apoyos asistenciales entregados a madres adolescentes, en 2023")</f>
        <v>Apoyos asistenciales entregados a madres adolescentes, en 2023</v>
      </c>
      <c r="H189" s="89" t="str">
        <f ca="1">IFERROR(__xludf.DUMMYFUNCTION("""COMPUTED_VALUE"""),"AH DICIEMBRE")</f>
        <v>AH DICIEMBRE</v>
      </c>
      <c r="I189" s="89" t="str">
        <f ca="1">IFERROR(__xludf.DUMMYFUNCTION("""COMPUTED_VALUE"""),"Diciembre")</f>
        <v>Diciembre</v>
      </c>
      <c r="J189" s="89" t="str">
        <f ca="1">IFERROR(__xludf.DUMMYFUNCTION("""COMPUTED_VALUE"""),"AH")</f>
        <v>AH</v>
      </c>
      <c r="K189" s="92"/>
      <c r="L189" s="89" t="str">
        <f ca="1">IFERROR(__xludf.DUMMYFUNCTION("""COMPUTED_VALUE"""),"TRIMESTRE 4")</f>
        <v>TRIMESTRE 4</v>
      </c>
      <c r="M189" s="89" t="str">
        <f ca="1">IFERROR(__xludf.DUMMYFUNCTION("""COMPUTED_VALUE"""),"ADOLESCENTES HOMBRES")</f>
        <v>ADOLESCENTES HOMBRES</v>
      </c>
    </row>
    <row r="190" spans="1:13">
      <c r="A190" s="89" t="str">
        <f ca="1">IFERROR(__xludf.DUMMYFUNCTION("""COMPUTED_VALUE"""),"4.1.2.3")</f>
        <v>4.1.2.3</v>
      </c>
      <c r="B190" s="89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190" s="89" t="str">
        <f ca="1">IFERROR(__xludf.DUMMYFUNCTION("""COMPUTED_VALUE"""),"4. Programas")</f>
        <v>4. Programas</v>
      </c>
      <c r="D190" s="89" t="str">
        <f ca="1">IFERROR(__xludf.DUMMYFUNCTION("""COMPUTED_VALUE"""),"Guadalajara: Capital de las niñas y los niños")</f>
        <v>Guadalajara: Capital de las niñas y los niños</v>
      </c>
      <c r="E190" s="89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190" s="89" t="str">
        <f ca="1">IFERROR(__xludf.DUMMYFUNCTION("""COMPUTED_VALUE"""),"A3C2. Apoyos asistenciales entregados a madres en etapa adolescente")</f>
        <v>A3C2. Apoyos asistenciales entregados a madres en etapa adolescente</v>
      </c>
      <c r="G190" s="89" t="str">
        <f ca="1">IFERROR(__xludf.DUMMYFUNCTION("""COMPUTED_VALUE"""),"Apoyos asistenciales entregados a madres adolescentes, en 2023")</f>
        <v>Apoyos asistenciales entregados a madres adolescentes, en 2023</v>
      </c>
      <c r="H190" s="89" t="str">
        <f ca="1">IFERROR(__xludf.DUMMYFUNCTION("""COMPUTED_VALUE"""),"MUJ Diciembre")</f>
        <v>MUJ Diciembre</v>
      </c>
      <c r="I190" s="89" t="str">
        <f ca="1">IFERROR(__xludf.DUMMYFUNCTION("""COMPUTED_VALUE"""),"Diciembre")</f>
        <v>Diciembre</v>
      </c>
      <c r="J190" s="89" t="str">
        <f ca="1">IFERROR(__xludf.DUMMYFUNCTION("""COMPUTED_VALUE"""),"MUJ")</f>
        <v>MUJ</v>
      </c>
      <c r="K190" s="92"/>
      <c r="L190" s="89" t="str">
        <f ca="1">IFERROR(__xludf.DUMMYFUNCTION("""COMPUTED_VALUE"""),"TRIMESTRE 4")</f>
        <v>TRIMESTRE 4</v>
      </c>
      <c r="M190" s="89" t="str">
        <f ca="1">IFERROR(__xludf.DUMMYFUNCTION("""COMPUTED_VALUE"""),"MUJERES ADULTAS")</f>
        <v>MUJERES ADULTAS</v>
      </c>
    </row>
    <row r="191" spans="1:13">
      <c r="A191" s="89" t="str">
        <f ca="1">IFERROR(__xludf.DUMMYFUNCTION("""COMPUTED_VALUE"""),"4.1.2.3")</f>
        <v>4.1.2.3</v>
      </c>
      <c r="B191" s="89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191" s="89" t="str">
        <f ca="1">IFERROR(__xludf.DUMMYFUNCTION("""COMPUTED_VALUE"""),"4. Programas")</f>
        <v>4. Programas</v>
      </c>
      <c r="D191" s="89" t="str">
        <f ca="1">IFERROR(__xludf.DUMMYFUNCTION("""COMPUTED_VALUE"""),"Guadalajara: Capital de las niñas y los niños")</f>
        <v>Guadalajara: Capital de las niñas y los niños</v>
      </c>
      <c r="E191" s="89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191" s="89" t="str">
        <f ca="1">IFERROR(__xludf.DUMMYFUNCTION("""COMPUTED_VALUE"""),"A3C2. Apoyos asistenciales entregados a madres en etapa adolescente")</f>
        <v>A3C2. Apoyos asistenciales entregados a madres en etapa adolescente</v>
      </c>
      <c r="G191" s="89" t="str">
        <f ca="1">IFERROR(__xludf.DUMMYFUNCTION("""COMPUTED_VALUE"""),"Apoyos asistenciales entregados a madres adolescentes, en 2023")</f>
        <v>Apoyos asistenciales entregados a madres adolescentes, en 2023</v>
      </c>
      <c r="H191" s="89" t="str">
        <f ca="1">IFERROR(__xludf.DUMMYFUNCTION("""COMPUTED_VALUE"""),"HOM Diciembre")</f>
        <v>HOM Diciembre</v>
      </c>
      <c r="I191" s="89" t="str">
        <f ca="1">IFERROR(__xludf.DUMMYFUNCTION("""COMPUTED_VALUE"""),"Diciembre")</f>
        <v>Diciembre</v>
      </c>
      <c r="J191" s="89" t="str">
        <f ca="1">IFERROR(__xludf.DUMMYFUNCTION("""COMPUTED_VALUE"""),"HOM")</f>
        <v>HOM</v>
      </c>
      <c r="K191" s="92"/>
      <c r="L191" s="89" t="str">
        <f ca="1">IFERROR(__xludf.DUMMYFUNCTION("""COMPUTED_VALUE"""),"TRIMESTRE 4")</f>
        <v>TRIMESTRE 4</v>
      </c>
      <c r="M191" s="89" t="str">
        <f ca="1">IFERROR(__xludf.DUMMYFUNCTION("""COMPUTED_VALUE"""),"HOMBRES ADULTOS")</f>
        <v>HOMBRES ADULTOS</v>
      </c>
    </row>
    <row r="192" spans="1:13">
      <c r="A192" s="89" t="str">
        <f ca="1">IFERROR(__xludf.DUMMYFUNCTION("""COMPUTED_VALUE"""),"4.1.2.3")</f>
        <v>4.1.2.3</v>
      </c>
      <c r="B192" s="89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192" s="89" t="str">
        <f ca="1">IFERROR(__xludf.DUMMYFUNCTION("""COMPUTED_VALUE"""),"4. Programas")</f>
        <v>4. Programas</v>
      </c>
      <c r="D192" s="89" t="str">
        <f ca="1">IFERROR(__xludf.DUMMYFUNCTION("""COMPUTED_VALUE"""),"Guadalajara: Capital de las niñas y los niños")</f>
        <v>Guadalajara: Capital de las niñas y los niños</v>
      </c>
      <c r="E192" s="89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192" s="89" t="str">
        <f ca="1">IFERROR(__xludf.DUMMYFUNCTION("""COMPUTED_VALUE"""),"A3C2. Apoyos asistenciales entregados a madres en etapa adolescente")</f>
        <v>A3C2. Apoyos asistenciales entregados a madres en etapa adolescente</v>
      </c>
      <c r="G192" s="89" t="str">
        <f ca="1">IFERROR(__xludf.DUMMYFUNCTION("""COMPUTED_VALUE"""),"Apoyos asistenciales entregados a madres adolescentes, en 2023")</f>
        <v>Apoyos asistenciales entregados a madres adolescentes, en 2023</v>
      </c>
      <c r="H192" s="89" t="str">
        <f ca="1">IFERROR(__xludf.DUMMYFUNCTION("""COMPUTED_VALUE"""),"AMM Diciembre")</f>
        <v>AMM Diciembre</v>
      </c>
      <c r="I192" s="89" t="str">
        <f ca="1">IFERROR(__xludf.DUMMYFUNCTION("""COMPUTED_VALUE"""),"Diciembre")</f>
        <v>Diciembre</v>
      </c>
      <c r="J192" s="89" t="str">
        <f ca="1">IFERROR(__xludf.DUMMYFUNCTION("""COMPUTED_VALUE"""),"AMM")</f>
        <v>AMM</v>
      </c>
      <c r="K192" s="92"/>
      <c r="L192" s="89" t="str">
        <f ca="1">IFERROR(__xludf.DUMMYFUNCTION("""COMPUTED_VALUE"""),"TRIMESTRE 4")</f>
        <v>TRIMESTRE 4</v>
      </c>
      <c r="M192" s="89" t="str">
        <f ca="1">IFERROR(__xludf.DUMMYFUNCTION("""COMPUTED_VALUE"""),"ADULTA MAYOR MUJER")</f>
        <v>ADULTA MAYOR MUJER</v>
      </c>
    </row>
    <row r="193" spans="1:13">
      <c r="A193" s="89" t="str">
        <f ca="1">IFERROR(__xludf.DUMMYFUNCTION("""COMPUTED_VALUE"""),"4.1.2.3")</f>
        <v>4.1.2.3</v>
      </c>
      <c r="B193" s="89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193" s="89" t="str">
        <f ca="1">IFERROR(__xludf.DUMMYFUNCTION("""COMPUTED_VALUE"""),"4. Programas")</f>
        <v>4. Programas</v>
      </c>
      <c r="D193" s="89" t="str">
        <f ca="1">IFERROR(__xludf.DUMMYFUNCTION("""COMPUTED_VALUE"""),"Guadalajara: Capital de las niñas y los niños")</f>
        <v>Guadalajara: Capital de las niñas y los niños</v>
      </c>
      <c r="E193" s="89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193" s="89" t="str">
        <f ca="1">IFERROR(__xludf.DUMMYFUNCTION("""COMPUTED_VALUE"""),"A3C2. Apoyos asistenciales entregados a madres en etapa adolescente")</f>
        <v>A3C2. Apoyos asistenciales entregados a madres en etapa adolescente</v>
      </c>
      <c r="G193" s="89" t="str">
        <f ca="1">IFERROR(__xludf.DUMMYFUNCTION("""COMPUTED_VALUE"""),"Apoyos asistenciales entregados a madres adolescentes, en 2023")</f>
        <v>Apoyos asistenciales entregados a madres adolescentes, en 2023</v>
      </c>
      <c r="H193" s="89" t="str">
        <f ca="1">IFERROR(__xludf.DUMMYFUNCTION("""COMPUTED_VALUE"""),"AMH Diciembre")</f>
        <v>AMH Diciembre</v>
      </c>
      <c r="I193" s="89" t="str">
        <f ca="1">IFERROR(__xludf.DUMMYFUNCTION("""COMPUTED_VALUE"""),"Diciembre")</f>
        <v>Diciembre</v>
      </c>
      <c r="J193" s="89" t="str">
        <f ca="1">IFERROR(__xludf.DUMMYFUNCTION("""COMPUTED_VALUE"""),"AMH")</f>
        <v>AMH</v>
      </c>
      <c r="K193" s="92"/>
      <c r="L193" s="89" t="str">
        <f ca="1">IFERROR(__xludf.DUMMYFUNCTION("""COMPUTED_VALUE"""),"TRIMESTRE 4")</f>
        <v>TRIMESTRE 4</v>
      </c>
      <c r="M193" s="89" t="str">
        <f ca="1">IFERROR(__xludf.DUMMYFUNCTION("""COMPUTED_VALUE"""),"ADULTO MAYOR HOMBRE")</f>
        <v>ADULTO MAYOR HOMBRE</v>
      </c>
    </row>
    <row r="194" spans="1:13">
      <c r="A194" s="89" t="str">
        <f ca="1">IFERROR(__xludf.DUMMYFUNCTION("""COMPUTED_VALUE"""),"4.1.3.0")</f>
        <v>4.1.3.0</v>
      </c>
      <c r="B194" s="89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194" s="89" t="str">
        <f ca="1">IFERROR(__xludf.DUMMYFUNCTION("""COMPUTED_VALUE"""),"4. Programas")</f>
        <v>4. Programas</v>
      </c>
      <c r="D194" s="89" t="str">
        <f ca="1">IFERROR(__xludf.DUMMYFUNCTION("""COMPUTED_VALUE"""),"Guadalajara: Capital de las niñas y los niños")</f>
        <v>Guadalajara: Capital de las niñas y los niños</v>
      </c>
      <c r="E194" s="89" t="str">
        <f ca="1">IFERROR(__xludf.DUMMYFUNCTION("""COMPUTED_VALUE"""),"Custodia, tutela, adopciones y acogimiento familiar")</f>
        <v>Custodia, tutela, adopciones y acogimiento familiar</v>
      </c>
      <c r="F194" s="89" t="str">
        <f ca="1">IFERROR(__xludf.DUMMYFUNCTION("""COMPUTED_VALUE"""),"C3. NNA del municipio de Guadalajara que recibieron servicios para la protección y restitución de sus derechos")</f>
        <v>C3. NNA del municipio de Guadalajara que recibieron servicios para la protección y restitución de sus derechos</v>
      </c>
      <c r="G194" s="89" t="str">
        <f ca="1">IFERROR(__xludf.DUMMYFUNCTION("""COMPUTED_VALUE"""),"Porcentaje de NNA con al menos un derecho protegido y/o restituido por la DIPNNA, en 2023")</f>
        <v>Porcentaje de NNA con al menos un derecho protegido y/o restituido por la DIPNNA, en 2023</v>
      </c>
      <c r="H194" s="89" t="str">
        <f ca="1">IFERROR(__xludf.DUMMYFUNCTION("""COMPUTED_VALUE"""),"NAS enero")</f>
        <v>NAS enero</v>
      </c>
      <c r="I194" s="89" t="str">
        <f ca="1">IFERROR(__xludf.DUMMYFUNCTION("""COMPUTED_VALUE"""),"Enero")</f>
        <v>Enero</v>
      </c>
      <c r="J194" s="89" t="str">
        <f ca="1">IFERROR(__xludf.DUMMYFUNCTION("""COMPUTED_VALUE"""),"NAS")</f>
        <v>NAS</v>
      </c>
      <c r="K194" s="92">
        <f ca="1">IFERROR(__xludf.DUMMYFUNCTION("""COMPUTED_VALUE"""),33)</f>
        <v>33</v>
      </c>
      <c r="L194" s="89" t="str">
        <f ca="1">IFERROR(__xludf.DUMMYFUNCTION("""COMPUTED_VALUE"""),"TRIMESTRE 1")</f>
        <v>TRIMESTRE 1</v>
      </c>
      <c r="M194" s="89" t="str">
        <f ca="1">IFERROR(__xludf.DUMMYFUNCTION("""COMPUTED_VALUE"""),"NIÑAS")</f>
        <v>NIÑAS</v>
      </c>
    </row>
    <row r="195" spans="1:13">
      <c r="A195" s="89" t="str">
        <f ca="1">IFERROR(__xludf.DUMMYFUNCTION("""COMPUTED_VALUE"""),"4.1.3.0")</f>
        <v>4.1.3.0</v>
      </c>
      <c r="B195" s="89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195" s="89" t="str">
        <f ca="1">IFERROR(__xludf.DUMMYFUNCTION("""COMPUTED_VALUE"""),"4. Programas")</f>
        <v>4. Programas</v>
      </c>
      <c r="D195" s="89" t="str">
        <f ca="1">IFERROR(__xludf.DUMMYFUNCTION("""COMPUTED_VALUE"""),"Guadalajara: Capital de las niñas y los niños")</f>
        <v>Guadalajara: Capital de las niñas y los niños</v>
      </c>
      <c r="E195" s="89" t="str">
        <f ca="1">IFERROR(__xludf.DUMMYFUNCTION("""COMPUTED_VALUE"""),"Custodia, tutela, adopciones y acogimiento familiar")</f>
        <v>Custodia, tutela, adopciones y acogimiento familiar</v>
      </c>
      <c r="F195" s="89" t="str">
        <f ca="1">IFERROR(__xludf.DUMMYFUNCTION("""COMPUTED_VALUE"""),"C3. NNA del municipio de Guadalajara que recibieron servicios para la protección y restitución de sus derechos")</f>
        <v>C3. NNA del municipio de Guadalajara que recibieron servicios para la protección y restitución de sus derechos</v>
      </c>
      <c r="G195" s="89" t="str">
        <f ca="1">IFERROR(__xludf.DUMMYFUNCTION("""COMPUTED_VALUE"""),"Porcentaje de NNA con al menos un derecho protegido y/o restituido por la DIPNNA, en 2023")</f>
        <v>Porcentaje de NNA con al menos un derecho protegido y/o restituido por la DIPNNA, en 2023</v>
      </c>
      <c r="H195" s="89" t="str">
        <f ca="1">IFERROR(__xludf.DUMMYFUNCTION("""COMPUTED_VALUE"""),"NOS enero")</f>
        <v>NOS enero</v>
      </c>
      <c r="I195" s="89" t="str">
        <f ca="1">IFERROR(__xludf.DUMMYFUNCTION("""COMPUTED_VALUE"""),"Enero")</f>
        <v>Enero</v>
      </c>
      <c r="J195" s="89" t="str">
        <f ca="1">IFERROR(__xludf.DUMMYFUNCTION("""COMPUTED_VALUE"""),"NOS")</f>
        <v>NOS</v>
      </c>
      <c r="K195" s="92">
        <f ca="1">IFERROR(__xludf.DUMMYFUNCTION("""COMPUTED_VALUE"""),30)</f>
        <v>30</v>
      </c>
      <c r="L195" s="89" t="str">
        <f ca="1">IFERROR(__xludf.DUMMYFUNCTION("""COMPUTED_VALUE"""),"TRIMESTRE 1")</f>
        <v>TRIMESTRE 1</v>
      </c>
      <c r="M195" s="89" t="str">
        <f ca="1">IFERROR(__xludf.DUMMYFUNCTION("""COMPUTED_VALUE"""),"NIÑOS")</f>
        <v>NIÑOS</v>
      </c>
    </row>
    <row r="196" spans="1:13">
      <c r="A196" s="89" t="str">
        <f ca="1">IFERROR(__xludf.DUMMYFUNCTION("""COMPUTED_VALUE"""),"4.1.3.0")</f>
        <v>4.1.3.0</v>
      </c>
      <c r="B196" s="89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196" s="89" t="str">
        <f ca="1">IFERROR(__xludf.DUMMYFUNCTION("""COMPUTED_VALUE"""),"4. Programas")</f>
        <v>4. Programas</v>
      </c>
      <c r="D196" s="89" t="str">
        <f ca="1">IFERROR(__xludf.DUMMYFUNCTION("""COMPUTED_VALUE"""),"Guadalajara: Capital de las niñas y los niños")</f>
        <v>Guadalajara: Capital de las niñas y los niños</v>
      </c>
      <c r="E196" s="89" t="str">
        <f ca="1">IFERROR(__xludf.DUMMYFUNCTION("""COMPUTED_VALUE"""),"Custodia, tutela, adopciones y acogimiento familiar")</f>
        <v>Custodia, tutela, adopciones y acogimiento familiar</v>
      </c>
      <c r="F196" s="89" t="str">
        <f ca="1">IFERROR(__xludf.DUMMYFUNCTION("""COMPUTED_VALUE"""),"C3. NNA del municipio de Guadalajara que recibieron servicios para la protección y restitución de sus derechos")</f>
        <v>C3. NNA del municipio de Guadalajara que recibieron servicios para la protección y restitución de sus derechos</v>
      </c>
      <c r="G196" s="89" t="str">
        <f ca="1">IFERROR(__xludf.DUMMYFUNCTION("""COMPUTED_VALUE"""),"Porcentaje de NNA con al menos un derecho protegido y/o restituido por la DIPNNA, en 2023")</f>
        <v>Porcentaje de NNA con al menos un derecho protegido y/o restituido por la DIPNNA, en 2023</v>
      </c>
      <c r="H196" s="89" t="str">
        <f ca="1">IFERROR(__xludf.DUMMYFUNCTION("""COMPUTED_VALUE"""),"AM enero")</f>
        <v>AM enero</v>
      </c>
      <c r="I196" s="89" t="str">
        <f ca="1">IFERROR(__xludf.DUMMYFUNCTION("""COMPUTED_VALUE"""),"Enero")</f>
        <v>Enero</v>
      </c>
      <c r="J196" s="89" t="str">
        <f ca="1">IFERROR(__xludf.DUMMYFUNCTION("""COMPUTED_VALUE"""),"AM")</f>
        <v>AM</v>
      </c>
      <c r="K196" s="92">
        <f ca="1">IFERROR(__xludf.DUMMYFUNCTION("""COMPUTED_VALUE"""),5)</f>
        <v>5</v>
      </c>
      <c r="L196" s="89" t="str">
        <f ca="1">IFERROR(__xludf.DUMMYFUNCTION("""COMPUTED_VALUE"""),"TRIMESTRE 1")</f>
        <v>TRIMESTRE 1</v>
      </c>
      <c r="M196" s="89" t="str">
        <f ca="1">IFERROR(__xludf.DUMMYFUNCTION("""COMPUTED_VALUE"""),"ADOLESCENTES MUJERES")</f>
        <v>ADOLESCENTES MUJERES</v>
      </c>
    </row>
    <row r="197" spans="1:13">
      <c r="A197" s="89" t="str">
        <f ca="1">IFERROR(__xludf.DUMMYFUNCTION("""COMPUTED_VALUE"""),"4.1.3.0")</f>
        <v>4.1.3.0</v>
      </c>
      <c r="B197" s="89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197" s="89" t="str">
        <f ca="1">IFERROR(__xludf.DUMMYFUNCTION("""COMPUTED_VALUE"""),"4. Programas")</f>
        <v>4. Programas</v>
      </c>
      <c r="D197" s="89" t="str">
        <f ca="1">IFERROR(__xludf.DUMMYFUNCTION("""COMPUTED_VALUE"""),"Guadalajara: Capital de las niñas y los niños")</f>
        <v>Guadalajara: Capital de las niñas y los niños</v>
      </c>
      <c r="E197" s="89" t="str">
        <f ca="1">IFERROR(__xludf.DUMMYFUNCTION("""COMPUTED_VALUE"""),"Custodia, tutela, adopciones y acogimiento familiar")</f>
        <v>Custodia, tutela, adopciones y acogimiento familiar</v>
      </c>
      <c r="F197" s="89" t="str">
        <f ca="1">IFERROR(__xludf.DUMMYFUNCTION("""COMPUTED_VALUE"""),"C3. NNA del municipio de Guadalajara que recibieron servicios para la protección y restitución de sus derechos")</f>
        <v>C3. NNA del municipio de Guadalajara que recibieron servicios para la protección y restitución de sus derechos</v>
      </c>
      <c r="G197" s="89" t="str">
        <f ca="1">IFERROR(__xludf.DUMMYFUNCTION("""COMPUTED_VALUE"""),"Porcentaje de NNA con al menos un derecho protegido y/o restituido por la DIPNNA, en 2023")</f>
        <v>Porcentaje de NNA con al menos un derecho protegido y/o restituido por la DIPNNA, en 2023</v>
      </c>
      <c r="H197" s="89" t="str">
        <f ca="1">IFERROR(__xludf.DUMMYFUNCTION("""COMPUTED_VALUE"""),"AH enero")</f>
        <v>AH enero</v>
      </c>
      <c r="I197" s="89" t="str">
        <f ca="1">IFERROR(__xludf.DUMMYFUNCTION("""COMPUTED_VALUE"""),"Enero")</f>
        <v>Enero</v>
      </c>
      <c r="J197" s="89" t="str">
        <f ca="1">IFERROR(__xludf.DUMMYFUNCTION("""COMPUTED_VALUE"""),"AH")</f>
        <v>AH</v>
      </c>
      <c r="K197" s="92">
        <f ca="1">IFERROR(__xludf.DUMMYFUNCTION("""COMPUTED_VALUE"""),5)</f>
        <v>5</v>
      </c>
      <c r="L197" s="89" t="str">
        <f ca="1">IFERROR(__xludf.DUMMYFUNCTION("""COMPUTED_VALUE"""),"TRIMESTRE 1")</f>
        <v>TRIMESTRE 1</v>
      </c>
      <c r="M197" s="89" t="str">
        <f ca="1">IFERROR(__xludf.DUMMYFUNCTION("""COMPUTED_VALUE"""),"ADOLESCENTES HOMBRES")</f>
        <v>ADOLESCENTES HOMBRES</v>
      </c>
    </row>
    <row r="198" spans="1:13">
      <c r="A198" s="89" t="str">
        <f ca="1">IFERROR(__xludf.DUMMYFUNCTION("""COMPUTED_VALUE"""),"4.1.3.0")</f>
        <v>4.1.3.0</v>
      </c>
      <c r="B198" s="89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198" s="89" t="str">
        <f ca="1">IFERROR(__xludf.DUMMYFUNCTION("""COMPUTED_VALUE"""),"4. Programas")</f>
        <v>4. Programas</v>
      </c>
      <c r="D198" s="89" t="str">
        <f ca="1">IFERROR(__xludf.DUMMYFUNCTION("""COMPUTED_VALUE"""),"Guadalajara: Capital de las niñas y los niños")</f>
        <v>Guadalajara: Capital de las niñas y los niños</v>
      </c>
      <c r="E198" s="89" t="str">
        <f ca="1">IFERROR(__xludf.DUMMYFUNCTION("""COMPUTED_VALUE"""),"Custodia, tutela, adopciones y acogimiento familiar")</f>
        <v>Custodia, tutela, adopciones y acogimiento familiar</v>
      </c>
      <c r="F198" s="89" t="str">
        <f ca="1">IFERROR(__xludf.DUMMYFUNCTION("""COMPUTED_VALUE"""),"C3. NNA del municipio de Guadalajara que recibieron servicios para la protección y restitución de sus derechos")</f>
        <v>C3. NNA del municipio de Guadalajara que recibieron servicios para la protección y restitución de sus derechos</v>
      </c>
      <c r="G198" s="89" t="str">
        <f ca="1">IFERROR(__xludf.DUMMYFUNCTION("""COMPUTED_VALUE"""),"Porcentaje de NNA con al menos un derecho protegido y/o restituido por la DIPNNA, en 2023")</f>
        <v>Porcentaje de NNA con al menos un derecho protegido y/o restituido por la DIPNNA, en 2023</v>
      </c>
      <c r="H198" s="89" t="str">
        <f ca="1">IFERROR(__xludf.DUMMYFUNCTION("""COMPUTED_VALUE"""),"MUJ enero")</f>
        <v>MUJ enero</v>
      </c>
      <c r="I198" s="89" t="str">
        <f ca="1">IFERROR(__xludf.DUMMYFUNCTION("""COMPUTED_VALUE"""),"Enero")</f>
        <v>Enero</v>
      </c>
      <c r="J198" s="89" t="str">
        <f ca="1">IFERROR(__xludf.DUMMYFUNCTION("""COMPUTED_VALUE"""),"MUJ")</f>
        <v>MUJ</v>
      </c>
      <c r="K198" s="92"/>
      <c r="L198" s="89" t="str">
        <f ca="1">IFERROR(__xludf.DUMMYFUNCTION("""COMPUTED_VALUE"""),"TRIMESTRE 1")</f>
        <v>TRIMESTRE 1</v>
      </c>
      <c r="M198" s="89" t="str">
        <f ca="1">IFERROR(__xludf.DUMMYFUNCTION("""COMPUTED_VALUE"""),"MUJERES ADULTAS")</f>
        <v>MUJERES ADULTAS</v>
      </c>
    </row>
    <row r="199" spans="1:13">
      <c r="A199" s="89" t="str">
        <f ca="1">IFERROR(__xludf.DUMMYFUNCTION("""COMPUTED_VALUE"""),"4.1.3.0")</f>
        <v>4.1.3.0</v>
      </c>
      <c r="B199" s="89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199" s="89" t="str">
        <f ca="1">IFERROR(__xludf.DUMMYFUNCTION("""COMPUTED_VALUE"""),"4. Programas")</f>
        <v>4. Programas</v>
      </c>
      <c r="D199" s="89" t="str">
        <f ca="1">IFERROR(__xludf.DUMMYFUNCTION("""COMPUTED_VALUE"""),"Guadalajara: Capital de las niñas y los niños")</f>
        <v>Guadalajara: Capital de las niñas y los niños</v>
      </c>
      <c r="E199" s="89" t="str">
        <f ca="1">IFERROR(__xludf.DUMMYFUNCTION("""COMPUTED_VALUE"""),"Custodia, tutela, adopciones y acogimiento familiar")</f>
        <v>Custodia, tutela, adopciones y acogimiento familiar</v>
      </c>
      <c r="F199" s="89" t="str">
        <f ca="1">IFERROR(__xludf.DUMMYFUNCTION("""COMPUTED_VALUE"""),"C3. NNA del municipio de Guadalajara que recibieron servicios para la protección y restitución de sus derechos")</f>
        <v>C3. NNA del municipio de Guadalajara que recibieron servicios para la protección y restitución de sus derechos</v>
      </c>
      <c r="G199" s="89" t="str">
        <f ca="1">IFERROR(__xludf.DUMMYFUNCTION("""COMPUTED_VALUE"""),"Porcentaje de NNA con al menos un derecho protegido y/o restituido por la DIPNNA, en 2023")</f>
        <v>Porcentaje de NNA con al menos un derecho protegido y/o restituido por la DIPNNA, en 2023</v>
      </c>
      <c r="H199" s="89" t="str">
        <f ca="1">IFERROR(__xludf.DUMMYFUNCTION("""COMPUTED_VALUE"""),"HOM enero")</f>
        <v>HOM enero</v>
      </c>
      <c r="I199" s="89" t="str">
        <f ca="1">IFERROR(__xludf.DUMMYFUNCTION("""COMPUTED_VALUE"""),"Enero")</f>
        <v>Enero</v>
      </c>
      <c r="J199" s="89" t="str">
        <f ca="1">IFERROR(__xludf.DUMMYFUNCTION("""COMPUTED_VALUE"""),"HOM")</f>
        <v>HOM</v>
      </c>
      <c r="K199" s="92"/>
      <c r="L199" s="89" t="str">
        <f ca="1">IFERROR(__xludf.DUMMYFUNCTION("""COMPUTED_VALUE"""),"TRIMESTRE 1")</f>
        <v>TRIMESTRE 1</v>
      </c>
      <c r="M199" s="89" t="str">
        <f ca="1">IFERROR(__xludf.DUMMYFUNCTION("""COMPUTED_VALUE"""),"HOMBRES ADULTOS")</f>
        <v>HOMBRES ADULTOS</v>
      </c>
    </row>
    <row r="200" spans="1:13">
      <c r="A200" s="89" t="str">
        <f ca="1">IFERROR(__xludf.DUMMYFUNCTION("""COMPUTED_VALUE"""),"4.1.3.0")</f>
        <v>4.1.3.0</v>
      </c>
      <c r="B200" s="89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200" s="89" t="str">
        <f ca="1">IFERROR(__xludf.DUMMYFUNCTION("""COMPUTED_VALUE"""),"4. Programas")</f>
        <v>4. Programas</v>
      </c>
      <c r="D200" s="89" t="str">
        <f ca="1">IFERROR(__xludf.DUMMYFUNCTION("""COMPUTED_VALUE"""),"Guadalajara: Capital de las niñas y los niños")</f>
        <v>Guadalajara: Capital de las niñas y los niños</v>
      </c>
      <c r="E200" s="89" t="str">
        <f ca="1">IFERROR(__xludf.DUMMYFUNCTION("""COMPUTED_VALUE"""),"Custodia, tutela, adopciones y acogimiento familiar")</f>
        <v>Custodia, tutela, adopciones y acogimiento familiar</v>
      </c>
      <c r="F200" s="89" t="str">
        <f ca="1">IFERROR(__xludf.DUMMYFUNCTION("""COMPUTED_VALUE"""),"C3. NNA del municipio de Guadalajara que recibieron servicios para la protección y restitución de sus derechos")</f>
        <v>C3. NNA del municipio de Guadalajara que recibieron servicios para la protección y restitución de sus derechos</v>
      </c>
      <c r="G200" s="89" t="str">
        <f ca="1">IFERROR(__xludf.DUMMYFUNCTION("""COMPUTED_VALUE"""),"Porcentaje de NNA con al menos un derecho protegido y/o restituido por la DIPNNA, en 2023")</f>
        <v>Porcentaje de NNA con al menos un derecho protegido y/o restituido por la DIPNNA, en 2023</v>
      </c>
      <c r="H200" s="89" t="str">
        <f ca="1">IFERROR(__xludf.DUMMYFUNCTION("""COMPUTED_VALUE"""),"AMM enero")</f>
        <v>AMM enero</v>
      </c>
      <c r="I200" s="89" t="str">
        <f ca="1">IFERROR(__xludf.DUMMYFUNCTION("""COMPUTED_VALUE"""),"Enero")</f>
        <v>Enero</v>
      </c>
      <c r="J200" s="89" t="str">
        <f ca="1">IFERROR(__xludf.DUMMYFUNCTION("""COMPUTED_VALUE"""),"AMM")</f>
        <v>AMM</v>
      </c>
      <c r="K200" s="92"/>
      <c r="L200" s="89" t="str">
        <f ca="1">IFERROR(__xludf.DUMMYFUNCTION("""COMPUTED_VALUE"""),"TRIMESTRE 1")</f>
        <v>TRIMESTRE 1</v>
      </c>
      <c r="M200" s="89" t="str">
        <f ca="1">IFERROR(__xludf.DUMMYFUNCTION("""COMPUTED_VALUE"""),"ADULTA MAYOR MUJER")</f>
        <v>ADULTA MAYOR MUJER</v>
      </c>
    </row>
    <row r="201" spans="1:13">
      <c r="A201" s="89" t="str">
        <f ca="1">IFERROR(__xludf.DUMMYFUNCTION("""COMPUTED_VALUE"""),"4.1.3.0")</f>
        <v>4.1.3.0</v>
      </c>
      <c r="B201" s="89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201" s="89" t="str">
        <f ca="1">IFERROR(__xludf.DUMMYFUNCTION("""COMPUTED_VALUE"""),"4. Programas")</f>
        <v>4. Programas</v>
      </c>
      <c r="D201" s="89" t="str">
        <f ca="1">IFERROR(__xludf.DUMMYFUNCTION("""COMPUTED_VALUE"""),"Guadalajara: Capital de las niñas y los niños")</f>
        <v>Guadalajara: Capital de las niñas y los niños</v>
      </c>
      <c r="E201" s="89" t="str">
        <f ca="1">IFERROR(__xludf.DUMMYFUNCTION("""COMPUTED_VALUE"""),"Custodia, tutela, adopciones y acogimiento familiar")</f>
        <v>Custodia, tutela, adopciones y acogimiento familiar</v>
      </c>
      <c r="F201" s="89" t="str">
        <f ca="1">IFERROR(__xludf.DUMMYFUNCTION("""COMPUTED_VALUE"""),"C3. NNA del municipio de Guadalajara que recibieron servicios para la protección y restitución de sus derechos")</f>
        <v>C3. NNA del municipio de Guadalajara que recibieron servicios para la protección y restitución de sus derechos</v>
      </c>
      <c r="G201" s="89" t="str">
        <f ca="1">IFERROR(__xludf.DUMMYFUNCTION("""COMPUTED_VALUE"""),"Porcentaje de NNA con al menos un derecho protegido y/o restituido por la DIPNNA, en 2023")</f>
        <v>Porcentaje de NNA con al menos un derecho protegido y/o restituido por la DIPNNA, en 2023</v>
      </c>
      <c r="H201" s="89" t="str">
        <f ca="1">IFERROR(__xludf.DUMMYFUNCTION("""COMPUTED_VALUE"""),"AMH enero")</f>
        <v>AMH enero</v>
      </c>
      <c r="I201" s="89" t="str">
        <f ca="1">IFERROR(__xludf.DUMMYFUNCTION("""COMPUTED_VALUE"""),"Enero")</f>
        <v>Enero</v>
      </c>
      <c r="J201" s="89" t="str">
        <f ca="1">IFERROR(__xludf.DUMMYFUNCTION("""COMPUTED_VALUE"""),"AMH")</f>
        <v>AMH</v>
      </c>
      <c r="K201" s="92"/>
      <c r="L201" s="89" t="str">
        <f ca="1">IFERROR(__xludf.DUMMYFUNCTION("""COMPUTED_VALUE"""),"TRIMESTRE 1")</f>
        <v>TRIMESTRE 1</v>
      </c>
      <c r="M201" s="89" t="str">
        <f ca="1">IFERROR(__xludf.DUMMYFUNCTION("""COMPUTED_VALUE"""),"ADULTO MAYOR HOMBRE")</f>
        <v>ADULTO MAYOR HOMBRE</v>
      </c>
    </row>
    <row r="202" spans="1:13">
      <c r="A202" s="89" t="str">
        <f ca="1">IFERROR(__xludf.DUMMYFUNCTION("""COMPUTED_VALUE"""),"4.1.3.1")</f>
        <v>4.1.3.1</v>
      </c>
      <c r="B202" s="89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202" s="89" t="str">
        <f ca="1">IFERROR(__xludf.DUMMYFUNCTION("""COMPUTED_VALUE"""),"4. Programas")</f>
        <v>4. Programas</v>
      </c>
      <c r="D202" s="89" t="str">
        <f ca="1">IFERROR(__xludf.DUMMYFUNCTION("""COMPUTED_VALUE"""),"Guadalajara: Capital de las niñas y los niños")</f>
        <v>Guadalajara: Capital de las niñas y los niños</v>
      </c>
      <c r="E202" s="89" t="str">
        <f ca="1">IFERROR(__xludf.DUMMYFUNCTION("""COMPUTED_VALUE"""),"Custodia, tutela, adopciones y acogimiento familiar")</f>
        <v>Custodia, tutela, adopciones y acogimiento familiar</v>
      </c>
      <c r="F202" s="89" t="str">
        <f ca="1">IFERROR(__xludf.DUMMYFUNCTION("""COMPUTED_VALUE"""),"A1C3, Nuevas medidas de protección dictadas atendidas")</f>
        <v>A1C3, Nuevas medidas de protección dictadas atendidas</v>
      </c>
      <c r="G202" s="89" t="str">
        <f ca="1">IFERROR(__xludf.DUMMYFUNCTION("""COMPUTED_VALUE"""),"Porcentaje de NNA a los que se les dio seguimientos en las nuevas medidas de protección dictadas en 2023")</f>
        <v>Porcentaje de NNA a los que se les dio seguimientos en las nuevas medidas de protección dictadas en 2023</v>
      </c>
      <c r="H202" s="89" t="str">
        <f ca="1">IFERROR(__xludf.DUMMYFUNCTION("""COMPUTED_VALUE"""),"NAS enero")</f>
        <v>NAS enero</v>
      </c>
      <c r="I202" s="89" t="str">
        <f ca="1">IFERROR(__xludf.DUMMYFUNCTION("""COMPUTED_VALUE"""),"Enero")</f>
        <v>Enero</v>
      </c>
      <c r="J202" s="89" t="str">
        <f ca="1">IFERROR(__xludf.DUMMYFUNCTION("""COMPUTED_VALUE"""),"NAS")</f>
        <v>NAS</v>
      </c>
      <c r="K202" s="92">
        <f ca="1">IFERROR(__xludf.DUMMYFUNCTION("""COMPUTED_VALUE"""),10)</f>
        <v>10</v>
      </c>
      <c r="L202" s="89" t="str">
        <f ca="1">IFERROR(__xludf.DUMMYFUNCTION("""COMPUTED_VALUE"""),"TRIMESTRE 1")</f>
        <v>TRIMESTRE 1</v>
      </c>
      <c r="M202" s="89" t="str">
        <f ca="1">IFERROR(__xludf.DUMMYFUNCTION("""COMPUTED_VALUE"""),"NIÑAS")</f>
        <v>NIÑAS</v>
      </c>
    </row>
    <row r="203" spans="1:13">
      <c r="A203" s="89" t="str">
        <f ca="1">IFERROR(__xludf.DUMMYFUNCTION("""COMPUTED_VALUE"""),"4.1.3.1")</f>
        <v>4.1.3.1</v>
      </c>
      <c r="B203" s="89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203" s="89" t="str">
        <f ca="1">IFERROR(__xludf.DUMMYFUNCTION("""COMPUTED_VALUE"""),"4. Programas")</f>
        <v>4. Programas</v>
      </c>
      <c r="D203" s="89" t="str">
        <f ca="1">IFERROR(__xludf.DUMMYFUNCTION("""COMPUTED_VALUE"""),"Guadalajara: Capital de las niñas y los niños")</f>
        <v>Guadalajara: Capital de las niñas y los niños</v>
      </c>
      <c r="E203" s="89" t="str">
        <f ca="1">IFERROR(__xludf.DUMMYFUNCTION("""COMPUTED_VALUE"""),"Custodia, tutela, adopciones y acogimiento familiar")</f>
        <v>Custodia, tutela, adopciones y acogimiento familiar</v>
      </c>
      <c r="F203" s="89" t="str">
        <f ca="1">IFERROR(__xludf.DUMMYFUNCTION("""COMPUTED_VALUE"""),"A1C3, Nuevas medidas de protección dictadas atendidas")</f>
        <v>A1C3, Nuevas medidas de protección dictadas atendidas</v>
      </c>
      <c r="G203" s="89" t="str">
        <f ca="1">IFERROR(__xludf.DUMMYFUNCTION("""COMPUTED_VALUE"""),"Porcentaje de NNA a los que se les dio seguimientos en las nuevas medidas de protección dictadas en 2023")</f>
        <v>Porcentaje de NNA a los que se les dio seguimientos en las nuevas medidas de protección dictadas en 2023</v>
      </c>
      <c r="H203" s="89" t="str">
        <f ca="1">IFERROR(__xludf.DUMMYFUNCTION("""COMPUTED_VALUE"""),"NOS enero")</f>
        <v>NOS enero</v>
      </c>
      <c r="I203" s="89" t="str">
        <f ca="1">IFERROR(__xludf.DUMMYFUNCTION("""COMPUTED_VALUE"""),"Enero")</f>
        <v>Enero</v>
      </c>
      <c r="J203" s="89" t="str">
        <f ca="1">IFERROR(__xludf.DUMMYFUNCTION("""COMPUTED_VALUE"""),"NOS")</f>
        <v>NOS</v>
      </c>
      <c r="K203" s="92">
        <f ca="1">IFERROR(__xludf.DUMMYFUNCTION("""COMPUTED_VALUE"""),12)</f>
        <v>12</v>
      </c>
      <c r="L203" s="89" t="str">
        <f ca="1">IFERROR(__xludf.DUMMYFUNCTION("""COMPUTED_VALUE"""),"TRIMESTRE 1")</f>
        <v>TRIMESTRE 1</v>
      </c>
      <c r="M203" s="89" t="str">
        <f ca="1">IFERROR(__xludf.DUMMYFUNCTION("""COMPUTED_VALUE"""),"NIÑOS")</f>
        <v>NIÑOS</v>
      </c>
    </row>
    <row r="204" spans="1:13">
      <c r="A204" s="89" t="str">
        <f ca="1">IFERROR(__xludf.DUMMYFUNCTION("""COMPUTED_VALUE"""),"4.1.3.1")</f>
        <v>4.1.3.1</v>
      </c>
      <c r="B204" s="89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204" s="89" t="str">
        <f ca="1">IFERROR(__xludf.DUMMYFUNCTION("""COMPUTED_VALUE"""),"4. Programas")</f>
        <v>4. Programas</v>
      </c>
      <c r="D204" s="89" t="str">
        <f ca="1">IFERROR(__xludf.DUMMYFUNCTION("""COMPUTED_VALUE"""),"Guadalajara: Capital de las niñas y los niños")</f>
        <v>Guadalajara: Capital de las niñas y los niños</v>
      </c>
      <c r="E204" s="89" t="str">
        <f ca="1">IFERROR(__xludf.DUMMYFUNCTION("""COMPUTED_VALUE"""),"Custodia, tutela, adopciones y acogimiento familiar")</f>
        <v>Custodia, tutela, adopciones y acogimiento familiar</v>
      </c>
      <c r="F204" s="89" t="str">
        <f ca="1">IFERROR(__xludf.DUMMYFUNCTION("""COMPUTED_VALUE"""),"A1C3, Nuevas medidas de protección dictadas atendidas")</f>
        <v>A1C3, Nuevas medidas de protección dictadas atendidas</v>
      </c>
      <c r="G204" s="89" t="str">
        <f ca="1">IFERROR(__xludf.DUMMYFUNCTION("""COMPUTED_VALUE"""),"Porcentaje de NNA a los que se les dio seguimientos en las nuevas medidas de protección dictadas en 2023")</f>
        <v>Porcentaje de NNA a los que se les dio seguimientos en las nuevas medidas de protección dictadas en 2023</v>
      </c>
      <c r="H204" s="89" t="str">
        <f ca="1">IFERROR(__xludf.DUMMYFUNCTION("""COMPUTED_VALUE"""),"AM enero")</f>
        <v>AM enero</v>
      </c>
      <c r="I204" s="89" t="str">
        <f ca="1">IFERROR(__xludf.DUMMYFUNCTION("""COMPUTED_VALUE"""),"Enero")</f>
        <v>Enero</v>
      </c>
      <c r="J204" s="89" t="str">
        <f ca="1">IFERROR(__xludf.DUMMYFUNCTION("""COMPUTED_VALUE"""),"AM")</f>
        <v>AM</v>
      </c>
      <c r="K204" s="92"/>
      <c r="L204" s="89" t="str">
        <f ca="1">IFERROR(__xludf.DUMMYFUNCTION("""COMPUTED_VALUE"""),"TRIMESTRE 1")</f>
        <v>TRIMESTRE 1</v>
      </c>
      <c r="M204" s="89" t="str">
        <f ca="1">IFERROR(__xludf.DUMMYFUNCTION("""COMPUTED_VALUE"""),"ADOLESCENTES MUJERES")</f>
        <v>ADOLESCENTES MUJERES</v>
      </c>
    </row>
    <row r="205" spans="1:13">
      <c r="A205" s="89" t="str">
        <f ca="1">IFERROR(__xludf.DUMMYFUNCTION("""COMPUTED_VALUE"""),"4.1.3.1")</f>
        <v>4.1.3.1</v>
      </c>
      <c r="B205" s="89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205" s="89" t="str">
        <f ca="1">IFERROR(__xludf.DUMMYFUNCTION("""COMPUTED_VALUE"""),"4. Programas")</f>
        <v>4. Programas</v>
      </c>
      <c r="D205" s="89" t="str">
        <f ca="1">IFERROR(__xludf.DUMMYFUNCTION("""COMPUTED_VALUE"""),"Guadalajara: Capital de las niñas y los niños")</f>
        <v>Guadalajara: Capital de las niñas y los niños</v>
      </c>
      <c r="E205" s="89" t="str">
        <f ca="1">IFERROR(__xludf.DUMMYFUNCTION("""COMPUTED_VALUE"""),"Custodia, tutela, adopciones y acogimiento familiar")</f>
        <v>Custodia, tutela, adopciones y acogimiento familiar</v>
      </c>
      <c r="F205" s="89" t="str">
        <f ca="1">IFERROR(__xludf.DUMMYFUNCTION("""COMPUTED_VALUE"""),"A1C3, Nuevas medidas de protección dictadas atendidas")</f>
        <v>A1C3, Nuevas medidas de protección dictadas atendidas</v>
      </c>
      <c r="G205" s="89" t="str">
        <f ca="1">IFERROR(__xludf.DUMMYFUNCTION("""COMPUTED_VALUE"""),"Porcentaje de NNA a los que se les dio seguimientos en las nuevas medidas de protección dictadas en 2023")</f>
        <v>Porcentaje de NNA a los que se les dio seguimientos en las nuevas medidas de protección dictadas en 2023</v>
      </c>
      <c r="H205" s="89" t="str">
        <f ca="1">IFERROR(__xludf.DUMMYFUNCTION("""COMPUTED_VALUE"""),"AH enero")</f>
        <v>AH enero</v>
      </c>
      <c r="I205" s="89" t="str">
        <f ca="1">IFERROR(__xludf.DUMMYFUNCTION("""COMPUTED_VALUE"""),"Enero")</f>
        <v>Enero</v>
      </c>
      <c r="J205" s="89" t="str">
        <f ca="1">IFERROR(__xludf.DUMMYFUNCTION("""COMPUTED_VALUE"""),"AH")</f>
        <v>AH</v>
      </c>
      <c r="K205" s="92"/>
      <c r="L205" s="89" t="str">
        <f ca="1">IFERROR(__xludf.DUMMYFUNCTION("""COMPUTED_VALUE"""),"TRIMESTRE 1")</f>
        <v>TRIMESTRE 1</v>
      </c>
      <c r="M205" s="89" t="str">
        <f ca="1">IFERROR(__xludf.DUMMYFUNCTION("""COMPUTED_VALUE"""),"ADOLESCENTES HOMBRES")</f>
        <v>ADOLESCENTES HOMBRES</v>
      </c>
    </row>
    <row r="206" spans="1:13">
      <c r="A206" s="89" t="str">
        <f ca="1">IFERROR(__xludf.DUMMYFUNCTION("""COMPUTED_VALUE"""),"4.1.3.1")</f>
        <v>4.1.3.1</v>
      </c>
      <c r="B206" s="89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206" s="89" t="str">
        <f ca="1">IFERROR(__xludf.DUMMYFUNCTION("""COMPUTED_VALUE"""),"4. Programas")</f>
        <v>4. Programas</v>
      </c>
      <c r="D206" s="89" t="str">
        <f ca="1">IFERROR(__xludf.DUMMYFUNCTION("""COMPUTED_VALUE"""),"Guadalajara: Capital de las niñas y los niños")</f>
        <v>Guadalajara: Capital de las niñas y los niños</v>
      </c>
      <c r="E206" s="89" t="str">
        <f ca="1">IFERROR(__xludf.DUMMYFUNCTION("""COMPUTED_VALUE"""),"Custodia, tutela, adopciones y acogimiento familiar")</f>
        <v>Custodia, tutela, adopciones y acogimiento familiar</v>
      </c>
      <c r="F206" s="89" t="str">
        <f ca="1">IFERROR(__xludf.DUMMYFUNCTION("""COMPUTED_VALUE"""),"A1C3, Nuevas medidas de protección dictadas atendidas")</f>
        <v>A1C3, Nuevas medidas de protección dictadas atendidas</v>
      </c>
      <c r="G206" s="89" t="str">
        <f ca="1">IFERROR(__xludf.DUMMYFUNCTION("""COMPUTED_VALUE"""),"Porcentaje de NNA a los que se les dio seguimientos en las nuevas medidas de protección dictadas en 2023")</f>
        <v>Porcentaje de NNA a los que se les dio seguimientos en las nuevas medidas de protección dictadas en 2023</v>
      </c>
      <c r="H206" s="89" t="str">
        <f ca="1">IFERROR(__xludf.DUMMYFUNCTION("""COMPUTED_VALUE"""),"MUJ enero")</f>
        <v>MUJ enero</v>
      </c>
      <c r="I206" s="89" t="str">
        <f ca="1">IFERROR(__xludf.DUMMYFUNCTION("""COMPUTED_VALUE"""),"Enero")</f>
        <v>Enero</v>
      </c>
      <c r="J206" s="89" t="str">
        <f ca="1">IFERROR(__xludf.DUMMYFUNCTION("""COMPUTED_VALUE"""),"MUJ")</f>
        <v>MUJ</v>
      </c>
      <c r="K206" s="92"/>
      <c r="L206" s="89" t="str">
        <f ca="1">IFERROR(__xludf.DUMMYFUNCTION("""COMPUTED_VALUE"""),"TRIMESTRE 1")</f>
        <v>TRIMESTRE 1</v>
      </c>
      <c r="M206" s="89" t="str">
        <f ca="1">IFERROR(__xludf.DUMMYFUNCTION("""COMPUTED_VALUE"""),"MUJERES ADULTAS")</f>
        <v>MUJERES ADULTAS</v>
      </c>
    </row>
    <row r="207" spans="1:13">
      <c r="A207" s="89" t="str">
        <f ca="1">IFERROR(__xludf.DUMMYFUNCTION("""COMPUTED_VALUE"""),"4.1.3.1")</f>
        <v>4.1.3.1</v>
      </c>
      <c r="B207" s="89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207" s="89" t="str">
        <f ca="1">IFERROR(__xludf.DUMMYFUNCTION("""COMPUTED_VALUE"""),"4. Programas")</f>
        <v>4. Programas</v>
      </c>
      <c r="D207" s="89" t="str">
        <f ca="1">IFERROR(__xludf.DUMMYFUNCTION("""COMPUTED_VALUE"""),"Guadalajara: Capital de las niñas y los niños")</f>
        <v>Guadalajara: Capital de las niñas y los niños</v>
      </c>
      <c r="E207" s="89" t="str">
        <f ca="1">IFERROR(__xludf.DUMMYFUNCTION("""COMPUTED_VALUE"""),"Custodia, tutela, adopciones y acogimiento familiar")</f>
        <v>Custodia, tutela, adopciones y acogimiento familiar</v>
      </c>
      <c r="F207" s="89" t="str">
        <f ca="1">IFERROR(__xludf.DUMMYFUNCTION("""COMPUTED_VALUE"""),"A1C3, Nuevas medidas de protección dictadas atendidas")</f>
        <v>A1C3, Nuevas medidas de protección dictadas atendidas</v>
      </c>
      <c r="G207" s="89" t="str">
        <f ca="1">IFERROR(__xludf.DUMMYFUNCTION("""COMPUTED_VALUE"""),"Porcentaje de NNA a los que se les dio seguimientos en las nuevas medidas de protección dictadas en 2023")</f>
        <v>Porcentaje de NNA a los que se les dio seguimientos en las nuevas medidas de protección dictadas en 2023</v>
      </c>
      <c r="H207" s="89" t="str">
        <f ca="1">IFERROR(__xludf.DUMMYFUNCTION("""COMPUTED_VALUE"""),"HOM enero")</f>
        <v>HOM enero</v>
      </c>
      <c r="I207" s="89" t="str">
        <f ca="1">IFERROR(__xludf.DUMMYFUNCTION("""COMPUTED_VALUE"""),"Enero")</f>
        <v>Enero</v>
      </c>
      <c r="J207" s="89" t="str">
        <f ca="1">IFERROR(__xludf.DUMMYFUNCTION("""COMPUTED_VALUE"""),"HOM")</f>
        <v>HOM</v>
      </c>
      <c r="K207" s="92"/>
      <c r="L207" s="89" t="str">
        <f ca="1">IFERROR(__xludf.DUMMYFUNCTION("""COMPUTED_VALUE"""),"TRIMESTRE 1")</f>
        <v>TRIMESTRE 1</v>
      </c>
      <c r="M207" s="89" t="str">
        <f ca="1">IFERROR(__xludf.DUMMYFUNCTION("""COMPUTED_VALUE"""),"HOMBRES ADULTOS")</f>
        <v>HOMBRES ADULTOS</v>
      </c>
    </row>
    <row r="208" spans="1:13">
      <c r="A208" s="89" t="str">
        <f ca="1">IFERROR(__xludf.DUMMYFUNCTION("""COMPUTED_VALUE"""),"4.1.3.1")</f>
        <v>4.1.3.1</v>
      </c>
      <c r="B208" s="89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208" s="89" t="str">
        <f ca="1">IFERROR(__xludf.DUMMYFUNCTION("""COMPUTED_VALUE"""),"4. Programas")</f>
        <v>4. Programas</v>
      </c>
      <c r="D208" s="89" t="str">
        <f ca="1">IFERROR(__xludf.DUMMYFUNCTION("""COMPUTED_VALUE"""),"Guadalajara: Capital de las niñas y los niños")</f>
        <v>Guadalajara: Capital de las niñas y los niños</v>
      </c>
      <c r="E208" s="89" t="str">
        <f ca="1">IFERROR(__xludf.DUMMYFUNCTION("""COMPUTED_VALUE"""),"Custodia, tutela, adopciones y acogimiento familiar")</f>
        <v>Custodia, tutela, adopciones y acogimiento familiar</v>
      </c>
      <c r="F208" s="89" t="str">
        <f ca="1">IFERROR(__xludf.DUMMYFUNCTION("""COMPUTED_VALUE"""),"A1C3, Nuevas medidas de protección dictadas atendidas")</f>
        <v>A1C3, Nuevas medidas de protección dictadas atendidas</v>
      </c>
      <c r="G208" s="89" t="str">
        <f ca="1">IFERROR(__xludf.DUMMYFUNCTION("""COMPUTED_VALUE"""),"Porcentaje de NNA a los que se les dio seguimientos en las nuevas medidas de protección dictadas en 2023")</f>
        <v>Porcentaje de NNA a los que se les dio seguimientos en las nuevas medidas de protección dictadas en 2023</v>
      </c>
      <c r="H208" s="89" t="str">
        <f ca="1">IFERROR(__xludf.DUMMYFUNCTION("""COMPUTED_VALUE"""),"AMM enero")</f>
        <v>AMM enero</v>
      </c>
      <c r="I208" s="89" t="str">
        <f ca="1">IFERROR(__xludf.DUMMYFUNCTION("""COMPUTED_VALUE"""),"Enero")</f>
        <v>Enero</v>
      </c>
      <c r="J208" s="89" t="str">
        <f ca="1">IFERROR(__xludf.DUMMYFUNCTION("""COMPUTED_VALUE"""),"AMM")</f>
        <v>AMM</v>
      </c>
      <c r="K208" s="92"/>
      <c r="L208" s="89" t="str">
        <f ca="1">IFERROR(__xludf.DUMMYFUNCTION("""COMPUTED_VALUE"""),"TRIMESTRE 1")</f>
        <v>TRIMESTRE 1</v>
      </c>
      <c r="M208" s="89" t="str">
        <f ca="1">IFERROR(__xludf.DUMMYFUNCTION("""COMPUTED_VALUE"""),"ADULTA MAYOR MUJER")</f>
        <v>ADULTA MAYOR MUJER</v>
      </c>
    </row>
    <row r="209" spans="1:13">
      <c r="A209" s="89" t="str">
        <f ca="1">IFERROR(__xludf.DUMMYFUNCTION("""COMPUTED_VALUE"""),"4.1.3.1")</f>
        <v>4.1.3.1</v>
      </c>
      <c r="B209" s="89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209" s="89" t="str">
        <f ca="1">IFERROR(__xludf.DUMMYFUNCTION("""COMPUTED_VALUE"""),"4. Programas")</f>
        <v>4. Programas</v>
      </c>
      <c r="D209" s="89" t="str">
        <f ca="1">IFERROR(__xludf.DUMMYFUNCTION("""COMPUTED_VALUE"""),"Guadalajara: Capital de las niñas y los niños")</f>
        <v>Guadalajara: Capital de las niñas y los niños</v>
      </c>
      <c r="E209" s="89" t="str">
        <f ca="1">IFERROR(__xludf.DUMMYFUNCTION("""COMPUTED_VALUE"""),"Custodia, tutela, adopciones y acogimiento familiar")</f>
        <v>Custodia, tutela, adopciones y acogimiento familiar</v>
      </c>
      <c r="F209" s="89" t="str">
        <f ca="1">IFERROR(__xludf.DUMMYFUNCTION("""COMPUTED_VALUE"""),"A1C3, Nuevas medidas de protección dictadas atendidas")</f>
        <v>A1C3, Nuevas medidas de protección dictadas atendidas</v>
      </c>
      <c r="G209" s="89" t="str">
        <f ca="1">IFERROR(__xludf.DUMMYFUNCTION("""COMPUTED_VALUE"""),"Porcentaje de NNA a los que se les dio seguimientos en las nuevas medidas de protección dictadas en 2023")</f>
        <v>Porcentaje de NNA a los que se les dio seguimientos en las nuevas medidas de protección dictadas en 2023</v>
      </c>
      <c r="H209" s="89" t="str">
        <f ca="1">IFERROR(__xludf.DUMMYFUNCTION("""COMPUTED_VALUE"""),"AMH enero")</f>
        <v>AMH enero</v>
      </c>
      <c r="I209" s="89" t="str">
        <f ca="1">IFERROR(__xludf.DUMMYFUNCTION("""COMPUTED_VALUE"""),"Enero")</f>
        <v>Enero</v>
      </c>
      <c r="J209" s="89" t="str">
        <f ca="1">IFERROR(__xludf.DUMMYFUNCTION("""COMPUTED_VALUE"""),"AMH")</f>
        <v>AMH</v>
      </c>
      <c r="K209" s="92"/>
      <c r="L209" s="89" t="str">
        <f ca="1">IFERROR(__xludf.DUMMYFUNCTION("""COMPUTED_VALUE"""),"TRIMESTRE 1")</f>
        <v>TRIMESTRE 1</v>
      </c>
      <c r="M209" s="89" t="str">
        <f ca="1">IFERROR(__xludf.DUMMYFUNCTION("""COMPUTED_VALUE"""),"ADULTO MAYOR HOMBRE")</f>
        <v>ADULTO MAYOR HOMBRE</v>
      </c>
    </row>
    <row r="210" spans="1:13">
      <c r="A210" s="89" t="str">
        <f ca="1">IFERROR(__xludf.DUMMYFUNCTION("""COMPUTED_VALUE"""),"4.1.3.2")</f>
        <v>4.1.3.2</v>
      </c>
      <c r="B210" s="89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210" s="89" t="str">
        <f ca="1">IFERROR(__xludf.DUMMYFUNCTION("""COMPUTED_VALUE"""),"4. Programas")</f>
        <v>4. Programas</v>
      </c>
      <c r="D210" s="89" t="str">
        <f ca="1">IFERROR(__xludf.DUMMYFUNCTION("""COMPUTED_VALUE"""),"Guadalajara: Capital de las niñas y los niños")</f>
        <v>Guadalajara: Capital de las niñas y los niños</v>
      </c>
      <c r="E210" s="89" t="str">
        <f ca="1">IFERROR(__xludf.DUMMYFUNCTION("""COMPUTED_VALUE"""),"Custodia, tutela, adopciones y acogimiento familiar")</f>
        <v>Custodia, tutela, adopciones y acogimiento familiar</v>
      </c>
      <c r="F210" s="89" t="str">
        <f ca="1">IFERROR(__xludf.DUMMYFUNCTION("""COMPUTED_VALUE"""),"A2C3. Medidas de protección dictadas que se les dio seguimiento")</f>
        <v>A2C3. Medidas de protección dictadas que se les dio seguimiento</v>
      </c>
      <c r="G210" s="89" t="str">
        <f ca="1">IFERROR(__xludf.DUMMYFUNCTION("""COMPUTED_VALUE"""),"Porcentaje de NNA a los que se les dio seguimientos en las medidas de protección dictadas, en 2023")</f>
        <v>Porcentaje de NNA a los que se les dio seguimientos en las medidas de protección dictadas, en 2023</v>
      </c>
      <c r="H210" s="89" t="str">
        <f ca="1">IFERROR(__xludf.DUMMYFUNCTION("""COMPUTED_VALUE"""),"NAS enero")</f>
        <v>NAS enero</v>
      </c>
      <c r="I210" s="89" t="str">
        <f ca="1">IFERROR(__xludf.DUMMYFUNCTION("""COMPUTED_VALUE"""),"Enero")</f>
        <v>Enero</v>
      </c>
      <c r="J210" s="89" t="str">
        <f ca="1">IFERROR(__xludf.DUMMYFUNCTION("""COMPUTED_VALUE"""),"NAS")</f>
        <v>NAS</v>
      </c>
      <c r="K210" s="92">
        <f ca="1">IFERROR(__xludf.DUMMYFUNCTION("""COMPUTED_VALUE"""),46)</f>
        <v>46</v>
      </c>
      <c r="L210" s="89" t="str">
        <f ca="1">IFERROR(__xludf.DUMMYFUNCTION("""COMPUTED_VALUE"""),"TRIMESTRE 1")</f>
        <v>TRIMESTRE 1</v>
      </c>
      <c r="M210" s="89" t="str">
        <f ca="1">IFERROR(__xludf.DUMMYFUNCTION("""COMPUTED_VALUE"""),"NIÑAS")</f>
        <v>NIÑAS</v>
      </c>
    </row>
    <row r="211" spans="1:13">
      <c r="A211" s="89" t="str">
        <f ca="1">IFERROR(__xludf.DUMMYFUNCTION("""COMPUTED_VALUE"""),"4.1.3.2")</f>
        <v>4.1.3.2</v>
      </c>
      <c r="B211" s="89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211" s="89" t="str">
        <f ca="1">IFERROR(__xludf.DUMMYFUNCTION("""COMPUTED_VALUE"""),"4. Programas")</f>
        <v>4. Programas</v>
      </c>
      <c r="D211" s="89" t="str">
        <f ca="1">IFERROR(__xludf.DUMMYFUNCTION("""COMPUTED_VALUE"""),"Guadalajara: Capital de las niñas y los niños")</f>
        <v>Guadalajara: Capital de las niñas y los niños</v>
      </c>
      <c r="E211" s="89" t="str">
        <f ca="1">IFERROR(__xludf.DUMMYFUNCTION("""COMPUTED_VALUE"""),"Custodia, tutela, adopciones y acogimiento familiar")</f>
        <v>Custodia, tutela, adopciones y acogimiento familiar</v>
      </c>
      <c r="F211" s="89" t="str">
        <f ca="1">IFERROR(__xludf.DUMMYFUNCTION("""COMPUTED_VALUE"""),"A2C3. Medidas de protección dictadas que se les dio seguimiento")</f>
        <v>A2C3. Medidas de protección dictadas que se les dio seguimiento</v>
      </c>
      <c r="G211" s="89" t="str">
        <f ca="1">IFERROR(__xludf.DUMMYFUNCTION("""COMPUTED_VALUE"""),"Porcentaje de NNA a los que se les dio seguimientos en las medidas de protección dictadas, en 2023")</f>
        <v>Porcentaje de NNA a los que se les dio seguimientos en las medidas de protección dictadas, en 2023</v>
      </c>
      <c r="H211" s="89" t="str">
        <f ca="1">IFERROR(__xludf.DUMMYFUNCTION("""COMPUTED_VALUE"""),"NOS enero")</f>
        <v>NOS enero</v>
      </c>
      <c r="I211" s="89" t="str">
        <f ca="1">IFERROR(__xludf.DUMMYFUNCTION("""COMPUTED_VALUE"""),"Enero")</f>
        <v>Enero</v>
      </c>
      <c r="J211" s="89" t="str">
        <f ca="1">IFERROR(__xludf.DUMMYFUNCTION("""COMPUTED_VALUE"""),"NOS")</f>
        <v>NOS</v>
      </c>
      <c r="K211" s="92">
        <f ca="1">IFERROR(__xludf.DUMMYFUNCTION("""COMPUTED_VALUE"""),50)</f>
        <v>50</v>
      </c>
      <c r="L211" s="89" t="str">
        <f ca="1">IFERROR(__xludf.DUMMYFUNCTION("""COMPUTED_VALUE"""),"TRIMESTRE 1")</f>
        <v>TRIMESTRE 1</v>
      </c>
      <c r="M211" s="89" t="str">
        <f ca="1">IFERROR(__xludf.DUMMYFUNCTION("""COMPUTED_VALUE"""),"NIÑOS")</f>
        <v>NIÑOS</v>
      </c>
    </row>
    <row r="212" spans="1:13">
      <c r="A212" s="89" t="str">
        <f ca="1">IFERROR(__xludf.DUMMYFUNCTION("""COMPUTED_VALUE"""),"4.1.3.2")</f>
        <v>4.1.3.2</v>
      </c>
      <c r="B212" s="89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212" s="89" t="str">
        <f ca="1">IFERROR(__xludf.DUMMYFUNCTION("""COMPUTED_VALUE"""),"4. Programas")</f>
        <v>4. Programas</v>
      </c>
      <c r="D212" s="89" t="str">
        <f ca="1">IFERROR(__xludf.DUMMYFUNCTION("""COMPUTED_VALUE"""),"Guadalajara: Capital de las niñas y los niños")</f>
        <v>Guadalajara: Capital de las niñas y los niños</v>
      </c>
      <c r="E212" s="89" t="str">
        <f ca="1">IFERROR(__xludf.DUMMYFUNCTION("""COMPUTED_VALUE"""),"Custodia, tutela, adopciones y acogimiento familiar")</f>
        <v>Custodia, tutela, adopciones y acogimiento familiar</v>
      </c>
      <c r="F212" s="89" t="str">
        <f ca="1">IFERROR(__xludf.DUMMYFUNCTION("""COMPUTED_VALUE"""),"A2C3. Medidas de protección dictadas que se les dio seguimiento")</f>
        <v>A2C3. Medidas de protección dictadas que se les dio seguimiento</v>
      </c>
      <c r="G212" s="89" t="str">
        <f ca="1">IFERROR(__xludf.DUMMYFUNCTION("""COMPUTED_VALUE"""),"Porcentaje de NNA a los que se les dio seguimientos en las medidas de protección dictadas, en 2023")</f>
        <v>Porcentaje de NNA a los que se les dio seguimientos en las medidas de protección dictadas, en 2023</v>
      </c>
      <c r="H212" s="89" t="str">
        <f ca="1">IFERROR(__xludf.DUMMYFUNCTION("""COMPUTED_VALUE"""),"AM enero")</f>
        <v>AM enero</v>
      </c>
      <c r="I212" s="89" t="str">
        <f ca="1">IFERROR(__xludf.DUMMYFUNCTION("""COMPUTED_VALUE"""),"Enero")</f>
        <v>Enero</v>
      </c>
      <c r="J212" s="89" t="str">
        <f ca="1">IFERROR(__xludf.DUMMYFUNCTION("""COMPUTED_VALUE"""),"AM")</f>
        <v>AM</v>
      </c>
      <c r="K212" s="92">
        <f ca="1">IFERROR(__xludf.DUMMYFUNCTION("""COMPUTED_VALUE"""),3)</f>
        <v>3</v>
      </c>
      <c r="L212" s="89" t="str">
        <f ca="1">IFERROR(__xludf.DUMMYFUNCTION("""COMPUTED_VALUE"""),"TRIMESTRE 1")</f>
        <v>TRIMESTRE 1</v>
      </c>
      <c r="M212" s="89" t="str">
        <f ca="1">IFERROR(__xludf.DUMMYFUNCTION("""COMPUTED_VALUE"""),"ADOLESCENTES MUJERES")</f>
        <v>ADOLESCENTES MUJERES</v>
      </c>
    </row>
    <row r="213" spans="1:13">
      <c r="A213" s="89" t="str">
        <f ca="1">IFERROR(__xludf.DUMMYFUNCTION("""COMPUTED_VALUE"""),"4.1.3.2")</f>
        <v>4.1.3.2</v>
      </c>
      <c r="B213" s="89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213" s="89" t="str">
        <f ca="1">IFERROR(__xludf.DUMMYFUNCTION("""COMPUTED_VALUE"""),"4. Programas")</f>
        <v>4. Programas</v>
      </c>
      <c r="D213" s="89" t="str">
        <f ca="1">IFERROR(__xludf.DUMMYFUNCTION("""COMPUTED_VALUE"""),"Guadalajara: Capital de las niñas y los niños")</f>
        <v>Guadalajara: Capital de las niñas y los niños</v>
      </c>
      <c r="E213" s="89" t="str">
        <f ca="1">IFERROR(__xludf.DUMMYFUNCTION("""COMPUTED_VALUE"""),"Custodia, tutela, adopciones y acogimiento familiar")</f>
        <v>Custodia, tutela, adopciones y acogimiento familiar</v>
      </c>
      <c r="F213" s="89" t="str">
        <f ca="1">IFERROR(__xludf.DUMMYFUNCTION("""COMPUTED_VALUE"""),"A2C3. Medidas de protección dictadas que se les dio seguimiento")</f>
        <v>A2C3. Medidas de protección dictadas que se les dio seguimiento</v>
      </c>
      <c r="G213" s="89" t="str">
        <f ca="1">IFERROR(__xludf.DUMMYFUNCTION("""COMPUTED_VALUE"""),"Porcentaje de NNA a los que se les dio seguimientos en las medidas de protección dictadas, en 2023")</f>
        <v>Porcentaje de NNA a los que se les dio seguimientos en las medidas de protección dictadas, en 2023</v>
      </c>
      <c r="H213" s="89" t="str">
        <f ca="1">IFERROR(__xludf.DUMMYFUNCTION("""COMPUTED_VALUE"""),"AH enero")</f>
        <v>AH enero</v>
      </c>
      <c r="I213" s="89" t="str">
        <f ca="1">IFERROR(__xludf.DUMMYFUNCTION("""COMPUTED_VALUE"""),"Enero")</f>
        <v>Enero</v>
      </c>
      <c r="J213" s="89" t="str">
        <f ca="1">IFERROR(__xludf.DUMMYFUNCTION("""COMPUTED_VALUE"""),"AH")</f>
        <v>AH</v>
      </c>
      <c r="K213" s="92">
        <f ca="1">IFERROR(__xludf.DUMMYFUNCTION("""COMPUTED_VALUE"""),3)</f>
        <v>3</v>
      </c>
      <c r="L213" s="89" t="str">
        <f ca="1">IFERROR(__xludf.DUMMYFUNCTION("""COMPUTED_VALUE"""),"TRIMESTRE 1")</f>
        <v>TRIMESTRE 1</v>
      </c>
      <c r="M213" s="89" t="str">
        <f ca="1">IFERROR(__xludf.DUMMYFUNCTION("""COMPUTED_VALUE"""),"ADOLESCENTES HOMBRES")</f>
        <v>ADOLESCENTES HOMBRES</v>
      </c>
    </row>
    <row r="214" spans="1:13">
      <c r="A214" s="89" t="str">
        <f ca="1">IFERROR(__xludf.DUMMYFUNCTION("""COMPUTED_VALUE"""),"4.1.3.2")</f>
        <v>4.1.3.2</v>
      </c>
      <c r="B214" s="89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214" s="89" t="str">
        <f ca="1">IFERROR(__xludf.DUMMYFUNCTION("""COMPUTED_VALUE"""),"4. Programas")</f>
        <v>4. Programas</v>
      </c>
      <c r="D214" s="89" t="str">
        <f ca="1">IFERROR(__xludf.DUMMYFUNCTION("""COMPUTED_VALUE"""),"Guadalajara: Capital de las niñas y los niños")</f>
        <v>Guadalajara: Capital de las niñas y los niños</v>
      </c>
      <c r="E214" s="89" t="str">
        <f ca="1">IFERROR(__xludf.DUMMYFUNCTION("""COMPUTED_VALUE"""),"Custodia, tutela, adopciones y acogimiento familiar")</f>
        <v>Custodia, tutela, adopciones y acogimiento familiar</v>
      </c>
      <c r="F214" s="89" t="str">
        <f ca="1">IFERROR(__xludf.DUMMYFUNCTION("""COMPUTED_VALUE"""),"A2C3. Medidas de protección dictadas que se les dio seguimiento")</f>
        <v>A2C3. Medidas de protección dictadas que se les dio seguimiento</v>
      </c>
      <c r="G214" s="89" t="str">
        <f ca="1">IFERROR(__xludf.DUMMYFUNCTION("""COMPUTED_VALUE"""),"Porcentaje de NNA a los que se les dio seguimientos en las medidas de protección dictadas, en 2023")</f>
        <v>Porcentaje de NNA a los que se les dio seguimientos en las medidas de protección dictadas, en 2023</v>
      </c>
      <c r="H214" s="89" t="str">
        <f ca="1">IFERROR(__xludf.DUMMYFUNCTION("""COMPUTED_VALUE"""),"MUJ enero")</f>
        <v>MUJ enero</v>
      </c>
      <c r="I214" s="89" t="str">
        <f ca="1">IFERROR(__xludf.DUMMYFUNCTION("""COMPUTED_VALUE"""),"Enero")</f>
        <v>Enero</v>
      </c>
      <c r="J214" s="89" t="str">
        <f ca="1">IFERROR(__xludf.DUMMYFUNCTION("""COMPUTED_VALUE"""),"MUJ")</f>
        <v>MUJ</v>
      </c>
      <c r="K214" s="92"/>
      <c r="L214" s="89" t="str">
        <f ca="1">IFERROR(__xludf.DUMMYFUNCTION("""COMPUTED_VALUE"""),"TRIMESTRE 1")</f>
        <v>TRIMESTRE 1</v>
      </c>
      <c r="M214" s="89" t="str">
        <f ca="1">IFERROR(__xludf.DUMMYFUNCTION("""COMPUTED_VALUE"""),"MUJERES ADULTAS")</f>
        <v>MUJERES ADULTAS</v>
      </c>
    </row>
    <row r="215" spans="1:13">
      <c r="A215" s="89" t="str">
        <f ca="1">IFERROR(__xludf.DUMMYFUNCTION("""COMPUTED_VALUE"""),"4.1.3.2")</f>
        <v>4.1.3.2</v>
      </c>
      <c r="B215" s="89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215" s="89" t="str">
        <f ca="1">IFERROR(__xludf.DUMMYFUNCTION("""COMPUTED_VALUE"""),"4. Programas")</f>
        <v>4. Programas</v>
      </c>
      <c r="D215" s="89" t="str">
        <f ca="1">IFERROR(__xludf.DUMMYFUNCTION("""COMPUTED_VALUE"""),"Guadalajara: Capital de las niñas y los niños")</f>
        <v>Guadalajara: Capital de las niñas y los niños</v>
      </c>
      <c r="E215" s="89" t="str">
        <f ca="1">IFERROR(__xludf.DUMMYFUNCTION("""COMPUTED_VALUE"""),"Custodia, tutela, adopciones y acogimiento familiar")</f>
        <v>Custodia, tutela, adopciones y acogimiento familiar</v>
      </c>
      <c r="F215" s="89" t="str">
        <f ca="1">IFERROR(__xludf.DUMMYFUNCTION("""COMPUTED_VALUE"""),"A2C3. Medidas de protección dictadas que se les dio seguimiento")</f>
        <v>A2C3. Medidas de protección dictadas que se les dio seguimiento</v>
      </c>
      <c r="G215" s="89" t="str">
        <f ca="1">IFERROR(__xludf.DUMMYFUNCTION("""COMPUTED_VALUE"""),"Porcentaje de NNA a los que se les dio seguimientos en las medidas de protección dictadas, en 2023")</f>
        <v>Porcentaje de NNA a los que se les dio seguimientos en las medidas de protección dictadas, en 2023</v>
      </c>
      <c r="H215" s="89" t="str">
        <f ca="1">IFERROR(__xludf.DUMMYFUNCTION("""COMPUTED_VALUE"""),"HOM enero")</f>
        <v>HOM enero</v>
      </c>
      <c r="I215" s="89" t="str">
        <f ca="1">IFERROR(__xludf.DUMMYFUNCTION("""COMPUTED_VALUE"""),"Enero")</f>
        <v>Enero</v>
      </c>
      <c r="J215" s="89" t="str">
        <f ca="1">IFERROR(__xludf.DUMMYFUNCTION("""COMPUTED_VALUE"""),"HOM")</f>
        <v>HOM</v>
      </c>
      <c r="K215" s="92"/>
      <c r="L215" s="89" t="str">
        <f ca="1">IFERROR(__xludf.DUMMYFUNCTION("""COMPUTED_VALUE"""),"TRIMESTRE 1")</f>
        <v>TRIMESTRE 1</v>
      </c>
      <c r="M215" s="89" t="str">
        <f ca="1">IFERROR(__xludf.DUMMYFUNCTION("""COMPUTED_VALUE"""),"HOMBRES ADULTOS")</f>
        <v>HOMBRES ADULTOS</v>
      </c>
    </row>
    <row r="216" spans="1:13">
      <c r="A216" s="89" t="str">
        <f ca="1">IFERROR(__xludf.DUMMYFUNCTION("""COMPUTED_VALUE"""),"4.1.3.2")</f>
        <v>4.1.3.2</v>
      </c>
      <c r="B216" s="89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216" s="89" t="str">
        <f ca="1">IFERROR(__xludf.DUMMYFUNCTION("""COMPUTED_VALUE"""),"4. Programas")</f>
        <v>4. Programas</v>
      </c>
      <c r="D216" s="89" t="str">
        <f ca="1">IFERROR(__xludf.DUMMYFUNCTION("""COMPUTED_VALUE"""),"Guadalajara: Capital de las niñas y los niños")</f>
        <v>Guadalajara: Capital de las niñas y los niños</v>
      </c>
      <c r="E216" s="89" t="str">
        <f ca="1">IFERROR(__xludf.DUMMYFUNCTION("""COMPUTED_VALUE"""),"Custodia, tutela, adopciones y acogimiento familiar")</f>
        <v>Custodia, tutela, adopciones y acogimiento familiar</v>
      </c>
      <c r="F216" s="89" t="str">
        <f ca="1">IFERROR(__xludf.DUMMYFUNCTION("""COMPUTED_VALUE"""),"A2C3. Medidas de protección dictadas que se les dio seguimiento")</f>
        <v>A2C3. Medidas de protección dictadas que se les dio seguimiento</v>
      </c>
      <c r="G216" s="89" t="str">
        <f ca="1">IFERROR(__xludf.DUMMYFUNCTION("""COMPUTED_VALUE"""),"Porcentaje de NNA a los que se les dio seguimientos en las medidas de protección dictadas, en 2023")</f>
        <v>Porcentaje de NNA a los que se les dio seguimientos en las medidas de protección dictadas, en 2023</v>
      </c>
      <c r="H216" s="89" t="str">
        <f ca="1">IFERROR(__xludf.DUMMYFUNCTION("""COMPUTED_VALUE"""),"AMM enero")</f>
        <v>AMM enero</v>
      </c>
      <c r="I216" s="89" t="str">
        <f ca="1">IFERROR(__xludf.DUMMYFUNCTION("""COMPUTED_VALUE"""),"Enero")</f>
        <v>Enero</v>
      </c>
      <c r="J216" s="89" t="str">
        <f ca="1">IFERROR(__xludf.DUMMYFUNCTION("""COMPUTED_VALUE"""),"AMM")</f>
        <v>AMM</v>
      </c>
      <c r="K216" s="92"/>
      <c r="L216" s="89" t="str">
        <f ca="1">IFERROR(__xludf.DUMMYFUNCTION("""COMPUTED_VALUE"""),"TRIMESTRE 1")</f>
        <v>TRIMESTRE 1</v>
      </c>
      <c r="M216" s="89" t="str">
        <f ca="1">IFERROR(__xludf.DUMMYFUNCTION("""COMPUTED_VALUE"""),"ADULTA MAYOR MUJER")</f>
        <v>ADULTA MAYOR MUJER</v>
      </c>
    </row>
    <row r="217" spans="1:13">
      <c r="A217" s="89" t="str">
        <f ca="1">IFERROR(__xludf.DUMMYFUNCTION("""COMPUTED_VALUE"""),"4.1.3.2")</f>
        <v>4.1.3.2</v>
      </c>
      <c r="B217" s="89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217" s="89" t="str">
        <f ca="1">IFERROR(__xludf.DUMMYFUNCTION("""COMPUTED_VALUE"""),"4. Programas")</f>
        <v>4. Programas</v>
      </c>
      <c r="D217" s="89" t="str">
        <f ca="1">IFERROR(__xludf.DUMMYFUNCTION("""COMPUTED_VALUE"""),"Guadalajara: Capital de las niñas y los niños")</f>
        <v>Guadalajara: Capital de las niñas y los niños</v>
      </c>
      <c r="E217" s="89" t="str">
        <f ca="1">IFERROR(__xludf.DUMMYFUNCTION("""COMPUTED_VALUE"""),"Custodia, tutela, adopciones y acogimiento familiar")</f>
        <v>Custodia, tutela, adopciones y acogimiento familiar</v>
      </c>
      <c r="F217" s="89" t="str">
        <f ca="1">IFERROR(__xludf.DUMMYFUNCTION("""COMPUTED_VALUE"""),"A2C3. Medidas de protección dictadas que se les dio seguimiento")</f>
        <v>A2C3. Medidas de protección dictadas que se les dio seguimiento</v>
      </c>
      <c r="G217" s="89" t="str">
        <f ca="1">IFERROR(__xludf.DUMMYFUNCTION("""COMPUTED_VALUE"""),"Porcentaje de NNA a los que se les dio seguimientos en las medidas de protección dictadas, en 2023")</f>
        <v>Porcentaje de NNA a los que se les dio seguimientos en las medidas de protección dictadas, en 2023</v>
      </c>
      <c r="H217" s="89" t="str">
        <f ca="1">IFERROR(__xludf.DUMMYFUNCTION("""COMPUTED_VALUE"""),"AMH enero")</f>
        <v>AMH enero</v>
      </c>
      <c r="I217" s="89" t="str">
        <f ca="1">IFERROR(__xludf.DUMMYFUNCTION("""COMPUTED_VALUE"""),"Enero")</f>
        <v>Enero</v>
      </c>
      <c r="J217" s="89" t="str">
        <f ca="1">IFERROR(__xludf.DUMMYFUNCTION("""COMPUTED_VALUE"""),"AMH")</f>
        <v>AMH</v>
      </c>
      <c r="K217" s="92"/>
      <c r="L217" s="89" t="str">
        <f ca="1">IFERROR(__xludf.DUMMYFUNCTION("""COMPUTED_VALUE"""),"TRIMESTRE 1")</f>
        <v>TRIMESTRE 1</v>
      </c>
      <c r="M217" s="89" t="str">
        <f ca="1">IFERROR(__xludf.DUMMYFUNCTION("""COMPUTED_VALUE"""),"ADULTO MAYOR HOMBRE")</f>
        <v>ADULTO MAYOR HOMBRE</v>
      </c>
    </row>
    <row r="218" spans="1:13">
      <c r="A218" s="89" t="str">
        <f ca="1">IFERROR(__xludf.DUMMYFUNCTION("""COMPUTED_VALUE"""),"4.1.3.4")</f>
        <v>4.1.3.4</v>
      </c>
      <c r="B218" s="89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218" s="89" t="str">
        <f ca="1">IFERROR(__xludf.DUMMYFUNCTION("""COMPUTED_VALUE"""),"4. Programas")</f>
        <v>4. Programas</v>
      </c>
      <c r="D218" s="89" t="str">
        <f ca="1">IFERROR(__xludf.DUMMYFUNCTION("""COMPUTED_VALUE"""),"Guadalajara: Capital de las niñas y los niños")</f>
        <v>Guadalajara: Capital de las niñas y los niños</v>
      </c>
      <c r="E218" s="89" t="str">
        <f ca="1">IFERROR(__xludf.DUMMYFUNCTION("""COMPUTED_VALUE"""),"Custodia, tutela, adopciones y acogimiento familiar")</f>
        <v>Custodia, tutela, adopciones y acogimiento familiar</v>
      </c>
      <c r="F218" s="89" t="str">
        <f ca="1">IFERROR(__xludf.DUMMYFUNCTION("""COMPUTED_VALUE"""),"A4C3. NNA integrados en familias.")</f>
        <v>A4C3. NNA integrados en familias.</v>
      </c>
      <c r="G218" s="89" t="str">
        <f ca="1">IFERROR(__xludf.DUMMYFUNCTION("""COMPUTED_VALUE"""),"Porcentaje de NNA integrados en familias, en 2023")</f>
        <v>Porcentaje de NNA integrados en familias, en 2023</v>
      </c>
      <c r="H218" s="89" t="str">
        <f ca="1">IFERROR(__xludf.DUMMYFUNCTION("""COMPUTED_VALUE"""),"NAS enero")</f>
        <v>NAS enero</v>
      </c>
      <c r="I218" s="89" t="str">
        <f ca="1">IFERROR(__xludf.DUMMYFUNCTION("""COMPUTED_VALUE"""),"Enero")</f>
        <v>Enero</v>
      </c>
      <c r="J218" s="89" t="str">
        <f ca="1">IFERROR(__xludf.DUMMYFUNCTION("""COMPUTED_VALUE"""),"NAS")</f>
        <v>NAS</v>
      </c>
      <c r="K218" s="92">
        <f ca="1">IFERROR(__xludf.DUMMYFUNCTION("""COMPUTED_VALUE"""),13)</f>
        <v>13</v>
      </c>
      <c r="L218" s="89" t="str">
        <f ca="1">IFERROR(__xludf.DUMMYFUNCTION("""COMPUTED_VALUE"""),"TRIMESTRE 1")</f>
        <v>TRIMESTRE 1</v>
      </c>
      <c r="M218" s="89" t="str">
        <f ca="1">IFERROR(__xludf.DUMMYFUNCTION("""COMPUTED_VALUE"""),"NIÑAS")</f>
        <v>NIÑAS</v>
      </c>
    </row>
    <row r="219" spans="1:13">
      <c r="A219" s="89" t="str">
        <f ca="1">IFERROR(__xludf.DUMMYFUNCTION("""COMPUTED_VALUE"""),"4.1.3.4")</f>
        <v>4.1.3.4</v>
      </c>
      <c r="B219" s="89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219" s="89" t="str">
        <f ca="1">IFERROR(__xludf.DUMMYFUNCTION("""COMPUTED_VALUE"""),"4. Programas")</f>
        <v>4. Programas</v>
      </c>
      <c r="D219" s="89" t="str">
        <f ca="1">IFERROR(__xludf.DUMMYFUNCTION("""COMPUTED_VALUE"""),"Guadalajara: Capital de las niñas y los niños")</f>
        <v>Guadalajara: Capital de las niñas y los niños</v>
      </c>
      <c r="E219" s="89" t="str">
        <f ca="1">IFERROR(__xludf.DUMMYFUNCTION("""COMPUTED_VALUE"""),"Custodia, tutela, adopciones y acogimiento familiar")</f>
        <v>Custodia, tutela, adopciones y acogimiento familiar</v>
      </c>
      <c r="F219" s="89" t="str">
        <f ca="1">IFERROR(__xludf.DUMMYFUNCTION("""COMPUTED_VALUE"""),"A4C3. NNA integrados en familias.")</f>
        <v>A4C3. NNA integrados en familias.</v>
      </c>
      <c r="G219" s="89" t="str">
        <f ca="1">IFERROR(__xludf.DUMMYFUNCTION("""COMPUTED_VALUE"""),"Porcentaje de NNA integrados en familias, en 2023")</f>
        <v>Porcentaje de NNA integrados en familias, en 2023</v>
      </c>
      <c r="H219" s="89" t="str">
        <f ca="1">IFERROR(__xludf.DUMMYFUNCTION("""COMPUTED_VALUE"""),"NOS enero")</f>
        <v>NOS enero</v>
      </c>
      <c r="I219" s="89" t="str">
        <f ca="1">IFERROR(__xludf.DUMMYFUNCTION("""COMPUTED_VALUE"""),"Enero")</f>
        <v>Enero</v>
      </c>
      <c r="J219" s="89" t="str">
        <f ca="1">IFERROR(__xludf.DUMMYFUNCTION("""COMPUTED_VALUE"""),"NOS")</f>
        <v>NOS</v>
      </c>
      <c r="K219" s="92">
        <f ca="1">IFERROR(__xludf.DUMMYFUNCTION("""COMPUTED_VALUE"""),9)</f>
        <v>9</v>
      </c>
      <c r="L219" s="89" t="str">
        <f ca="1">IFERROR(__xludf.DUMMYFUNCTION("""COMPUTED_VALUE"""),"TRIMESTRE 1")</f>
        <v>TRIMESTRE 1</v>
      </c>
      <c r="M219" s="89" t="str">
        <f ca="1">IFERROR(__xludf.DUMMYFUNCTION("""COMPUTED_VALUE"""),"NIÑOS")</f>
        <v>NIÑOS</v>
      </c>
    </row>
    <row r="220" spans="1:13">
      <c r="A220" s="89" t="str">
        <f ca="1">IFERROR(__xludf.DUMMYFUNCTION("""COMPUTED_VALUE"""),"4.1.3.4")</f>
        <v>4.1.3.4</v>
      </c>
      <c r="B220" s="89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220" s="89" t="str">
        <f ca="1">IFERROR(__xludf.DUMMYFUNCTION("""COMPUTED_VALUE"""),"4. Programas")</f>
        <v>4. Programas</v>
      </c>
      <c r="D220" s="89" t="str">
        <f ca="1">IFERROR(__xludf.DUMMYFUNCTION("""COMPUTED_VALUE"""),"Guadalajara: Capital de las niñas y los niños")</f>
        <v>Guadalajara: Capital de las niñas y los niños</v>
      </c>
      <c r="E220" s="89" t="str">
        <f ca="1">IFERROR(__xludf.DUMMYFUNCTION("""COMPUTED_VALUE"""),"Custodia, tutela, adopciones y acogimiento familiar")</f>
        <v>Custodia, tutela, adopciones y acogimiento familiar</v>
      </c>
      <c r="F220" s="89" t="str">
        <f ca="1">IFERROR(__xludf.DUMMYFUNCTION("""COMPUTED_VALUE"""),"A4C3. NNA integrados en familias.")</f>
        <v>A4C3. NNA integrados en familias.</v>
      </c>
      <c r="G220" s="89" t="str">
        <f ca="1">IFERROR(__xludf.DUMMYFUNCTION("""COMPUTED_VALUE"""),"Porcentaje de NNA integrados en familias, en 2023")</f>
        <v>Porcentaje de NNA integrados en familias, en 2023</v>
      </c>
      <c r="H220" s="89" t="str">
        <f ca="1">IFERROR(__xludf.DUMMYFUNCTION("""COMPUTED_VALUE"""),"AM enero")</f>
        <v>AM enero</v>
      </c>
      <c r="I220" s="89" t="str">
        <f ca="1">IFERROR(__xludf.DUMMYFUNCTION("""COMPUTED_VALUE"""),"Enero")</f>
        <v>Enero</v>
      </c>
      <c r="J220" s="89" t="str">
        <f ca="1">IFERROR(__xludf.DUMMYFUNCTION("""COMPUTED_VALUE"""),"AM")</f>
        <v>AM</v>
      </c>
      <c r="K220" s="92">
        <f ca="1">IFERROR(__xludf.DUMMYFUNCTION("""COMPUTED_VALUE"""),1)</f>
        <v>1</v>
      </c>
      <c r="L220" s="89" t="str">
        <f ca="1">IFERROR(__xludf.DUMMYFUNCTION("""COMPUTED_VALUE"""),"TRIMESTRE 1")</f>
        <v>TRIMESTRE 1</v>
      </c>
      <c r="M220" s="89" t="str">
        <f ca="1">IFERROR(__xludf.DUMMYFUNCTION("""COMPUTED_VALUE"""),"ADOLESCENTES MUJERES")</f>
        <v>ADOLESCENTES MUJERES</v>
      </c>
    </row>
    <row r="221" spans="1:13">
      <c r="A221" s="89" t="str">
        <f ca="1">IFERROR(__xludf.DUMMYFUNCTION("""COMPUTED_VALUE"""),"4.1.3.4")</f>
        <v>4.1.3.4</v>
      </c>
      <c r="B221" s="89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221" s="89" t="str">
        <f ca="1">IFERROR(__xludf.DUMMYFUNCTION("""COMPUTED_VALUE"""),"4. Programas")</f>
        <v>4. Programas</v>
      </c>
      <c r="D221" s="89" t="str">
        <f ca="1">IFERROR(__xludf.DUMMYFUNCTION("""COMPUTED_VALUE"""),"Guadalajara: Capital de las niñas y los niños")</f>
        <v>Guadalajara: Capital de las niñas y los niños</v>
      </c>
      <c r="E221" s="89" t="str">
        <f ca="1">IFERROR(__xludf.DUMMYFUNCTION("""COMPUTED_VALUE"""),"Custodia, tutela, adopciones y acogimiento familiar")</f>
        <v>Custodia, tutela, adopciones y acogimiento familiar</v>
      </c>
      <c r="F221" s="89" t="str">
        <f ca="1">IFERROR(__xludf.DUMMYFUNCTION("""COMPUTED_VALUE"""),"A4C3. NNA integrados en familias.")</f>
        <v>A4C3. NNA integrados en familias.</v>
      </c>
      <c r="G221" s="89" t="str">
        <f ca="1">IFERROR(__xludf.DUMMYFUNCTION("""COMPUTED_VALUE"""),"Porcentaje de NNA integrados en familias, en 2023")</f>
        <v>Porcentaje de NNA integrados en familias, en 2023</v>
      </c>
      <c r="H221" s="89" t="str">
        <f ca="1">IFERROR(__xludf.DUMMYFUNCTION("""COMPUTED_VALUE"""),"AH enero")</f>
        <v>AH enero</v>
      </c>
      <c r="I221" s="89" t="str">
        <f ca="1">IFERROR(__xludf.DUMMYFUNCTION("""COMPUTED_VALUE"""),"Enero")</f>
        <v>Enero</v>
      </c>
      <c r="J221" s="89" t="str">
        <f ca="1">IFERROR(__xludf.DUMMYFUNCTION("""COMPUTED_VALUE"""),"AH")</f>
        <v>AH</v>
      </c>
      <c r="K221" s="92"/>
      <c r="L221" s="89" t="str">
        <f ca="1">IFERROR(__xludf.DUMMYFUNCTION("""COMPUTED_VALUE"""),"TRIMESTRE 1")</f>
        <v>TRIMESTRE 1</v>
      </c>
      <c r="M221" s="89" t="str">
        <f ca="1">IFERROR(__xludf.DUMMYFUNCTION("""COMPUTED_VALUE"""),"ADOLESCENTES HOMBRES")</f>
        <v>ADOLESCENTES HOMBRES</v>
      </c>
    </row>
    <row r="222" spans="1:13">
      <c r="A222" s="89" t="str">
        <f ca="1">IFERROR(__xludf.DUMMYFUNCTION("""COMPUTED_VALUE"""),"4.1.3.4")</f>
        <v>4.1.3.4</v>
      </c>
      <c r="B222" s="89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222" s="89" t="str">
        <f ca="1">IFERROR(__xludf.DUMMYFUNCTION("""COMPUTED_VALUE"""),"4. Programas")</f>
        <v>4. Programas</v>
      </c>
      <c r="D222" s="89" t="str">
        <f ca="1">IFERROR(__xludf.DUMMYFUNCTION("""COMPUTED_VALUE"""),"Guadalajara: Capital de las niñas y los niños")</f>
        <v>Guadalajara: Capital de las niñas y los niños</v>
      </c>
      <c r="E222" s="89" t="str">
        <f ca="1">IFERROR(__xludf.DUMMYFUNCTION("""COMPUTED_VALUE"""),"Custodia, tutela, adopciones y acogimiento familiar")</f>
        <v>Custodia, tutela, adopciones y acogimiento familiar</v>
      </c>
      <c r="F222" s="89" t="str">
        <f ca="1">IFERROR(__xludf.DUMMYFUNCTION("""COMPUTED_VALUE"""),"A4C3. NNA integrados en familias.")</f>
        <v>A4C3. NNA integrados en familias.</v>
      </c>
      <c r="G222" s="89" t="str">
        <f ca="1">IFERROR(__xludf.DUMMYFUNCTION("""COMPUTED_VALUE"""),"Porcentaje de NNA integrados en familias, en 2023")</f>
        <v>Porcentaje de NNA integrados en familias, en 2023</v>
      </c>
      <c r="H222" s="89" t="str">
        <f ca="1">IFERROR(__xludf.DUMMYFUNCTION("""COMPUTED_VALUE"""),"MUJ enero")</f>
        <v>MUJ enero</v>
      </c>
      <c r="I222" s="89" t="str">
        <f ca="1">IFERROR(__xludf.DUMMYFUNCTION("""COMPUTED_VALUE"""),"Enero")</f>
        <v>Enero</v>
      </c>
      <c r="J222" s="89" t="str">
        <f ca="1">IFERROR(__xludf.DUMMYFUNCTION("""COMPUTED_VALUE"""),"MUJ")</f>
        <v>MUJ</v>
      </c>
      <c r="K222" s="92"/>
      <c r="L222" s="89" t="str">
        <f ca="1">IFERROR(__xludf.DUMMYFUNCTION("""COMPUTED_VALUE"""),"TRIMESTRE 1")</f>
        <v>TRIMESTRE 1</v>
      </c>
      <c r="M222" s="89" t="str">
        <f ca="1">IFERROR(__xludf.DUMMYFUNCTION("""COMPUTED_VALUE"""),"MUJERES ADULTAS")</f>
        <v>MUJERES ADULTAS</v>
      </c>
    </row>
    <row r="223" spans="1:13">
      <c r="A223" s="89" t="str">
        <f ca="1">IFERROR(__xludf.DUMMYFUNCTION("""COMPUTED_VALUE"""),"4.1.3.4")</f>
        <v>4.1.3.4</v>
      </c>
      <c r="B223" s="89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223" s="89" t="str">
        <f ca="1">IFERROR(__xludf.DUMMYFUNCTION("""COMPUTED_VALUE"""),"4. Programas")</f>
        <v>4. Programas</v>
      </c>
      <c r="D223" s="89" t="str">
        <f ca="1">IFERROR(__xludf.DUMMYFUNCTION("""COMPUTED_VALUE"""),"Guadalajara: Capital de las niñas y los niños")</f>
        <v>Guadalajara: Capital de las niñas y los niños</v>
      </c>
      <c r="E223" s="89" t="str">
        <f ca="1">IFERROR(__xludf.DUMMYFUNCTION("""COMPUTED_VALUE"""),"Custodia, tutela, adopciones y acogimiento familiar")</f>
        <v>Custodia, tutela, adopciones y acogimiento familiar</v>
      </c>
      <c r="F223" s="89" t="str">
        <f ca="1">IFERROR(__xludf.DUMMYFUNCTION("""COMPUTED_VALUE"""),"A4C3. NNA integrados en familias.")</f>
        <v>A4C3. NNA integrados en familias.</v>
      </c>
      <c r="G223" s="89" t="str">
        <f ca="1">IFERROR(__xludf.DUMMYFUNCTION("""COMPUTED_VALUE"""),"Porcentaje de NNA integrados en familias, en 2023")</f>
        <v>Porcentaje de NNA integrados en familias, en 2023</v>
      </c>
      <c r="H223" s="89" t="str">
        <f ca="1">IFERROR(__xludf.DUMMYFUNCTION("""COMPUTED_VALUE"""),"HOM enero")</f>
        <v>HOM enero</v>
      </c>
      <c r="I223" s="89" t="str">
        <f ca="1">IFERROR(__xludf.DUMMYFUNCTION("""COMPUTED_VALUE"""),"Enero")</f>
        <v>Enero</v>
      </c>
      <c r="J223" s="89" t="str">
        <f ca="1">IFERROR(__xludf.DUMMYFUNCTION("""COMPUTED_VALUE"""),"HOM")</f>
        <v>HOM</v>
      </c>
      <c r="K223" s="92"/>
      <c r="L223" s="89" t="str">
        <f ca="1">IFERROR(__xludf.DUMMYFUNCTION("""COMPUTED_VALUE"""),"TRIMESTRE 1")</f>
        <v>TRIMESTRE 1</v>
      </c>
      <c r="M223" s="89" t="str">
        <f ca="1">IFERROR(__xludf.DUMMYFUNCTION("""COMPUTED_VALUE"""),"HOMBRES ADULTOS")</f>
        <v>HOMBRES ADULTOS</v>
      </c>
    </row>
    <row r="224" spans="1:13">
      <c r="A224" s="89" t="str">
        <f ca="1">IFERROR(__xludf.DUMMYFUNCTION("""COMPUTED_VALUE"""),"4.1.3.4")</f>
        <v>4.1.3.4</v>
      </c>
      <c r="B224" s="89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224" s="89" t="str">
        <f ca="1">IFERROR(__xludf.DUMMYFUNCTION("""COMPUTED_VALUE"""),"4. Programas")</f>
        <v>4. Programas</v>
      </c>
      <c r="D224" s="89" t="str">
        <f ca="1">IFERROR(__xludf.DUMMYFUNCTION("""COMPUTED_VALUE"""),"Guadalajara: Capital de las niñas y los niños")</f>
        <v>Guadalajara: Capital de las niñas y los niños</v>
      </c>
      <c r="E224" s="89" t="str">
        <f ca="1">IFERROR(__xludf.DUMMYFUNCTION("""COMPUTED_VALUE"""),"Custodia, tutela, adopciones y acogimiento familiar")</f>
        <v>Custodia, tutela, adopciones y acogimiento familiar</v>
      </c>
      <c r="F224" s="89" t="str">
        <f ca="1">IFERROR(__xludf.DUMMYFUNCTION("""COMPUTED_VALUE"""),"A4C3. NNA integrados en familias.")</f>
        <v>A4C3. NNA integrados en familias.</v>
      </c>
      <c r="G224" s="89" t="str">
        <f ca="1">IFERROR(__xludf.DUMMYFUNCTION("""COMPUTED_VALUE"""),"Porcentaje de NNA integrados en familias, en 2023")</f>
        <v>Porcentaje de NNA integrados en familias, en 2023</v>
      </c>
      <c r="H224" s="89" t="str">
        <f ca="1">IFERROR(__xludf.DUMMYFUNCTION("""COMPUTED_VALUE"""),"AMM enero")</f>
        <v>AMM enero</v>
      </c>
      <c r="I224" s="89" t="str">
        <f ca="1">IFERROR(__xludf.DUMMYFUNCTION("""COMPUTED_VALUE"""),"Enero")</f>
        <v>Enero</v>
      </c>
      <c r="J224" s="89" t="str">
        <f ca="1">IFERROR(__xludf.DUMMYFUNCTION("""COMPUTED_VALUE"""),"AMM")</f>
        <v>AMM</v>
      </c>
      <c r="K224" s="92"/>
      <c r="L224" s="89" t="str">
        <f ca="1">IFERROR(__xludf.DUMMYFUNCTION("""COMPUTED_VALUE"""),"TRIMESTRE 1")</f>
        <v>TRIMESTRE 1</v>
      </c>
      <c r="M224" s="89" t="str">
        <f ca="1">IFERROR(__xludf.DUMMYFUNCTION("""COMPUTED_VALUE"""),"ADULTA MAYOR MUJER")</f>
        <v>ADULTA MAYOR MUJER</v>
      </c>
    </row>
    <row r="225" spans="1:13">
      <c r="A225" s="89" t="str">
        <f ca="1">IFERROR(__xludf.DUMMYFUNCTION("""COMPUTED_VALUE"""),"4.1.3.4")</f>
        <v>4.1.3.4</v>
      </c>
      <c r="B225" s="89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225" s="89" t="str">
        <f ca="1">IFERROR(__xludf.DUMMYFUNCTION("""COMPUTED_VALUE"""),"4. Programas")</f>
        <v>4. Programas</v>
      </c>
      <c r="D225" s="89" t="str">
        <f ca="1">IFERROR(__xludf.DUMMYFUNCTION("""COMPUTED_VALUE"""),"Guadalajara: Capital de las niñas y los niños")</f>
        <v>Guadalajara: Capital de las niñas y los niños</v>
      </c>
      <c r="E225" s="89" t="str">
        <f ca="1">IFERROR(__xludf.DUMMYFUNCTION("""COMPUTED_VALUE"""),"Custodia, tutela, adopciones y acogimiento familiar")</f>
        <v>Custodia, tutela, adopciones y acogimiento familiar</v>
      </c>
      <c r="F225" s="89" t="str">
        <f ca="1">IFERROR(__xludf.DUMMYFUNCTION("""COMPUTED_VALUE"""),"A4C3. NNA integrados en familias.")</f>
        <v>A4C3. NNA integrados en familias.</v>
      </c>
      <c r="G225" s="89" t="str">
        <f ca="1">IFERROR(__xludf.DUMMYFUNCTION("""COMPUTED_VALUE"""),"Porcentaje de NNA integrados en familias, en 2023")</f>
        <v>Porcentaje de NNA integrados en familias, en 2023</v>
      </c>
      <c r="H225" s="89" t="str">
        <f ca="1">IFERROR(__xludf.DUMMYFUNCTION("""COMPUTED_VALUE"""),"AMH enero")</f>
        <v>AMH enero</v>
      </c>
      <c r="I225" s="89" t="str">
        <f ca="1">IFERROR(__xludf.DUMMYFUNCTION("""COMPUTED_VALUE"""),"Enero")</f>
        <v>Enero</v>
      </c>
      <c r="J225" s="89" t="str">
        <f ca="1">IFERROR(__xludf.DUMMYFUNCTION("""COMPUTED_VALUE"""),"AMH")</f>
        <v>AMH</v>
      </c>
      <c r="K225" s="92"/>
      <c r="L225" s="89" t="str">
        <f ca="1">IFERROR(__xludf.DUMMYFUNCTION("""COMPUTED_VALUE"""),"TRIMESTRE 1")</f>
        <v>TRIMESTRE 1</v>
      </c>
      <c r="M225" s="89" t="str">
        <f ca="1">IFERROR(__xludf.DUMMYFUNCTION("""COMPUTED_VALUE"""),"ADULTO MAYOR HOMBRE")</f>
        <v>ADULTO MAYOR HOMBRE</v>
      </c>
    </row>
    <row r="226" spans="1:13">
      <c r="A226" s="89" t="str">
        <f ca="1">IFERROR(__xludf.DUMMYFUNCTION("""COMPUTED_VALUE"""),"4.1.3.0")</f>
        <v>4.1.3.0</v>
      </c>
      <c r="B226" s="89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226" s="89" t="str">
        <f ca="1">IFERROR(__xludf.DUMMYFUNCTION("""COMPUTED_VALUE"""),"4. Programas")</f>
        <v>4. Programas</v>
      </c>
      <c r="D226" s="89" t="str">
        <f ca="1">IFERROR(__xludf.DUMMYFUNCTION("""COMPUTED_VALUE"""),"Guadalajara: Capital de las niñas y los niños")</f>
        <v>Guadalajara: Capital de las niñas y los niños</v>
      </c>
      <c r="E226" s="89" t="str">
        <f ca="1">IFERROR(__xludf.DUMMYFUNCTION("""COMPUTED_VALUE"""),"Custodia, tutela, adopciones y acogimiento familiar")</f>
        <v>Custodia, tutela, adopciones y acogimiento familiar</v>
      </c>
      <c r="F226" s="89" t="str">
        <f ca="1">IFERROR(__xludf.DUMMYFUNCTION("""COMPUTED_VALUE"""),"C3. NNA del municipio de Guadalajara que recibieron servicios para la protección y restitución de sus derechos")</f>
        <v>C3. NNA del municipio de Guadalajara que recibieron servicios para la protección y restitución de sus derechos</v>
      </c>
      <c r="G226" s="89" t="str">
        <f ca="1">IFERROR(__xludf.DUMMYFUNCTION("""COMPUTED_VALUE"""),"Porcentaje de NNA con al menos un derecho protegido y/o restituido por la DIPNNA, en 2023")</f>
        <v>Porcentaje de NNA con al menos un derecho protegido y/o restituido por la DIPNNA, en 2023</v>
      </c>
      <c r="H226" s="89" t="str">
        <f ca="1">IFERROR(__xludf.DUMMYFUNCTION("""COMPUTED_VALUE"""),"NAS FEBRERO")</f>
        <v>NAS FEBRERO</v>
      </c>
      <c r="I226" s="89" t="str">
        <f ca="1">IFERROR(__xludf.DUMMYFUNCTION("""COMPUTED_VALUE"""),"Febrero")</f>
        <v>Febrero</v>
      </c>
      <c r="J226" s="89" t="str">
        <f ca="1">IFERROR(__xludf.DUMMYFUNCTION("""COMPUTED_VALUE"""),"NAS")</f>
        <v>NAS</v>
      </c>
      <c r="K226" s="92">
        <f ca="1">IFERROR(__xludf.DUMMYFUNCTION("""COMPUTED_VALUE"""),42)</f>
        <v>42</v>
      </c>
      <c r="L226" s="89" t="str">
        <f ca="1">IFERROR(__xludf.DUMMYFUNCTION("""COMPUTED_VALUE"""),"TRIMESTRE 1")</f>
        <v>TRIMESTRE 1</v>
      </c>
      <c r="M226" s="89" t="str">
        <f ca="1">IFERROR(__xludf.DUMMYFUNCTION("""COMPUTED_VALUE"""),"NIÑAS")</f>
        <v>NIÑAS</v>
      </c>
    </row>
    <row r="227" spans="1:13">
      <c r="A227" s="89" t="str">
        <f ca="1">IFERROR(__xludf.DUMMYFUNCTION("""COMPUTED_VALUE"""),"4.1.3.0")</f>
        <v>4.1.3.0</v>
      </c>
      <c r="B227" s="89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227" s="89" t="str">
        <f ca="1">IFERROR(__xludf.DUMMYFUNCTION("""COMPUTED_VALUE"""),"4. Programas")</f>
        <v>4. Programas</v>
      </c>
      <c r="D227" s="89" t="str">
        <f ca="1">IFERROR(__xludf.DUMMYFUNCTION("""COMPUTED_VALUE"""),"Guadalajara: Capital de las niñas y los niños")</f>
        <v>Guadalajara: Capital de las niñas y los niños</v>
      </c>
      <c r="E227" s="89" t="str">
        <f ca="1">IFERROR(__xludf.DUMMYFUNCTION("""COMPUTED_VALUE"""),"Custodia, tutela, adopciones y acogimiento familiar")</f>
        <v>Custodia, tutela, adopciones y acogimiento familiar</v>
      </c>
      <c r="F227" s="89" t="str">
        <f ca="1">IFERROR(__xludf.DUMMYFUNCTION("""COMPUTED_VALUE"""),"C3. NNA del municipio de Guadalajara que recibieron servicios para la protección y restitución de sus derechos")</f>
        <v>C3. NNA del municipio de Guadalajara que recibieron servicios para la protección y restitución de sus derechos</v>
      </c>
      <c r="G227" s="89" t="str">
        <f ca="1">IFERROR(__xludf.DUMMYFUNCTION("""COMPUTED_VALUE"""),"Porcentaje de NNA con al menos un derecho protegido y/o restituido por la DIPNNA, en 2023")</f>
        <v>Porcentaje de NNA con al menos un derecho protegido y/o restituido por la DIPNNA, en 2023</v>
      </c>
      <c r="H227" s="89" t="str">
        <f ca="1">IFERROR(__xludf.DUMMYFUNCTION("""COMPUTED_VALUE"""),"NOS FEBRERO")</f>
        <v>NOS FEBRERO</v>
      </c>
      <c r="I227" s="89" t="str">
        <f ca="1">IFERROR(__xludf.DUMMYFUNCTION("""COMPUTED_VALUE"""),"Febrero")</f>
        <v>Febrero</v>
      </c>
      <c r="J227" s="89" t="str">
        <f ca="1">IFERROR(__xludf.DUMMYFUNCTION("""COMPUTED_VALUE"""),"NOS")</f>
        <v>NOS</v>
      </c>
      <c r="K227" s="92">
        <f ca="1">IFERROR(__xludf.DUMMYFUNCTION("""COMPUTED_VALUE"""),47)</f>
        <v>47</v>
      </c>
      <c r="L227" s="89" t="str">
        <f ca="1">IFERROR(__xludf.DUMMYFUNCTION("""COMPUTED_VALUE"""),"TRIMESTRE 1")</f>
        <v>TRIMESTRE 1</v>
      </c>
      <c r="M227" s="89" t="str">
        <f ca="1">IFERROR(__xludf.DUMMYFUNCTION("""COMPUTED_VALUE"""),"NIÑOS")</f>
        <v>NIÑOS</v>
      </c>
    </row>
    <row r="228" spans="1:13">
      <c r="A228" s="89" t="str">
        <f ca="1">IFERROR(__xludf.DUMMYFUNCTION("""COMPUTED_VALUE"""),"4.1.3.0")</f>
        <v>4.1.3.0</v>
      </c>
      <c r="B228" s="89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228" s="89" t="str">
        <f ca="1">IFERROR(__xludf.DUMMYFUNCTION("""COMPUTED_VALUE"""),"4. Programas")</f>
        <v>4. Programas</v>
      </c>
      <c r="D228" s="89" t="str">
        <f ca="1">IFERROR(__xludf.DUMMYFUNCTION("""COMPUTED_VALUE"""),"Guadalajara: Capital de las niñas y los niños")</f>
        <v>Guadalajara: Capital de las niñas y los niños</v>
      </c>
      <c r="E228" s="89" t="str">
        <f ca="1">IFERROR(__xludf.DUMMYFUNCTION("""COMPUTED_VALUE"""),"Custodia, tutela, adopciones y acogimiento familiar")</f>
        <v>Custodia, tutela, adopciones y acogimiento familiar</v>
      </c>
      <c r="F228" s="89" t="str">
        <f ca="1">IFERROR(__xludf.DUMMYFUNCTION("""COMPUTED_VALUE"""),"C3. NNA del municipio de Guadalajara que recibieron servicios para la protección y restitución de sus derechos")</f>
        <v>C3. NNA del municipio de Guadalajara que recibieron servicios para la protección y restitución de sus derechos</v>
      </c>
      <c r="G228" s="89" t="str">
        <f ca="1">IFERROR(__xludf.DUMMYFUNCTION("""COMPUTED_VALUE"""),"Porcentaje de NNA con al menos un derecho protegido y/o restituido por la DIPNNA, en 2023")</f>
        <v>Porcentaje de NNA con al menos un derecho protegido y/o restituido por la DIPNNA, en 2023</v>
      </c>
      <c r="H228" s="89" t="str">
        <f ca="1">IFERROR(__xludf.DUMMYFUNCTION("""COMPUTED_VALUE"""),"AM FEBRERO")</f>
        <v>AM FEBRERO</v>
      </c>
      <c r="I228" s="89" t="str">
        <f ca="1">IFERROR(__xludf.DUMMYFUNCTION("""COMPUTED_VALUE"""),"Febrero")</f>
        <v>Febrero</v>
      </c>
      <c r="J228" s="89" t="str">
        <f ca="1">IFERROR(__xludf.DUMMYFUNCTION("""COMPUTED_VALUE"""),"AM")</f>
        <v>AM</v>
      </c>
      <c r="K228" s="92">
        <f ca="1">IFERROR(__xludf.DUMMYFUNCTION("""COMPUTED_VALUE"""),8)</f>
        <v>8</v>
      </c>
      <c r="L228" s="89" t="str">
        <f ca="1">IFERROR(__xludf.DUMMYFUNCTION("""COMPUTED_VALUE"""),"TRIMESTRE 1")</f>
        <v>TRIMESTRE 1</v>
      </c>
      <c r="M228" s="89" t="str">
        <f ca="1">IFERROR(__xludf.DUMMYFUNCTION("""COMPUTED_VALUE"""),"ADOLESCENTES MUJERES")</f>
        <v>ADOLESCENTES MUJERES</v>
      </c>
    </row>
    <row r="229" spans="1:13">
      <c r="A229" s="89" t="str">
        <f ca="1">IFERROR(__xludf.DUMMYFUNCTION("""COMPUTED_VALUE"""),"4.1.3.0")</f>
        <v>4.1.3.0</v>
      </c>
      <c r="B229" s="89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229" s="89" t="str">
        <f ca="1">IFERROR(__xludf.DUMMYFUNCTION("""COMPUTED_VALUE"""),"4. Programas")</f>
        <v>4. Programas</v>
      </c>
      <c r="D229" s="89" t="str">
        <f ca="1">IFERROR(__xludf.DUMMYFUNCTION("""COMPUTED_VALUE"""),"Guadalajara: Capital de las niñas y los niños")</f>
        <v>Guadalajara: Capital de las niñas y los niños</v>
      </c>
      <c r="E229" s="89" t="str">
        <f ca="1">IFERROR(__xludf.DUMMYFUNCTION("""COMPUTED_VALUE"""),"Custodia, tutela, adopciones y acogimiento familiar")</f>
        <v>Custodia, tutela, adopciones y acogimiento familiar</v>
      </c>
      <c r="F229" s="89" t="str">
        <f ca="1">IFERROR(__xludf.DUMMYFUNCTION("""COMPUTED_VALUE"""),"C3. NNA del municipio de Guadalajara que recibieron servicios para la protección y restitución de sus derechos")</f>
        <v>C3. NNA del municipio de Guadalajara que recibieron servicios para la protección y restitución de sus derechos</v>
      </c>
      <c r="G229" s="89" t="str">
        <f ca="1">IFERROR(__xludf.DUMMYFUNCTION("""COMPUTED_VALUE"""),"Porcentaje de NNA con al menos un derecho protegido y/o restituido por la DIPNNA, en 2023")</f>
        <v>Porcentaje de NNA con al menos un derecho protegido y/o restituido por la DIPNNA, en 2023</v>
      </c>
      <c r="H229" s="89" t="str">
        <f ca="1">IFERROR(__xludf.DUMMYFUNCTION("""COMPUTED_VALUE"""),"AH FEBRERO")</f>
        <v>AH FEBRERO</v>
      </c>
      <c r="I229" s="89" t="str">
        <f ca="1">IFERROR(__xludf.DUMMYFUNCTION("""COMPUTED_VALUE"""),"Febrero")</f>
        <v>Febrero</v>
      </c>
      <c r="J229" s="89" t="str">
        <f ca="1">IFERROR(__xludf.DUMMYFUNCTION("""COMPUTED_VALUE"""),"AH")</f>
        <v>AH</v>
      </c>
      <c r="K229" s="92">
        <f ca="1">IFERROR(__xludf.DUMMYFUNCTION("""COMPUTED_VALUE"""),7)</f>
        <v>7</v>
      </c>
      <c r="L229" s="89" t="str">
        <f ca="1">IFERROR(__xludf.DUMMYFUNCTION("""COMPUTED_VALUE"""),"TRIMESTRE 1")</f>
        <v>TRIMESTRE 1</v>
      </c>
      <c r="M229" s="89" t="str">
        <f ca="1">IFERROR(__xludf.DUMMYFUNCTION("""COMPUTED_VALUE"""),"ADOLESCENTES HOMBRES")</f>
        <v>ADOLESCENTES HOMBRES</v>
      </c>
    </row>
    <row r="230" spans="1:13">
      <c r="A230" s="89" t="str">
        <f ca="1">IFERROR(__xludf.DUMMYFUNCTION("""COMPUTED_VALUE"""),"4.1.3.0")</f>
        <v>4.1.3.0</v>
      </c>
      <c r="B230" s="89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230" s="89" t="str">
        <f ca="1">IFERROR(__xludf.DUMMYFUNCTION("""COMPUTED_VALUE"""),"4. Programas")</f>
        <v>4. Programas</v>
      </c>
      <c r="D230" s="89" t="str">
        <f ca="1">IFERROR(__xludf.DUMMYFUNCTION("""COMPUTED_VALUE"""),"Guadalajara: Capital de las niñas y los niños")</f>
        <v>Guadalajara: Capital de las niñas y los niños</v>
      </c>
      <c r="E230" s="89" t="str">
        <f ca="1">IFERROR(__xludf.DUMMYFUNCTION("""COMPUTED_VALUE"""),"Custodia, tutela, adopciones y acogimiento familiar")</f>
        <v>Custodia, tutela, adopciones y acogimiento familiar</v>
      </c>
      <c r="F230" s="89" t="str">
        <f ca="1">IFERROR(__xludf.DUMMYFUNCTION("""COMPUTED_VALUE"""),"C3. NNA del municipio de Guadalajara que recibieron servicios para la protección y restitución de sus derechos")</f>
        <v>C3. NNA del municipio de Guadalajara que recibieron servicios para la protección y restitución de sus derechos</v>
      </c>
      <c r="G230" s="89" t="str">
        <f ca="1">IFERROR(__xludf.DUMMYFUNCTION("""COMPUTED_VALUE"""),"Porcentaje de NNA con al menos un derecho protegido y/o restituido por la DIPNNA, en 2023")</f>
        <v>Porcentaje de NNA con al menos un derecho protegido y/o restituido por la DIPNNA, en 2023</v>
      </c>
      <c r="H230" s="89" t="str">
        <f ca="1">IFERROR(__xludf.DUMMYFUNCTION("""COMPUTED_VALUE"""),"MUJ FEBRERO")</f>
        <v>MUJ FEBRERO</v>
      </c>
      <c r="I230" s="89" t="str">
        <f ca="1">IFERROR(__xludf.DUMMYFUNCTION("""COMPUTED_VALUE"""),"Febrero")</f>
        <v>Febrero</v>
      </c>
      <c r="J230" s="89" t="str">
        <f ca="1">IFERROR(__xludf.DUMMYFUNCTION("""COMPUTED_VALUE"""),"MUJ")</f>
        <v>MUJ</v>
      </c>
      <c r="K230" s="92"/>
      <c r="L230" s="89" t="str">
        <f ca="1">IFERROR(__xludf.DUMMYFUNCTION("""COMPUTED_VALUE"""),"TRIMESTRE 1")</f>
        <v>TRIMESTRE 1</v>
      </c>
      <c r="M230" s="89" t="str">
        <f ca="1">IFERROR(__xludf.DUMMYFUNCTION("""COMPUTED_VALUE"""),"MUJERES ADULTAS")</f>
        <v>MUJERES ADULTAS</v>
      </c>
    </row>
    <row r="231" spans="1:13">
      <c r="A231" s="89" t="str">
        <f ca="1">IFERROR(__xludf.DUMMYFUNCTION("""COMPUTED_VALUE"""),"4.1.3.0")</f>
        <v>4.1.3.0</v>
      </c>
      <c r="B231" s="89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231" s="89" t="str">
        <f ca="1">IFERROR(__xludf.DUMMYFUNCTION("""COMPUTED_VALUE"""),"4. Programas")</f>
        <v>4. Programas</v>
      </c>
      <c r="D231" s="89" t="str">
        <f ca="1">IFERROR(__xludf.DUMMYFUNCTION("""COMPUTED_VALUE"""),"Guadalajara: Capital de las niñas y los niños")</f>
        <v>Guadalajara: Capital de las niñas y los niños</v>
      </c>
      <c r="E231" s="89" t="str">
        <f ca="1">IFERROR(__xludf.DUMMYFUNCTION("""COMPUTED_VALUE"""),"Custodia, tutela, adopciones y acogimiento familiar")</f>
        <v>Custodia, tutela, adopciones y acogimiento familiar</v>
      </c>
      <c r="F231" s="89" t="str">
        <f ca="1">IFERROR(__xludf.DUMMYFUNCTION("""COMPUTED_VALUE"""),"C3. NNA del municipio de Guadalajara que recibieron servicios para la protección y restitución de sus derechos")</f>
        <v>C3. NNA del municipio de Guadalajara que recibieron servicios para la protección y restitución de sus derechos</v>
      </c>
      <c r="G231" s="89" t="str">
        <f ca="1">IFERROR(__xludf.DUMMYFUNCTION("""COMPUTED_VALUE"""),"Porcentaje de NNA con al menos un derecho protegido y/o restituido por la DIPNNA, en 2023")</f>
        <v>Porcentaje de NNA con al menos un derecho protegido y/o restituido por la DIPNNA, en 2023</v>
      </c>
      <c r="H231" s="89" t="str">
        <f ca="1">IFERROR(__xludf.DUMMYFUNCTION("""COMPUTED_VALUE"""),"HOM FEBRERO")</f>
        <v>HOM FEBRERO</v>
      </c>
      <c r="I231" s="89" t="str">
        <f ca="1">IFERROR(__xludf.DUMMYFUNCTION("""COMPUTED_VALUE"""),"Febrero")</f>
        <v>Febrero</v>
      </c>
      <c r="J231" s="89" t="str">
        <f ca="1">IFERROR(__xludf.DUMMYFUNCTION("""COMPUTED_VALUE"""),"HOM")</f>
        <v>HOM</v>
      </c>
      <c r="K231" s="92"/>
      <c r="L231" s="89" t="str">
        <f ca="1">IFERROR(__xludf.DUMMYFUNCTION("""COMPUTED_VALUE"""),"TRIMESTRE 1")</f>
        <v>TRIMESTRE 1</v>
      </c>
      <c r="M231" s="89" t="str">
        <f ca="1">IFERROR(__xludf.DUMMYFUNCTION("""COMPUTED_VALUE"""),"HOMBRES ADULTOS")</f>
        <v>HOMBRES ADULTOS</v>
      </c>
    </row>
    <row r="232" spans="1:13">
      <c r="A232" s="89" t="str">
        <f ca="1">IFERROR(__xludf.DUMMYFUNCTION("""COMPUTED_VALUE"""),"4.1.3.0")</f>
        <v>4.1.3.0</v>
      </c>
      <c r="B232" s="89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232" s="89" t="str">
        <f ca="1">IFERROR(__xludf.DUMMYFUNCTION("""COMPUTED_VALUE"""),"4. Programas")</f>
        <v>4. Programas</v>
      </c>
      <c r="D232" s="89" t="str">
        <f ca="1">IFERROR(__xludf.DUMMYFUNCTION("""COMPUTED_VALUE"""),"Guadalajara: Capital de las niñas y los niños")</f>
        <v>Guadalajara: Capital de las niñas y los niños</v>
      </c>
      <c r="E232" s="89" t="str">
        <f ca="1">IFERROR(__xludf.DUMMYFUNCTION("""COMPUTED_VALUE"""),"Custodia, tutela, adopciones y acogimiento familiar")</f>
        <v>Custodia, tutela, adopciones y acogimiento familiar</v>
      </c>
      <c r="F232" s="89" t="str">
        <f ca="1">IFERROR(__xludf.DUMMYFUNCTION("""COMPUTED_VALUE"""),"C3. NNA del municipio de Guadalajara que recibieron servicios para la protección y restitución de sus derechos")</f>
        <v>C3. NNA del municipio de Guadalajara que recibieron servicios para la protección y restitución de sus derechos</v>
      </c>
      <c r="G232" s="89" t="str">
        <f ca="1">IFERROR(__xludf.DUMMYFUNCTION("""COMPUTED_VALUE"""),"Porcentaje de NNA con al menos un derecho protegido y/o restituido por la DIPNNA, en 2023")</f>
        <v>Porcentaje de NNA con al menos un derecho protegido y/o restituido por la DIPNNA, en 2023</v>
      </c>
      <c r="H232" s="89" t="str">
        <f ca="1">IFERROR(__xludf.DUMMYFUNCTION("""COMPUTED_VALUE"""),"AMM FEBRERO")</f>
        <v>AMM FEBRERO</v>
      </c>
      <c r="I232" s="89" t="str">
        <f ca="1">IFERROR(__xludf.DUMMYFUNCTION("""COMPUTED_VALUE"""),"Febrero")</f>
        <v>Febrero</v>
      </c>
      <c r="J232" s="89" t="str">
        <f ca="1">IFERROR(__xludf.DUMMYFUNCTION("""COMPUTED_VALUE"""),"AMM")</f>
        <v>AMM</v>
      </c>
      <c r="K232" s="92"/>
      <c r="L232" s="89" t="str">
        <f ca="1">IFERROR(__xludf.DUMMYFUNCTION("""COMPUTED_VALUE"""),"TRIMESTRE 1")</f>
        <v>TRIMESTRE 1</v>
      </c>
      <c r="M232" s="89" t="str">
        <f ca="1">IFERROR(__xludf.DUMMYFUNCTION("""COMPUTED_VALUE"""),"ADULTA MAYOR MUJER")</f>
        <v>ADULTA MAYOR MUJER</v>
      </c>
    </row>
    <row r="233" spans="1:13">
      <c r="A233" s="89" t="str">
        <f ca="1">IFERROR(__xludf.DUMMYFUNCTION("""COMPUTED_VALUE"""),"4.1.3.0")</f>
        <v>4.1.3.0</v>
      </c>
      <c r="B233" s="89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233" s="89" t="str">
        <f ca="1">IFERROR(__xludf.DUMMYFUNCTION("""COMPUTED_VALUE"""),"4. Programas")</f>
        <v>4. Programas</v>
      </c>
      <c r="D233" s="89" t="str">
        <f ca="1">IFERROR(__xludf.DUMMYFUNCTION("""COMPUTED_VALUE"""),"Guadalajara: Capital de las niñas y los niños")</f>
        <v>Guadalajara: Capital de las niñas y los niños</v>
      </c>
      <c r="E233" s="89" t="str">
        <f ca="1">IFERROR(__xludf.DUMMYFUNCTION("""COMPUTED_VALUE"""),"Custodia, tutela, adopciones y acogimiento familiar")</f>
        <v>Custodia, tutela, adopciones y acogimiento familiar</v>
      </c>
      <c r="F233" s="89" t="str">
        <f ca="1">IFERROR(__xludf.DUMMYFUNCTION("""COMPUTED_VALUE"""),"C3. NNA del municipio de Guadalajara que recibieron servicios para la protección y restitución de sus derechos")</f>
        <v>C3. NNA del municipio de Guadalajara que recibieron servicios para la protección y restitución de sus derechos</v>
      </c>
      <c r="G233" s="89" t="str">
        <f ca="1">IFERROR(__xludf.DUMMYFUNCTION("""COMPUTED_VALUE"""),"Porcentaje de NNA con al menos un derecho protegido y/o restituido por la DIPNNA, en 2023")</f>
        <v>Porcentaje de NNA con al menos un derecho protegido y/o restituido por la DIPNNA, en 2023</v>
      </c>
      <c r="H233" s="89" t="str">
        <f ca="1">IFERROR(__xludf.DUMMYFUNCTION("""COMPUTED_VALUE"""),"AMH FEBRERO")</f>
        <v>AMH FEBRERO</v>
      </c>
      <c r="I233" s="89" t="str">
        <f ca="1">IFERROR(__xludf.DUMMYFUNCTION("""COMPUTED_VALUE"""),"Febrero")</f>
        <v>Febrero</v>
      </c>
      <c r="J233" s="89" t="str">
        <f ca="1">IFERROR(__xludf.DUMMYFUNCTION("""COMPUTED_VALUE"""),"AMH")</f>
        <v>AMH</v>
      </c>
      <c r="K233" s="92"/>
      <c r="L233" s="89" t="str">
        <f ca="1">IFERROR(__xludf.DUMMYFUNCTION("""COMPUTED_VALUE"""),"TRIMESTRE 1")</f>
        <v>TRIMESTRE 1</v>
      </c>
      <c r="M233" s="89" t="str">
        <f ca="1">IFERROR(__xludf.DUMMYFUNCTION("""COMPUTED_VALUE"""),"ADULTO MAYOR HOMBRE")</f>
        <v>ADULTO MAYOR HOMBRE</v>
      </c>
    </row>
    <row r="234" spans="1:13">
      <c r="A234" s="89" t="str">
        <f ca="1">IFERROR(__xludf.DUMMYFUNCTION("""COMPUTED_VALUE"""),"4.1.3.1")</f>
        <v>4.1.3.1</v>
      </c>
      <c r="B234" s="89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234" s="89" t="str">
        <f ca="1">IFERROR(__xludf.DUMMYFUNCTION("""COMPUTED_VALUE"""),"4. Programas")</f>
        <v>4. Programas</v>
      </c>
      <c r="D234" s="89" t="str">
        <f ca="1">IFERROR(__xludf.DUMMYFUNCTION("""COMPUTED_VALUE"""),"Guadalajara: Capital de las niñas y los niños")</f>
        <v>Guadalajara: Capital de las niñas y los niños</v>
      </c>
      <c r="E234" s="89" t="str">
        <f ca="1">IFERROR(__xludf.DUMMYFUNCTION("""COMPUTED_VALUE"""),"Custodia, tutela, adopciones y acogimiento familiar")</f>
        <v>Custodia, tutela, adopciones y acogimiento familiar</v>
      </c>
      <c r="F234" s="89" t="str">
        <f ca="1">IFERROR(__xludf.DUMMYFUNCTION("""COMPUTED_VALUE"""),"A1C3, Nuevas medidas de protección dictadas atendidas")</f>
        <v>A1C3, Nuevas medidas de protección dictadas atendidas</v>
      </c>
      <c r="G234" s="89" t="str">
        <f ca="1">IFERROR(__xludf.DUMMYFUNCTION("""COMPUTED_VALUE"""),"Porcentaje de NNA a los que se les dio seguimientos en las nuevas medidas de protección dictadas en 2023")</f>
        <v>Porcentaje de NNA a los que se les dio seguimientos en las nuevas medidas de protección dictadas en 2023</v>
      </c>
      <c r="H234" s="89" t="str">
        <f ca="1">IFERROR(__xludf.DUMMYFUNCTION("""COMPUTED_VALUE"""),"NAS FEBRERO")</f>
        <v>NAS FEBRERO</v>
      </c>
      <c r="I234" s="89" t="str">
        <f ca="1">IFERROR(__xludf.DUMMYFUNCTION("""COMPUTED_VALUE"""),"Febrero")</f>
        <v>Febrero</v>
      </c>
      <c r="J234" s="89" t="str">
        <f ca="1">IFERROR(__xludf.DUMMYFUNCTION("""COMPUTED_VALUE"""),"NAS")</f>
        <v>NAS</v>
      </c>
      <c r="K234" s="92">
        <f ca="1">IFERROR(__xludf.DUMMYFUNCTION("""COMPUTED_VALUE"""),21)</f>
        <v>21</v>
      </c>
      <c r="L234" s="89" t="str">
        <f ca="1">IFERROR(__xludf.DUMMYFUNCTION("""COMPUTED_VALUE"""),"TRIMESTRE 1")</f>
        <v>TRIMESTRE 1</v>
      </c>
      <c r="M234" s="89" t="str">
        <f ca="1">IFERROR(__xludf.DUMMYFUNCTION("""COMPUTED_VALUE"""),"NIÑAS")</f>
        <v>NIÑAS</v>
      </c>
    </row>
    <row r="235" spans="1:13">
      <c r="A235" s="89" t="str">
        <f ca="1">IFERROR(__xludf.DUMMYFUNCTION("""COMPUTED_VALUE"""),"4.1.3.1")</f>
        <v>4.1.3.1</v>
      </c>
      <c r="B235" s="89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235" s="89" t="str">
        <f ca="1">IFERROR(__xludf.DUMMYFUNCTION("""COMPUTED_VALUE"""),"4. Programas")</f>
        <v>4. Programas</v>
      </c>
      <c r="D235" s="89" t="str">
        <f ca="1">IFERROR(__xludf.DUMMYFUNCTION("""COMPUTED_VALUE"""),"Guadalajara: Capital de las niñas y los niños")</f>
        <v>Guadalajara: Capital de las niñas y los niños</v>
      </c>
      <c r="E235" s="89" t="str">
        <f ca="1">IFERROR(__xludf.DUMMYFUNCTION("""COMPUTED_VALUE"""),"Custodia, tutela, adopciones y acogimiento familiar")</f>
        <v>Custodia, tutela, adopciones y acogimiento familiar</v>
      </c>
      <c r="F235" s="89" t="str">
        <f ca="1">IFERROR(__xludf.DUMMYFUNCTION("""COMPUTED_VALUE"""),"A1C3, Nuevas medidas de protección dictadas atendidas")</f>
        <v>A1C3, Nuevas medidas de protección dictadas atendidas</v>
      </c>
      <c r="G235" s="89" t="str">
        <f ca="1">IFERROR(__xludf.DUMMYFUNCTION("""COMPUTED_VALUE"""),"Porcentaje de NNA a los que se les dio seguimientos en las nuevas medidas de protección dictadas en 2023")</f>
        <v>Porcentaje de NNA a los que se les dio seguimientos en las nuevas medidas de protección dictadas en 2023</v>
      </c>
      <c r="H235" s="89" t="str">
        <f ca="1">IFERROR(__xludf.DUMMYFUNCTION("""COMPUTED_VALUE"""),"NOS FEBRERO")</f>
        <v>NOS FEBRERO</v>
      </c>
      <c r="I235" s="89" t="str">
        <f ca="1">IFERROR(__xludf.DUMMYFUNCTION("""COMPUTED_VALUE"""),"Febrero")</f>
        <v>Febrero</v>
      </c>
      <c r="J235" s="89" t="str">
        <f ca="1">IFERROR(__xludf.DUMMYFUNCTION("""COMPUTED_VALUE"""),"NOS")</f>
        <v>NOS</v>
      </c>
      <c r="K235" s="92">
        <f ca="1">IFERROR(__xludf.DUMMYFUNCTION("""COMPUTED_VALUE"""),13)</f>
        <v>13</v>
      </c>
      <c r="L235" s="89" t="str">
        <f ca="1">IFERROR(__xludf.DUMMYFUNCTION("""COMPUTED_VALUE"""),"TRIMESTRE 1")</f>
        <v>TRIMESTRE 1</v>
      </c>
      <c r="M235" s="89" t="str">
        <f ca="1">IFERROR(__xludf.DUMMYFUNCTION("""COMPUTED_VALUE"""),"NIÑOS")</f>
        <v>NIÑOS</v>
      </c>
    </row>
    <row r="236" spans="1:13">
      <c r="A236" s="89" t="str">
        <f ca="1">IFERROR(__xludf.DUMMYFUNCTION("""COMPUTED_VALUE"""),"4.1.3.1")</f>
        <v>4.1.3.1</v>
      </c>
      <c r="B236" s="89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236" s="89" t="str">
        <f ca="1">IFERROR(__xludf.DUMMYFUNCTION("""COMPUTED_VALUE"""),"4. Programas")</f>
        <v>4. Programas</v>
      </c>
      <c r="D236" s="89" t="str">
        <f ca="1">IFERROR(__xludf.DUMMYFUNCTION("""COMPUTED_VALUE"""),"Guadalajara: Capital de las niñas y los niños")</f>
        <v>Guadalajara: Capital de las niñas y los niños</v>
      </c>
      <c r="E236" s="89" t="str">
        <f ca="1">IFERROR(__xludf.DUMMYFUNCTION("""COMPUTED_VALUE"""),"Custodia, tutela, adopciones y acogimiento familiar")</f>
        <v>Custodia, tutela, adopciones y acogimiento familiar</v>
      </c>
      <c r="F236" s="89" t="str">
        <f ca="1">IFERROR(__xludf.DUMMYFUNCTION("""COMPUTED_VALUE"""),"A1C3, Nuevas medidas de protección dictadas atendidas")</f>
        <v>A1C3, Nuevas medidas de protección dictadas atendidas</v>
      </c>
      <c r="G236" s="89" t="str">
        <f ca="1">IFERROR(__xludf.DUMMYFUNCTION("""COMPUTED_VALUE"""),"Porcentaje de NNA a los que se les dio seguimientos en las nuevas medidas de protección dictadas en 2023")</f>
        <v>Porcentaje de NNA a los que se les dio seguimientos en las nuevas medidas de protección dictadas en 2023</v>
      </c>
      <c r="H236" s="89" t="str">
        <f ca="1">IFERROR(__xludf.DUMMYFUNCTION("""COMPUTED_VALUE"""),"AM FEBRERO")</f>
        <v>AM FEBRERO</v>
      </c>
      <c r="I236" s="89" t="str">
        <f ca="1">IFERROR(__xludf.DUMMYFUNCTION("""COMPUTED_VALUE"""),"Febrero")</f>
        <v>Febrero</v>
      </c>
      <c r="J236" s="89" t="str">
        <f ca="1">IFERROR(__xludf.DUMMYFUNCTION("""COMPUTED_VALUE"""),"AM")</f>
        <v>AM</v>
      </c>
      <c r="K236" s="92"/>
      <c r="L236" s="89" t="str">
        <f ca="1">IFERROR(__xludf.DUMMYFUNCTION("""COMPUTED_VALUE"""),"TRIMESTRE 1")</f>
        <v>TRIMESTRE 1</v>
      </c>
      <c r="M236" s="89" t="str">
        <f ca="1">IFERROR(__xludf.DUMMYFUNCTION("""COMPUTED_VALUE"""),"ADOLESCENTES MUJERES")</f>
        <v>ADOLESCENTES MUJERES</v>
      </c>
    </row>
    <row r="237" spans="1:13">
      <c r="A237" s="89" t="str">
        <f ca="1">IFERROR(__xludf.DUMMYFUNCTION("""COMPUTED_VALUE"""),"4.1.3.1")</f>
        <v>4.1.3.1</v>
      </c>
      <c r="B237" s="89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237" s="89" t="str">
        <f ca="1">IFERROR(__xludf.DUMMYFUNCTION("""COMPUTED_VALUE"""),"4. Programas")</f>
        <v>4. Programas</v>
      </c>
      <c r="D237" s="89" t="str">
        <f ca="1">IFERROR(__xludf.DUMMYFUNCTION("""COMPUTED_VALUE"""),"Guadalajara: Capital de las niñas y los niños")</f>
        <v>Guadalajara: Capital de las niñas y los niños</v>
      </c>
      <c r="E237" s="89" t="str">
        <f ca="1">IFERROR(__xludf.DUMMYFUNCTION("""COMPUTED_VALUE"""),"Custodia, tutela, adopciones y acogimiento familiar")</f>
        <v>Custodia, tutela, adopciones y acogimiento familiar</v>
      </c>
      <c r="F237" s="89" t="str">
        <f ca="1">IFERROR(__xludf.DUMMYFUNCTION("""COMPUTED_VALUE"""),"A1C3, Nuevas medidas de protección dictadas atendidas")</f>
        <v>A1C3, Nuevas medidas de protección dictadas atendidas</v>
      </c>
      <c r="G237" s="89" t="str">
        <f ca="1">IFERROR(__xludf.DUMMYFUNCTION("""COMPUTED_VALUE"""),"Porcentaje de NNA a los que se les dio seguimientos en las nuevas medidas de protección dictadas en 2023")</f>
        <v>Porcentaje de NNA a los que se les dio seguimientos en las nuevas medidas de protección dictadas en 2023</v>
      </c>
      <c r="H237" s="89" t="str">
        <f ca="1">IFERROR(__xludf.DUMMYFUNCTION("""COMPUTED_VALUE"""),"AH FEBRERO")</f>
        <v>AH FEBRERO</v>
      </c>
      <c r="I237" s="89" t="str">
        <f ca="1">IFERROR(__xludf.DUMMYFUNCTION("""COMPUTED_VALUE"""),"Febrero")</f>
        <v>Febrero</v>
      </c>
      <c r="J237" s="89" t="str">
        <f ca="1">IFERROR(__xludf.DUMMYFUNCTION("""COMPUTED_VALUE"""),"AH")</f>
        <v>AH</v>
      </c>
      <c r="K237" s="92"/>
      <c r="L237" s="89" t="str">
        <f ca="1">IFERROR(__xludf.DUMMYFUNCTION("""COMPUTED_VALUE"""),"TRIMESTRE 1")</f>
        <v>TRIMESTRE 1</v>
      </c>
      <c r="M237" s="89" t="str">
        <f ca="1">IFERROR(__xludf.DUMMYFUNCTION("""COMPUTED_VALUE"""),"ADOLESCENTES HOMBRES")</f>
        <v>ADOLESCENTES HOMBRES</v>
      </c>
    </row>
    <row r="238" spans="1:13">
      <c r="A238" s="89" t="str">
        <f ca="1">IFERROR(__xludf.DUMMYFUNCTION("""COMPUTED_VALUE"""),"4.1.3.1")</f>
        <v>4.1.3.1</v>
      </c>
      <c r="B238" s="89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238" s="89" t="str">
        <f ca="1">IFERROR(__xludf.DUMMYFUNCTION("""COMPUTED_VALUE"""),"4. Programas")</f>
        <v>4. Programas</v>
      </c>
      <c r="D238" s="89" t="str">
        <f ca="1">IFERROR(__xludf.DUMMYFUNCTION("""COMPUTED_VALUE"""),"Guadalajara: Capital de las niñas y los niños")</f>
        <v>Guadalajara: Capital de las niñas y los niños</v>
      </c>
      <c r="E238" s="89" t="str">
        <f ca="1">IFERROR(__xludf.DUMMYFUNCTION("""COMPUTED_VALUE"""),"Custodia, tutela, adopciones y acogimiento familiar")</f>
        <v>Custodia, tutela, adopciones y acogimiento familiar</v>
      </c>
      <c r="F238" s="89" t="str">
        <f ca="1">IFERROR(__xludf.DUMMYFUNCTION("""COMPUTED_VALUE"""),"A1C3, Nuevas medidas de protección dictadas atendidas")</f>
        <v>A1C3, Nuevas medidas de protección dictadas atendidas</v>
      </c>
      <c r="G238" s="89" t="str">
        <f ca="1">IFERROR(__xludf.DUMMYFUNCTION("""COMPUTED_VALUE"""),"Porcentaje de NNA a los que se les dio seguimientos en las nuevas medidas de protección dictadas en 2023")</f>
        <v>Porcentaje de NNA a los que se les dio seguimientos en las nuevas medidas de protección dictadas en 2023</v>
      </c>
      <c r="H238" s="89" t="str">
        <f ca="1">IFERROR(__xludf.DUMMYFUNCTION("""COMPUTED_VALUE"""),"MUJ FEBRERO")</f>
        <v>MUJ FEBRERO</v>
      </c>
      <c r="I238" s="89" t="str">
        <f ca="1">IFERROR(__xludf.DUMMYFUNCTION("""COMPUTED_VALUE"""),"Febrero")</f>
        <v>Febrero</v>
      </c>
      <c r="J238" s="89" t="str">
        <f ca="1">IFERROR(__xludf.DUMMYFUNCTION("""COMPUTED_VALUE"""),"MUJ")</f>
        <v>MUJ</v>
      </c>
      <c r="K238" s="92"/>
      <c r="L238" s="89" t="str">
        <f ca="1">IFERROR(__xludf.DUMMYFUNCTION("""COMPUTED_VALUE"""),"TRIMESTRE 1")</f>
        <v>TRIMESTRE 1</v>
      </c>
      <c r="M238" s="89" t="str">
        <f ca="1">IFERROR(__xludf.DUMMYFUNCTION("""COMPUTED_VALUE"""),"MUJERES ADULTAS")</f>
        <v>MUJERES ADULTAS</v>
      </c>
    </row>
    <row r="239" spans="1:13">
      <c r="A239" s="89" t="str">
        <f ca="1">IFERROR(__xludf.DUMMYFUNCTION("""COMPUTED_VALUE"""),"4.1.3.1")</f>
        <v>4.1.3.1</v>
      </c>
      <c r="B239" s="89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239" s="89" t="str">
        <f ca="1">IFERROR(__xludf.DUMMYFUNCTION("""COMPUTED_VALUE"""),"4. Programas")</f>
        <v>4. Programas</v>
      </c>
      <c r="D239" s="89" t="str">
        <f ca="1">IFERROR(__xludf.DUMMYFUNCTION("""COMPUTED_VALUE"""),"Guadalajara: Capital de las niñas y los niños")</f>
        <v>Guadalajara: Capital de las niñas y los niños</v>
      </c>
      <c r="E239" s="89" t="str">
        <f ca="1">IFERROR(__xludf.DUMMYFUNCTION("""COMPUTED_VALUE"""),"Custodia, tutela, adopciones y acogimiento familiar")</f>
        <v>Custodia, tutela, adopciones y acogimiento familiar</v>
      </c>
      <c r="F239" s="89" t="str">
        <f ca="1">IFERROR(__xludf.DUMMYFUNCTION("""COMPUTED_VALUE"""),"A1C3, Nuevas medidas de protección dictadas atendidas")</f>
        <v>A1C3, Nuevas medidas de protección dictadas atendidas</v>
      </c>
      <c r="G239" s="89" t="str">
        <f ca="1">IFERROR(__xludf.DUMMYFUNCTION("""COMPUTED_VALUE"""),"Porcentaje de NNA a los que se les dio seguimientos en las nuevas medidas de protección dictadas en 2023")</f>
        <v>Porcentaje de NNA a los que se les dio seguimientos en las nuevas medidas de protección dictadas en 2023</v>
      </c>
      <c r="H239" s="89" t="str">
        <f ca="1">IFERROR(__xludf.DUMMYFUNCTION("""COMPUTED_VALUE"""),"HOM FEBRERO")</f>
        <v>HOM FEBRERO</v>
      </c>
      <c r="I239" s="89" t="str">
        <f ca="1">IFERROR(__xludf.DUMMYFUNCTION("""COMPUTED_VALUE"""),"Febrero")</f>
        <v>Febrero</v>
      </c>
      <c r="J239" s="89" t="str">
        <f ca="1">IFERROR(__xludf.DUMMYFUNCTION("""COMPUTED_VALUE"""),"HOM")</f>
        <v>HOM</v>
      </c>
      <c r="K239" s="92"/>
      <c r="L239" s="89" t="str">
        <f ca="1">IFERROR(__xludf.DUMMYFUNCTION("""COMPUTED_VALUE"""),"TRIMESTRE 1")</f>
        <v>TRIMESTRE 1</v>
      </c>
      <c r="M239" s="89" t="str">
        <f ca="1">IFERROR(__xludf.DUMMYFUNCTION("""COMPUTED_VALUE"""),"HOMBRES ADULTOS")</f>
        <v>HOMBRES ADULTOS</v>
      </c>
    </row>
    <row r="240" spans="1:13">
      <c r="A240" s="89" t="str">
        <f ca="1">IFERROR(__xludf.DUMMYFUNCTION("""COMPUTED_VALUE"""),"4.1.3.1")</f>
        <v>4.1.3.1</v>
      </c>
      <c r="B240" s="89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240" s="89" t="str">
        <f ca="1">IFERROR(__xludf.DUMMYFUNCTION("""COMPUTED_VALUE"""),"4. Programas")</f>
        <v>4. Programas</v>
      </c>
      <c r="D240" s="89" t="str">
        <f ca="1">IFERROR(__xludf.DUMMYFUNCTION("""COMPUTED_VALUE"""),"Guadalajara: Capital de las niñas y los niños")</f>
        <v>Guadalajara: Capital de las niñas y los niños</v>
      </c>
      <c r="E240" s="89" t="str">
        <f ca="1">IFERROR(__xludf.DUMMYFUNCTION("""COMPUTED_VALUE"""),"Custodia, tutela, adopciones y acogimiento familiar")</f>
        <v>Custodia, tutela, adopciones y acogimiento familiar</v>
      </c>
      <c r="F240" s="89" t="str">
        <f ca="1">IFERROR(__xludf.DUMMYFUNCTION("""COMPUTED_VALUE"""),"A1C3, Nuevas medidas de protección dictadas atendidas")</f>
        <v>A1C3, Nuevas medidas de protección dictadas atendidas</v>
      </c>
      <c r="G240" s="89" t="str">
        <f ca="1">IFERROR(__xludf.DUMMYFUNCTION("""COMPUTED_VALUE"""),"Porcentaje de NNA a los que se les dio seguimientos en las nuevas medidas de protección dictadas en 2023")</f>
        <v>Porcentaje de NNA a los que se les dio seguimientos en las nuevas medidas de protección dictadas en 2023</v>
      </c>
      <c r="H240" s="89" t="str">
        <f ca="1">IFERROR(__xludf.DUMMYFUNCTION("""COMPUTED_VALUE"""),"AMM FEBRERO")</f>
        <v>AMM FEBRERO</v>
      </c>
      <c r="I240" s="89" t="str">
        <f ca="1">IFERROR(__xludf.DUMMYFUNCTION("""COMPUTED_VALUE"""),"Febrero")</f>
        <v>Febrero</v>
      </c>
      <c r="J240" s="89" t="str">
        <f ca="1">IFERROR(__xludf.DUMMYFUNCTION("""COMPUTED_VALUE"""),"AMM")</f>
        <v>AMM</v>
      </c>
      <c r="K240" s="92"/>
      <c r="L240" s="89" t="str">
        <f ca="1">IFERROR(__xludf.DUMMYFUNCTION("""COMPUTED_VALUE"""),"TRIMESTRE 1")</f>
        <v>TRIMESTRE 1</v>
      </c>
      <c r="M240" s="89" t="str">
        <f ca="1">IFERROR(__xludf.DUMMYFUNCTION("""COMPUTED_VALUE"""),"ADULTA MAYOR MUJER")</f>
        <v>ADULTA MAYOR MUJER</v>
      </c>
    </row>
    <row r="241" spans="1:13">
      <c r="A241" s="89" t="str">
        <f ca="1">IFERROR(__xludf.DUMMYFUNCTION("""COMPUTED_VALUE"""),"4.1.3.1")</f>
        <v>4.1.3.1</v>
      </c>
      <c r="B241" s="89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241" s="89" t="str">
        <f ca="1">IFERROR(__xludf.DUMMYFUNCTION("""COMPUTED_VALUE"""),"4. Programas")</f>
        <v>4. Programas</v>
      </c>
      <c r="D241" s="89" t="str">
        <f ca="1">IFERROR(__xludf.DUMMYFUNCTION("""COMPUTED_VALUE"""),"Guadalajara: Capital de las niñas y los niños")</f>
        <v>Guadalajara: Capital de las niñas y los niños</v>
      </c>
      <c r="E241" s="89" t="str">
        <f ca="1">IFERROR(__xludf.DUMMYFUNCTION("""COMPUTED_VALUE"""),"Custodia, tutela, adopciones y acogimiento familiar")</f>
        <v>Custodia, tutela, adopciones y acogimiento familiar</v>
      </c>
      <c r="F241" s="89" t="str">
        <f ca="1">IFERROR(__xludf.DUMMYFUNCTION("""COMPUTED_VALUE"""),"A1C3, Nuevas medidas de protección dictadas atendidas")</f>
        <v>A1C3, Nuevas medidas de protección dictadas atendidas</v>
      </c>
      <c r="G241" s="89" t="str">
        <f ca="1">IFERROR(__xludf.DUMMYFUNCTION("""COMPUTED_VALUE"""),"Porcentaje de NNA a los que se les dio seguimientos en las nuevas medidas de protección dictadas en 2023")</f>
        <v>Porcentaje de NNA a los que se les dio seguimientos en las nuevas medidas de protección dictadas en 2023</v>
      </c>
      <c r="H241" s="89" t="str">
        <f ca="1">IFERROR(__xludf.DUMMYFUNCTION("""COMPUTED_VALUE"""),"AMH FEBRERO")</f>
        <v>AMH FEBRERO</v>
      </c>
      <c r="I241" s="89" t="str">
        <f ca="1">IFERROR(__xludf.DUMMYFUNCTION("""COMPUTED_VALUE"""),"Febrero")</f>
        <v>Febrero</v>
      </c>
      <c r="J241" s="89" t="str">
        <f ca="1">IFERROR(__xludf.DUMMYFUNCTION("""COMPUTED_VALUE"""),"AMH")</f>
        <v>AMH</v>
      </c>
      <c r="K241" s="92"/>
      <c r="L241" s="89" t="str">
        <f ca="1">IFERROR(__xludf.DUMMYFUNCTION("""COMPUTED_VALUE"""),"TRIMESTRE 1")</f>
        <v>TRIMESTRE 1</v>
      </c>
      <c r="M241" s="89" t="str">
        <f ca="1">IFERROR(__xludf.DUMMYFUNCTION("""COMPUTED_VALUE"""),"ADULTO MAYOR HOMBRE")</f>
        <v>ADULTO MAYOR HOMBRE</v>
      </c>
    </row>
    <row r="242" spans="1:13">
      <c r="A242" s="89" t="str">
        <f ca="1">IFERROR(__xludf.DUMMYFUNCTION("""COMPUTED_VALUE"""),"4.1.3.2")</f>
        <v>4.1.3.2</v>
      </c>
      <c r="B242" s="89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242" s="89" t="str">
        <f ca="1">IFERROR(__xludf.DUMMYFUNCTION("""COMPUTED_VALUE"""),"4. Programas")</f>
        <v>4. Programas</v>
      </c>
      <c r="D242" s="89" t="str">
        <f ca="1">IFERROR(__xludf.DUMMYFUNCTION("""COMPUTED_VALUE"""),"Guadalajara: Capital de las niñas y los niños")</f>
        <v>Guadalajara: Capital de las niñas y los niños</v>
      </c>
      <c r="E242" s="89" t="str">
        <f ca="1">IFERROR(__xludf.DUMMYFUNCTION("""COMPUTED_VALUE"""),"Custodia, tutela, adopciones y acogimiento familiar")</f>
        <v>Custodia, tutela, adopciones y acogimiento familiar</v>
      </c>
      <c r="F242" s="89" t="str">
        <f ca="1">IFERROR(__xludf.DUMMYFUNCTION("""COMPUTED_VALUE"""),"A2C3. Medidas de protección dictadas que se les dio seguimiento")</f>
        <v>A2C3. Medidas de protección dictadas que se les dio seguimiento</v>
      </c>
      <c r="G242" s="89" t="str">
        <f ca="1">IFERROR(__xludf.DUMMYFUNCTION("""COMPUTED_VALUE"""),"Porcentaje de NNA a los que se les dio seguimientos en las medidas de protección dictadas, en 2023")</f>
        <v>Porcentaje de NNA a los que se les dio seguimientos en las medidas de protección dictadas, en 2023</v>
      </c>
      <c r="H242" s="89" t="str">
        <f ca="1">IFERROR(__xludf.DUMMYFUNCTION("""COMPUTED_VALUE"""),"NAS FEBRERO")</f>
        <v>NAS FEBRERO</v>
      </c>
      <c r="I242" s="89" t="str">
        <f ca="1">IFERROR(__xludf.DUMMYFUNCTION("""COMPUTED_VALUE"""),"Febrero")</f>
        <v>Febrero</v>
      </c>
      <c r="J242" s="89" t="str">
        <f ca="1">IFERROR(__xludf.DUMMYFUNCTION("""COMPUTED_VALUE"""),"NAS")</f>
        <v>NAS</v>
      </c>
      <c r="K242" s="92">
        <f ca="1">IFERROR(__xludf.DUMMYFUNCTION("""COMPUTED_VALUE"""),48)</f>
        <v>48</v>
      </c>
      <c r="L242" s="89" t="str">
        <f ca="1">IFERROR(__xludf.DUMMYFUNCTION("""COMPUTED_VALUE"""),"TRIMESTRE 1")</f>
        <v>TRIMESTRE 1</v>
      </c>
      <c r="M242" s="89" t="str">
        <f ca="1">IFERROR(__xludf.DUMMYFUNCTION("""COMPUTED_VALUE"""),"NIÑAS")</f>
        <v>NIÑAS</v>
      </c>
    </row>
    <row r="243" spans="1:13">
      <c r="A243" s="89" t="str">
        <f ca="1">IFERROR(__xludf.DUMMYFUNCTION("""COMPUTED_VALUE"""),"4.1.3.2")</f>
        <v>4.1.3.2</v>
      </c>
      <c r="B243" s="89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243" s="89" t="str">
        <f ca="1">IFERROR(__xludf.DUMMYFUNCTION("""COMPUTED_VALUE"""),"4. Programas")</f>
        <v>4. Programas</v>
      </c>
      <c r="D243" s="89" t="str">
        <f ca="1">IFERROR(__xludf.DUMMYFUNCTION("""COMPUTED_VALUE"""),"Guadalajara: Capital de las niñas y los niños")</f>
        <v>Guadalajara: Capital de las niñas y los niños</v>
      </c>
      <c r="E243" s="89" t="str">
        <f ca="1">IFERROR(__xludf.DUMMYFUNCTION("""COMPUTED_VALUE"""),"Custodia, tutela, adopciones y acogimiento familiar")</f>
        <v>Custodia, tutela, adopciones y acogimiento familiar</v>
      </c>
      <c r="F243" s="89" t="str">
        <f ca="1">IFERROR(__xludf.DUMMYFUNCTION("""COMPUTED_VALUE"""),"A2C3. Medidas de protección dictadas que se les dio seguimiento")</f>
        <v>A2C3. Medidas de protección dictadas que se les dio seguimiento</v>
      </c>
      <c r="G243" s="89" t="str">
        <f ca="1">IFERROR(__xludf.DUMMYFUNCTION("""COMPUTED_VALUE"""),"Porcentaje de NNA a los que se les dio seguimientos en las medidas de protección dictadas, en 2023")</f>
        <v>Porcentaje de NNA a los que se les dio seguimientos en las medidas de protección dictadas, en 2023</v>
      </c>
      <c r="H243" s="89" t="str">
        <f ca="1">IFERROR(__xludf.DUMMYFUNCTION("""COMPUTED_VALUE"""),"NOS FEBRERO")</f>
        <v>NOS FEBRERO</v>
      </c>
      <c r="I243" s="89" t="str">
        <f ca="1">IFERROR(__xludf.DUMMYFUNCTION("""COMPUTED_VALUE"""),"Febrero")</f>
        <v>Febrero</v>
      </c>
      <c r="J243" s="89" t="str">
        <f ca="1">IFERROR(__xludf.DUMMYFUNCTION("""COMPUTED_VALUE"""),"NOS")</f>
        <v>NOS</v>
      </c>
      <c r="K243" s="92">
        <f ca="1">IFERROR(__xludf.DUMMYFUNCTION("""COMPUTED_VALUE"""),35)</f>
        <v>35</v>
      </c>
      <c r="L243" s="89" t="str">
        <f ca="1">IFERROR(__xludf.DUMMYFUNCTION("""COMPUTED_VALUE"""),"TRIMESTRE 1")</f>
        <v>TRIMESTRE 1</v>
      </c>
      <c r="M243" s="89" t="str">
        <f ca="1">IFERROR(__xludf.DUMMYFUNCTION("""COMPUTED_VALUE"""),"NIÑOS")</f>
        <v>NIÑOS</v>
      </c>
    </row>
    <row r="244" spans="1:13">
      <c r="A244" s="89" t="str">
        <f ca="1">IFERROR(__xludf.DUMMYFUNCTION("""COMPUTED_VALUE"""),"4.1.3.2")</f>
        <v>4.1.3.2</v>
      </c>
      <c r="B244" s="89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244" s="89" t="str">
        <f ca="1">IFERROR(__xludf.DUMMYFUNCTION("""COMPUTED_VALUE"""),"4. Programas")</f>
        <v>4. Programas</v>
      </c>
      <c r="D244" s="89" t="str">
        <f ca="1">IFERROR(__xludf.DUMMYFUNCTION("""COMPUTED_VALUE"""),"Guadalajara: Capital de las niñas y los niños")</f>
        <v>Guadalajara: Capital de las niñas y los niños</v>
      </c>
      <c r="E244" s="89" t="str">
        <f ca="1">IFERROR(__xludf.DUMMYFUNCTION("""COMPUTED_VALUE"""),"Custodia, tutela, adopciones y acogimiento familiar")</f>
        <v>Custodia, tutela, adopciones y acogimiento familiar</v>
      </c>
      <c r="F244" s="89" t="str">
        <f ca="1">IFERROR(__xludf.DUMMYFUNCTION("""COMPUTED_VALUE"""),"A2C3. Medidas de protección dictadas que se les dio seguimiento")</f>
        <v>A2C3. Medidas de protección dictadas que se les dio seguimiento</v>
      </c>
      <c r="G244" s="89" t="str">
        <f ca="1">IFERROR(__xludf.DUMMYFUNCTION("""COMPUTED_VALUE"""),"Porcentaje de NNA a los que se les dio seguimientos en las medidas de protección dictadas, en 2023")</f>
        <v>Porcentaje de NNA a los que se les dio seguimientos en las medidas de protección dictadas, en 2023</v>
      </c>
      <c r="H244" s="89" t="str">
        <f ca="1">IFERROR(__xludf.DUMMYFUNCTION("""COMPUTED_VALUE"""),"AM FEBRERO")</f>
        <v>AM FEBRERO</v>
      </c>
      <c r="I244" s="89" t="str">
        <f ca="1">IFERROR(__xludf.DUMMYFUNCTION("""COMPUTED_VALUE"""),"Febrero")</f>
        <v>Febrero</v>
      </c>
      <c r="J244" s="89" t="str">
        <f ca="1">IFERROR(__xludf.DUMMYFUNCTION("""COMPUTED_VALUE"""),"AM")</f>
        <v>AM</v>
      </c>
      <c r="K244" s="92">
        <f ca="1">IFERROR(__xludf.DUMMYFUNCTION("""COMPUTED_VALUE"""),3)</f>
        <v>3</v>
      </c>
      <c r="L244" s="89" t="str">
        <f ca="1">IFERROR(__xludf.DUMMYFUNCTION("""COMPUTED_VALUE"""),"TRIMESTRE 1")</f>
        <v>TRIMESTRE 1</v>
      </c>
      <c r="M244" s="89" t="str">
        <f ca="1">IFERROR(__xludf.DUMMYFUNCTION("""COMPUTED_VALUE"""),"ADOLESCENTES MUJERES")</f>
        <v>ADOLESCENTES MUJERES</v>
      </c>
    </row>
    <row r="245" spans="1:13">
      <c r="A245" s="89" t="str">
        <f ca="1">IFERROR(__xludf.DUMMYFUNCTION("""COMPUTED_VALUE"""),"4.1.3.2")</f>
        <v>4.1.3.2</v>
      </c>
      <c r="B245" s="89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245" s="89" t="str">
        <f ca="1">IFERROR(__xludf.DUMMYFUNCTION("""COMPUTED_VALUE"""),"4. Programas")</f>
        <v>4. Programas</v>
      </c>
      <c r="D245" s="89" t="str">
        <f ca="1">IFERROR(__xludf.DUMMYFUNCTION("""COMPUTED_VALUE"""),"Guadalajara: Capital de las niñas y los niños")</f>
        <v>Guadalajara: Capital de las niñas y los niños</v>
      </c>
      <c r="E245" s="89" t="str">
        <f ca="1">IFERROR(__xludf.DUMMYFUNCTION("""COMPUTED_VALUE"""),"Custodia, tutela, adopciones y acogimiento familiar")</f>
        <v>Custodia, tutela, adopciones y acogimiento familiar</v>
      </c>
      <c r="F245" s="89" t="str">
        <f ca="1">IFERROR(__xludf.DUMMYFUNCTION("""COMPUTED_VALUE"""),"A2C3. Medidas de protección dictadas que se les dio seguimiento")</f>
        <v>A2C3. Medidas de protección dictadas que se les dio seguimiento</v>
      </c>
      <c r="G245" s="89" t="str">
        <f ca="1">IFERROR(__xludf.DUMMYFUNCTION("""COMPUTED_VALUE"""),"Porcentaje de NNA a los que se les dio seguimientos en las medidas de protección dictadas, en 2023")</f>
        <v>Porcentaje de NNA a los que se les dio seguimientos en las medidas de protección dictadas, en 2023</v>
      </c>
      <c r="H245" s="89" t="str">
        <f ca="1">IFERROR(__xludf.DUMMYFUNCTION("""COMPUTED_VALUE"""),"AH FEBRERO")</f>
        <v>AH FEBRERO</v>
      </c>
      <c r="I245" s="89" t="str">
        <f ca="1">IFERROR(__xludf.DUMMYFUNCTION("""COMPUTED_VALUE"""),"Febrero")</f>
        <v>Febrero</v>
      </c>
      <c r="J245" s="89" t="str">
        <f ca="1">IFERROR(__xludf.DUMMYFUNCTION("""COMPUTED_VALUE"""),"AH")</f>
        <v>AH</v>
      </c>
      <c r="K245" s="92">
        <f ca="1">IFERROR(__xludf.DUMMYFUNCTION("""COMPUTED_VALUE"""),2)</f>
        <v>2</v>
      </c>
      <c r="L245" s="89" t="str">
        <f ca="1">IFERROR(__xludf.DUMMYFUNCTION("""COMPUTED_VALUE"""),"TRIMESTRE 1")</f>
        <v>TRIMESTRE 1</v>
      </c>
      <c r="M245" s="89" t="str">
        <f ca="1">IFERROR(__xludf.DUMMYFUNCTION("""COMPUTED_VALUE"""),"ADOLESCENTES HOMBRES")</f>
        <v>ADOLESCENTES HOMBRES</v>
      </c>
    </row>
    <row r="246" spans="1:13">
      <c r="A246" s="89" t="str">
        <f ca="1">IFERROR(__xludf.DUMMYFUNCTION("""COMPUTED_VALUE"""),"4.1.3.2")</f>
        <v>4.1.3.2</v>
      </c>
      <c r="B246" s="89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246" s="89" t="str">
        <f ca="1">IFERROR(__xludf.DUMMYFUNCTION("""COMPUTED_VALUE"""),"4. Programas")</f>
        <v>4. Programas</v>
      </c>
      <c r="D246" s="89" t="str">
        <f ca="1">IFERROR(__xludf.DUMMYFUNCTION("""COMPUTED_VALUE"""),"Guadalajara: Capital de las niñas y los niños")</f>
        <v>Guadalajara: Capital de las niñas y los niños</v>
      </c>
      <c r="E246" s="89" t="str">
        <f ca="1">IFERROR(__xludf.DUMMYFUNCTION("""COMPUTED_VALUE"""),"Custodia, tutela, adopciones y acogimiento familiar")</f>
        <v>Custodia, tutela, adopciones y acogimiento familiar</v>
      </c>
      <c r="F246" s="89" t="str">
        <f ca="1">IFERROR(__xludf.DUMMYFUNCTION("""COMPUTED_VALUE"""),"A2C3. Medidas de protección dictadas que se les dio seguimiento")</f>
        <v>A2C3. Medidas de protección dictadas que se les dio seguimiento</v>
      </c>
      <c r="G246" s="89" t="str">
        <f ca="1">IFERROR(__xludf.DUMMYFUNCTION("""COMPUTED_VALUE"""),"Porcentaje de NNA a los que se les dio seguimientos en las medidas de protección dictadas, en 2023")</f>
        <v>Porcentaje de NNA a los que se les dio seguimientos en las medidas de protección dictadas, en 2023</v>
      </c>
      <c r="H246" s="89" t="str">
        <f ca="1">IFERROR(__xludf.DUMMYFUNCTION("""COMPUTED_VALUE"""),"MUJ FEBRERO")</f>
        <v>MUJ FEBRERO</v>
      </c>
      <c r="I246" s="89" t="str">
        <f ca="1">IFERROR(__xludf.DUMMYFUNCTION("""COMPUTED_VALUE"""),"Febrero")</f>
        <v>Febrero</v>
      </c>
      <c r="J246" s="89" t="str">
        <f ca="1">IFERROR(__xludf.DUMMYFUNCTION("""COMPUTED_VALUE"""),"MUJ")</f>
        <v>MUJ</v>
      </c>
      <c r="K246" s="92"/>
      <c r="L246" s="89" t="str">
        <f ca="1">IFERROR(__xludf.DUMMYFUNCTION("""COMPUTED_VALUE"""),"TRIMESTRE 1")</f>
        <v>TRIMESTRE 1</v>
      </c>
      <c r="M246" s="89" t="str">
        <f ca="1">IFERROR(__xludf.DUMMYFUNCTION("""COMPUTED_VALUE"""),"MUJERES ADULTAS")</f>
        <v>MUJERES ADULTAS</v>
      </c>
    </row>
    <row r="247" spans="1:13">
      <c r="A247" s="89" t="str">
        <f ca="1">IFERROR(__xludf.DUMMYFUNCTION("""COMPUTED_VALUE"""),"4.1.3.2")</f>
        <v>4.1.3.2</v>
      </c>
      <c r="B247" s="89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247" s="89" t="str">
        <f ca="1">IFERROR(__xludf.DUMMYFUNCTION("""COMPUTED_VALUE"""),"4. Programas")</f>
        <v>4. Programas</v>
      </c>
      <c r="D247" s="89" t="str">
        <f ca="1">IFERROR(__xludf.DUMMYFUNCTION("""COMPUTED_VALUE"""),"Guadalajara: Capital de las niñas y los niños")</f>
        <v>Guadalajara: Capital de las niñas y los niños</v>
      </c>
      <c r="E247" s="89" t="str">
        <f ca="1">IFERROR(__xludf.DUMMYFUNCTION("""COMPUTED_VALUE"""),"Custodia, tutela, adopciones y acogimiento familiar")</f>
        <v>Custodia, tutela, adopciones y acogimiento familiar</v>
      </c>
      <c r="F247" s="89" t="str">
        <f ca="1">IFERROR(__xludf.DUMMYFUNCTION("""COMPUTED_VALUE"""),"A2C3. Medidas de protección dictadas que se les dio seguimiento")</f>
        <v>A2C3. Medidas de protección dictadas que se les dio seguimiento</v>
      </c>
      <c r="G247" s="89" t="str">
        <f ca="1">IFERROR(__xludf.DUMMYFUNCTION("""COMPUTED_VALUE"""),"Porcentaje de NNA a los que se les dio seguimientos en las medidas de protección dictadas, en 2023")</f>
        <v>Porcentaje de NNA a los que se les dio seguimientos en las medidas de protección dictadas, en 2023</v>
      </c>
      <c r="H247" s="89" t="str">
        <f ca="1">IFERROR(__xludf.DUMMYFUNCTION("""COMPUTED_VALUE"""),"HOM FEBRERO")</f>
        <v>HOM FEBRERO</v>
      </c>
      <c r="I247" s="89" t="str">
        <f ca="1">IFERROR(__xludf.DUMMYFUNCTION("""COMPUTED_VALUE"""),"Febrero")</f>
        <v>Febrero</v>
      </c>
      <c r="J247" s="89" t="str">
        <f ca="1">IFERROR(__xludf.DUMMYFUNCTION("""COMPUTED_VALUE"""),"HOM")</f>
        <v>HOM</v>
      </c>
      <c r="K247" s="92"/>
      <c r="L247" s="89" t="str">
        <f ca="1">IFERROR(__xludf.DUMMYFUNCTION("""COMPUTED_VALUE"""),"TRIMESTRE 1")</f>
        <v>TRIMESTRE 1</v>
      </c>
      <c r="M247" s="89" t="str">
        <f ca="1">IFERROR(__xludf.DUMMYFUNCTION("""COMPUTED_VALUE"""),"HOMBRES ADULTOS")</f>
        <v>HOMBRES ADULTOS</v>
      </c>
    </row>
    <row r="248" spans="1:13">
      <c r="A248" s="89" t="str">
        <f ca="1">IFERROR(__xludf.DUMMYFUNCTION("""COMPUTED_VALUE"""),"4.1.3.2")</f>
        <v>4.1.3.2</v>
      </c>
      <c r="B248" s="89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248" s="89" t="str">
        <f ca="1">IFERROR(__xludf.DUMMYFUNCTION("""COMPUTED_VALUE"""),"4. Programas")</f>
        <v>4. Programas</v>
      </c>
      <c r="D248" s="89" t="str">
        <f ca="1">IFERROR(__xludf.DUMMYFUNCTION("""COMPUTED_VALUE"""),"Guadalajara: Capital de las niñas y los niños")</f>
        <v>Guadalajara: Capital de las niñas y los niños</v>
      </c>
      <c r="E248" s="89" t="str">
        <f ca="1">IFERROR(__xludf.DUMMYFUNCTION("""COMPUTED_VALUE"""),"Custodia, tutela, adopciones y acogimiento familiar")</f>
        <v>Custodia, tutela, adopciones y acogimiento familiar</v>
      </c>
      <c r="F248" s="89" t="str">
        <f ca="1">IFERROR(__xludf.DUMMYFUNCTION("""COMPUTED_VALUE"""),"A2C3. Medidas de protección dictadas que se les dio seguimiento")</f>
        <v>A2C3. Medidas de protección dictadas que se les dio seguimiento</v>
      </c>
      <c r="G248" s="89" t="str">
        <f ca="1">IFERROR(__xludf.DUMMYFUNCTION("""COMPUTED_VALUE"""),"Porcentaje de NNA a los que se les dio seguimientos en las medidas de protección dictadas, en 2023")</f>
        <v>Porcentaje de NNA a los que se les dio seguimientos en las medidas de protección dictadas, en 2023</v>
      </c>
      <c r="H248" s="89" t="str">
        <f ca="1">IFERROR(__xludf.DUMMYFUNCTION("""COMPUTED_VALUE"""),"AMM FEBRERO")</f>
        <v>AMM FEBRERO</v>
      </c>
      <c r="I248" s="89" t="str">
        <f ca="1">IFERROR(__xludf.DUMMYFUNCTION("""COMPUTED_VALUE"""),"Febrero")</f>
        <v>Febrero</v>
      </c>
      <c r="J248" s="89" t="str">
        <f ca="1">IFERROR(__xludf.DUMMYFUNCTION("""COMPUTED_VALUE"""),"AMM")</f>
        <v>AMM</v>
      </c>
      <c r="K248" s="92"/>
      <c r="L248" s="89" t="str">
        <f ca="1">IFERROR(__xludf.DUMMYFUNCTION("""COMPUTED_VALUE"""),"TRIMESTRE 1")</f>
        <v>TRIMESTRE 1</v>
      </c>
      <c r="M248" s="89" t="str">
        <f ca="1">IFERROR(__xludf.DUMMYFUNCTION("""COMPUTED_VALUE"""),"ADULTA MAYOR MUJER")</f>
        <v>ADULTA MAYOR MUJER</v>
      </c>
    </row>
    <row r="249" spans="1:13">
      <c r="A249" s="89" t="str">
        <f ca="1">IFERROR(__xludf.DUMMYFUNCTION("""COMPUTED_VALUE"""),"4.1.3.2")</f>
        <v>4.1.3.2</v>
      </c>
      <c r="B249" s="89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249" s="89" t="str">
        <f ca="1">IFERROR(__xludf.DUMMYFUNCTION("""COMPUTED_VALUE"""),"4. Programas")</f>
        <v>4. Programas</v>
      </c>
      <c r="D249" s="89" t="str">
        <f ca="1">IFERROR(__xludf.DUMMYFUNCTION("""COMPUTED_VALUE"""),"Guadalajara: Capital de las niñas y los niños")</f>
        <v>Guadalajara: Capital de las niñas y los niños</v>
      </c>
      <c r="E249" s="89" t="str">
        <f ca="1">IFERROR(__xludf.DUMMYFUNCTION("""COMPUTED_VALUE"""),"Custodia, tutela, adopciones y acogimiento familiar")</f>
        <v>Custodia, tutela, adopciones y acogimiento familiar</v>
      </c>
      <c r="F249" s="89" t="str">
        <f ca="1">IFERROR(__xludf.DUMMYFUNCTION("""COMPUTED_VALUE"""),"A2C3. Medidas de protección dictadas que se les dio seguimiento")</f>
        <v>A2C3. Medidas de protección dictadas que se les dio seguimiento</v>
      </c>
      <c r="G249" s="89" t="str">
        <f ca="1">IFERROR(__xludf.DUMMYFUNCTION("""COMPUTED_VALUE"""),"Porcentaje de NNA a los que se les dio seguimientos en las medidas de protección dictadas, en 2023")</f>
        <v>Porcentaje de NNA a los que se les dio seguimientos en las medidas de protección dictadas, en 2023</v>
      </c>
      <c r="H249" s="89" t="str">
        <f ca="1">IFERROR(__xludf.DUMMYFUNCTION("""COMPUTED_VALUE"""),"AMH FEBRERO")</f>
        <v>AMH FEBRERO</v>
      </c>
      <c r="I249" s="89" t="str">
        <f ca="1">IFERROR(__xludf.DUMMYFUNCTION("""COMPUTED_VALUE"""),"Febrero")</f>
        <v>Febrero</v>
      </c>
      <c r="J249" s="89" t="str">
        <f ca="1">IFERROR(__xludf.DUMMYFUNCTION("""COMPUTED_VALUE"""),"AMH")</f>
        <v>AMH</v>
      </c>
      <c r="K249" s="92"/>
      <c r="L249" s="89" t="str">
        <f ca="1">IFERROR(__xludf.DUMMYFUNCTION("""COMPUTED_VALUE"""),"TRIMESTRE 1")</f>
        <v>TRIMESTRE 1</v>
      </c>
      <c r="M249" s="89" t="str">
        <f ca="1">IFERROR(__xludf.DUMMYFUNCTION("""COMPUTED_VALUE"""),"ADULTO MAYOR HOMBRE")</f>
        <v>ADULTO MAYOR HOMBRE</v>
      </c>
    </row>
    <row r="250" spans="1:13">
      <c r="A250" s="89" t="str">
        <f ca="1">IFERROR(__xludf.DUMMYFUNCTION("""COMPUTED_VALUE"""),"4.1.3.4")</f>
        <v>4.1.3.4</v>
      </c>
      <c r="B250" s="89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250" s="89" t="str">
        <f ca="1">IFERROR(__xludf.DUMMYFUNCTION("""COMPUTED_VALUE"""),"4. Programas")</f>
        <v>4. Programas</v>
      </c>
      <c r="D250" s="89" t="str">
        <f ca="1">IFERROR(__xludf.DUMMYFUNCTION("""COMPUTED_VALUE"""),"Guadalajara: Capital de las niñas y los niños")</f>
        <v>Guadalajara: Capital de las niñas y los niños</v>
      </c>
      <c r="E250" s="89" t="str">
        <f ca="1">IFERROR(__xludf.DUMMYFUNCTION("""COMPUTED_VALUE"""),"Custodia, tutela, adopciones y acogimiento familiar")</f>
        <v>Custodia, tutela, adopciones y acogimiento familiar</v>
      </c>
      <c r="F250" s="89" t="str">
        <f ca="1">IFERROR(__xludf.DUMMYFUNCTION("""COMPUTED_VALUE"""),"A4C3. NNA integrados en familias.")</f>
        <v>A4C3. NNA integrados en familias.</v>
      </c>
      <c r="G250" s="89" t="str">
        <f ca="1">IFERROR(__xludf.DUMMYFUNCTION("""COMPUTED_VALUE"""),"Porcentaje de NNA integrados en familias, en 2023")</f>
        <v>Porcentaje de NNA integrados en familias, en 2023</v>
      </c>
      <c r="H250" s="89" t="str">
        <f ca="1">IFERROR(__xludf.DUMMYFUNCTION("""COMPUTED_VALUE"""),"NAS FEBRERO")</f>
        <v>NAS FEBRERO</v>
      </c>
      <c r="I250" s="89" t="str">
        <f ca="1">IFERROR(__xludf.DUMMYFUNCTION("""COMPUTED_VALUE"""),"Febrero")</f>
        <v>Febrero</v>
      </c>
      <c r="J250" s="89" t="str">
        <f ca="1">IFERROR(__xludf.DUMMYFUNCTION("""COMPUTED_VALUE"""),"NAS")</f>
        <v>NAS</v>
      </c>
      <c r="K250" s="92">
        <f ca="1">IFERROR(__xludf.DUMMYFUNCTION("""COMPUTED_VALUE"""),5)</f>
        <v>5</v>
      </c>
      <c r="L250" s="89" t="str">
        <f ca="1">IFERROR(__xludf.DUMMYFUNCTION("""COMPUTED_VALUE"""),"TRIMESTRE 1")</f>
        <v>TRIMESTRE 1</v>
      </c>
      <c r="M250" s="89" t="str">
        <f ca="1">IFERROR(__xludf.DUMMYFUNCTION("""COMPUTED_VALUE"""),"NIÑAS")</f>
        <v>NIÑAS</v>
      </c>
    </row>
    <row r="251" spans="1:13">
      <c r="A251" s="89" t="str">
        <f ca="1">IFERROR(__xludf.DUMMYFUNCTION("""COMPUTED_VALUE"""),"4.1.3.4")</f>
        <v>4.1.3.4</v>
      </c>
      <c r="B251" s="89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251" s="89" t="str">
        <f ca="1">IFERROR(__xludf.DUMMYFUNCTION("""COMPUTED_VALUE"""),"4. Programas")</f>
        <v>4. Programas</v>
      </c>
      <c r="D251" s="89" t="str">
        <f ca="1">IFERROR(__xludf.DUMMYFUNCTION("""COMPUTED_VALUE"""),"Guadalajara: Capital de las niñas y los niños")</f>
        <v>Guadalajara: Capital de las niñas y los niños</v>
      </c>
      <c r="E251" s="89" t="str">
        <f ca="1">IFERROR(__xludf.DUMMYFUNCTION("""COMPUTED_VALUE"""),"Custodia, tutela, adopciones y acogimiento familiar")</f>
        <v>Custodia, tutela, adopciones y acogimiento familiar</v>
      </c>
      <c r="F251" s="89" t="str">
        <f ca="1">IFERROR(__xludf.DUMMYFUNCTION("""COMPUTED_VALUE"""),"A4C3. NNA integrados en familias.")</f>
        <v>A4C3. NNA integrados en familias.</v>
      </c>
      <c r="G251" s="89" t="str">
        <f ca="1">IFERROR(__xludf.DUMMYFUNCTION("""COMPUTED_VALUE"""),"Porcentaje de NNA integrados en familias, en 2023")</f>
        <v>Porcentaje de NNA integrados en familias, en 2023</v>
      </c>
      <c r="H251" s="89" t="str">
        <f ca="1">IFERROR(__xludf.DUMMYFUNCTION("""COMPUTED_VALUE"""),"NOS FEBRERO")</f>
        <v>NOS FEBRERO</v>
      </c>
      <c r="I251" s="89" t="str">
        <f ca="1">IFERROR(__xludf.DUMMYFUNCTION("""COMPUTED_VALUE"""),"Febrero")</f>
        <v>Febrero</v>
      </c>
      <c r="J251" s="89" t="str">
        <f ca="1">IFERROR(__xludf.DUMMYFUNCTION("""COMPUTED_VALUE"""),"NOS")</f>
        <v>NOS</v>
      </c>
      <c r="K251" s="92">
        <f ca="1">IFERROR(__xludf.DUMMYFUNCTION("""COMPUTED_VALUE"""),2)</f>
        <v>2</v>
      </c>
      <c r="L251" s="89" t="str">
        <f ca="1">IFERROR(__xludf.DUMMYFUNCTION("""COMPUTED_VALUE"""),"TRIMESTRE 1")</f>
        <v>TRIMESTRE 1</v>
      </c>
      <c r="M251" s="89" t="str">
        <f ca="1">IFERROR(__xludf.DUMMYFUNCTION("""COMPUTED_VALUE"""),"NIÑOS")</f>
        <v>NIÑOS</v>
      </c>
    </row>
    <row r="252" spans="1:13">
      <c r="A252" s="89" t="str">
        <f ca="1">IFERROR(__xludf.DUMMYFUNCTION("""COMPUTED_VALUE"""),"4.1.3.4")</f>
        <v>4.1.3.4</v>
      </c>
      <c r="B252" s="89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252" s="89" t="str">
        <f ca="1">IFERROR(__xludf.DUMMYFUNCTION("""COMPUTED_VALUE"""),"4. Programas")</f>
        <v>4. Programas</v>
      </c>
      <c r="D252" s="89" t="str">
        <f ca="1">IFERROR(__xludf.DUMMYFUNCTION("""COMPUTED_VALUE"""),"Guadalajara: Capital de las niñas y los niños")</f>
        <v>Guadalajara: Capital de las niñas y los niños</v>
      </c>
      <c r="E252" s="89" t="str">
        <f ca="1">IFERROR(__xludf.DUMMYFUNCTION("""COMPUTED_VALUE"""),"Custodia, tutela, adopciones y acogimiento familiar")</f>
        <v>Custodia, tutela, adopciones y acogimiento familiar</v>
      </c>
      <c r="F252" s="89" t="str">
        <f ca="1">IFERROR(__xludf.DUMMYFUNCTION("""COMPUTED_VALUE"""),"A4C3. NNA integrados en familias.")</f>
        <v>A4C3. NNA integrados en familias.</v>
      </c>
      <c r="G252" s="89" t="str">
        <f ca="1">IFERROR(__xludf.DUMMYFUNCTION("""COMPUTED_VALUE"""),"Porcentaje de NNA integrados en familias, en 2023")</f>
        <v>Porcentaje de NNA integrados en familias, en 2023</v>
      </c>
      <c r="H252" s="89" t="str">
        <f ca="1">IFERROR(__xludf.DUMMYFUNCTION("""COMPUTED_VALUE"""),"AM FEBRERO")</f>
        <v>AM FEBRERO</v>
      </c>
      <c r="I252" s="89" t="str">
        <f ca="1">IFERROR(__xludf.DUMMYFUNCTION("""COMPUTED_VALUE"""),"Febrero")</f>
        <v>Febrero</v>
      </c>
      <c r="J252" s="89" t="str">
        <f ca="1">IFERROR(__xludf.DUMMYFUNCTION("""COMPUTED_VALUE"""),"AM")</f>
        <v>AM</v>
      </c>
      <c r="K252" s="92"/>
      <c r="L252" s="89" t="str">
        <f ca="1">IFERROR(__xludf.DUMMYFUNCTION("""COMPUTED_VALUE"""),"TRIMESTRE 1")</f>
        <v>TRIMESTRE 1</v>
      </c>
      <c r="M252" s="89" t="str">
        <f ca="1">IFERROR(__xludf.DUMMYFUNCTION("""COMPUTED_VALUE"""),"ADOLESCENTES MUJERES")</f>
        <v>ADOLESCENTES MUJERES</v>
      </c>
    </row>
    <row r="253" spans="1:13">
      <c r="A253" s="89" t="str">
        <f ca="1">IFERROR(__xludf.DUMMYFUNCTION("""COMPUTED_VALUE"""),"4.1.3.4")</f>
        <v>4.1.3.4</v>
      </c>
      <c r="B253" s="89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253" s="89" t="str">
        <f ca="1">IFERROR(__xludf.DUMMYFUNCTION("""COMPUTED_VALUE"""),"4. Programas")</f>
        <v>4. Programas</v>
      </c>
      <c r="D253" s="89" t="str">
        <f ca="1">IFERROR(__xludf.DUMMYFUNCTION("""COMPUTED_VALUE"""),"Guadalajara: Capital de las niñas y los niños")</f>
        <v>Guadalajara: Capital de las niñas y los niños</v>
      </c>
      <c r="E253" s="89" t="str">
        <f ca="1">IFERROR(__xludf.DUMMYFUNCTION("""COMPUTED_VALUE"""),"Custodia, tutela, adopciones y acogimiento familiar")</f>
        <v>Custodia, tutela, adopciones y acogimiento familiar</v>
      </c>
      <c r="F253" s="89" t="str">
        <f ca="1">IFERROR(__xludf.DUMMYFUNCTION("""COMPUTED_VALUE"""),"A4C3. NNA integrados en familias.")</f>
        <v>A4C3. NNA integrados en familias.</v>
      </c>
      <c r="G253" s="89" t="str">
        <f ca="1">IFERROR(__xludf.DUMMYFUNCTION("""COMPUTED_VALUE"""),"Porcentaje de NNA integrados en familias, en 2023")</f>
        <v>Porcentaje de NNA integrados en familias, en 2023</v>
      </c>
      <c r="H253" s="89" t="str">
        <f ca="1">IFERROR(__xludf.DUMMYFUNCTION("""COMPUTED_VALUE"""),"AH FEBRERO")</f>
        <v>AH FEBRERO</v>
      </c>
      <c r="I253" s="89" t="str">
        <f ca="1">IFERROR(__xludf.DUMMYFUNCTION("""COMPUTED_VALUE"""),"Febrero")</f>
        <v>Febrero</v>
      </c>
      <c r="J253" s="89" t="str">
        <f ca="1">IFERROR(__xludf.DUMMYFUNCTION("""COMPUTED_VALUE"""),"AH")</f>
        <v>AH</v>
      </c>
      <c r="K253" s="92">
        <f ca="1">IFERROR(__xludf.DUMMYFUNCTION("""COMPUTED_VALUE"""),1)</f>
        <v>1</v>
      </c>
      <c r="L253" s="89" t="str">
        <f ca="1">IFERROR(__xludf.DUMMYFUNCTION("""COMPUTED_VALUE"""),"TRIMESTRE 1")</f>
        <v>TRIMESTRE 1</v>
      </c>
      <c r="M253" s="89" t="str">
        <f ca="1">IFERROR(__xludf.DUMMYFUNCTION("""COMPUTED_VALUE"""),"ADOLESCENTES HOMBRES")</f>
        <v>ADOLESCENTES HOMBRES</v>
      </c>
    </row>
    <row r="254" spans="1:13">
      <c r="A254" s="89" t="str">
        <f ca="1">IFERROR(__xludf.DUMMYFUNCTION("""COMPUTED_VALUE"""),"4.1.3.4")</f>
        <v>4.1.3.4</v>
      </c>
      <c r="B254" s="89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254" s="89" t="str">
        <f ca="1">IFERROR(__xludf.DUMMYFUNCTION("""COMPUTED_VALUE"""),"4. Programas")</f>
        <v>4. Programas</v>
      </c>
      <c r="D254" s="89" t="str">
        <f ca="1">IFERROR(__xludf.DUMMYFUNCTION("""COMPUTED_VALUE"""),"Guadalajara: Capital de las niñas y los niños")</f>
        <v>Guadalajara: Capital de las niñas y los niños</v>
      </c>
      <c r="E254" s="89" t="str">
        <f ca="1">IFERROR(__xludf.DUMMYFUNCTION("""COMPUTED_VALUE"""),"Custodia, tutela, adopciones y acogimiento familiar")</f>
        <v>Custodia, tutela, adopciones y acogimiento familiar</v>
      </c>
      <c r="F254" s="89" t="str">
        <f ca="1">IFERROR(__xludf.DUMMYFUNCTION("""COMPUTED_VALUE"""),"A4C3. NNA integrados en familias.")</f>
        <v>A4C3. NNA integrados en familias.</v>
      </c>
      <c r="G254" s="89" t="str">
        <f ca="1">IFERROR(__xludf.DUMMYFUNCTION("""COMPUTED_VALUE"""),"Porcentaje de NNA integrados en familias, en 2023")</f>
        <v>Porcentaje de NNA integrados en familias, en 2023</v>
      </c>
      <c r="H254" s="89" t="str">
        <f ca="1">IFERROR(__xludf.DUMMYFUNCTION("""COMPUTED_VALUE"""),"MUJ FEBRERO")</f>
        <v>MUJ FEBRERO</v>
      </c>
      <c r="I254" s="89" t="str">
        <f ca="1">IFERROR(__xludf.DUMMYFUNCTION("""COMPUTED_VALUE"""),"Febrero")</f>
        <v>Febrero</v>
      </c>
      <c r="J254" s="89" t="str">
        <f ca="1">IFERROR(__xludf.DUMMYFUNCTION("""COMPUTED_VALUE"""),"MUJ")</f>
        <v>MUJ</v>
      </c>
      <c r="K254" s="92"/>
      <c r="L254" s="89" t="str">
        <f ca="1">IFERROR(__xludf.DUMMYFUNCTION("""COMPUTED_VALUE"""),"TRIMESTRE 1")</f>
        <v>TRIMESTRE 1</v>
      </c>
      <c r="M254" s="89" t="str">
        <f ca="1">IFERROR(__xludf.DUMMYFUNCTION("""COMPUTED_VALUE"""),"MUJERES ADULTAS")</f>
        <v>MUJERES ADULTAS</v>
      </c>
    </row>
    <row r="255" spans="1:13">
      <c r="A255" s="89" t="str">
        <f ca="1">IFERROR(__xludf.DUMMYFUNCTION("""COMPUTED_VALUE"""),"4.1.3.4")</f>
        <v>4.1.3.4</v>
      </c>
      <c r="B255" s="89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255" s="89" t="str">
        <f ca="1">IFERROR(__xludf.DUMMYFUNCTION("""COMPUTED_VALUE"""),"4. Programas")</f>
        <v>4. Programas</v>
      </c>
      <c r="D255" s="89" t="str">
        <f ca="1">IFERROR(__xludf.DUMMYFUNCTION("""COMPUTED_VALUE"""),"Guadalajara: Capital de las niñas y los niños")</f>
        <v>Guadalajara: Capital de las niñas y los niños</v>
      </c>
      <c r="E255" s="89" t="str">
        <f ca="1">IFERROR(__xludf.DUMMYFUNCTION("""COMPUTED_VALUE"""),"Custodia, tutela, adopciones y acogimiento familiar")</f>
        <v>Custodia, tutela, adopciones y acogimiento familiar</v>
      </c>
      <c r="F255" s="89" t="str">
        <f ca="1">IFERROR(__xludf.DUMMYFUNCTION("""COMPUTED_VALUE"""),"A4C3. NNA integrados en familias.")</f>
        <v>A4C3. NNA integrados en familias.</v>
      </c>
      <c r="G255" s="89" t="str">
        <f ca="1">IFERROR(__xludf.DUMMYFUNCTION("""COMPUTED_VALUE"""),"Porcentaje de NNA integrados en familias, en 2023")</f>
        <v>Porcentaje de NNA integrados en familias, en 2023</v>
      </c>
      <c r="H255" s="89" t="str">
        <f ca="1">IFERROR(__xludf.DUMMYFUNCTION("""COMPUTED_VALUE"""),"HOM FEBRERO")</f>
        <v>HOM FEBRERO</v>
      </c>
      <c r="I255" s="89" t="str">
        <f ca="1">IFERROR(__xludf.DUMMYFUNCTION("""COMPUTED_VALUE"""),"Febrero")</f>
        <v>Febrero</v>
      </c>
      <c r="J255" s="89" t="str">
        <f ca="1">IFERROR(__xludf.DUMMYFUNCTION("""COMPUTED_VALUE"""),"HOM")</f>
        <v>HOM</v>
      </c>
      <c r="K255" s="92"/>
      <c r="L255" s="89" t="str">
        <f ca="1">IFERROR(__xludf.DUMMYFUNCTION("""COMPUTED_VALUE"""),"TRIMESTRE 1")</f>
        <v>TRIMESTRE 1</v>
      </c>
      <c r="M255" s="89" t="str">
        <f ca="1">IFERROR(__xludf.DUMMYFUNCTION("""COMPUTED_VALUE"""),"HOMBRES ADULTOS")</f>
        <v>HOMBRES ADULTOS</v>
      </c>
    </row>
    <row r="256" spans="1:13">
      <c r="A256" s="89" t="str">
        <f ca="1">IFERROR(__xludf.DUMMYFUNCTION("""COMPUTED_VALUE"""),"4.1.3.4")</f>
        <v>4.1.3.4</v>
      </c>
      <c r="B256" s="89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256" s="89" t="str">
        <f ca="1">IFERROR(__xludf.DUMMYFUNCTION("""COMPUTED_VALUE"""),"4. Programas")</f>
        <v>4. Programas</v>
      </c>
      <c r="D256" s="89" t="str">
        <f ca="1">IFERROR(__xludf.DUMMYFUNCTION("""COMPUTED_VALUE"""),"Guadalajara: Capital de las niñas y los niños")</f>
        <v>Guadalajara: Capital de las niñas y los niños</v>
      </c>
      <c r="E256" s="89" t="str">
        <f ca="1">IFERROR(__xludf.DUMMYFUNCTION("""COMPUTED_VALUE"""),"Custodia, tutela, adopciones y acogimiento familiar")</f>
        <v>Custodia, tutela, adopciones y acogimiento familiar</v>
      </c>
      <c r="F256" s="89" t="str">
        <f ca="1">IFERROR(__xludf.DUMMYFUNCTION("""COMPUTED_VALUE"""),"A4C3. NNA integrados en familias.")</f>
        <v>A4C3. NNA integrados en familias.</v>
      </c>
      <c r="G256" s="89" t="str">
        <f ca="1">IFERROR(__xludf.DUMMYFUNCTION("""COMPUTED_VALUE"""),"Porcentaje de NNA integrados en familias, en 2023")</f>
        <v>Porcentaje de NNA integrados en familias, en 2023</v>
      </c>
      <c r="H256" s="89" t="str">
        <f ca="1">IFERROR(__xludf.DUMMYFUNCTION("""COMPUTED_VALUE"""),"AMM FEBRERO")</f>
        <v>AMM FEBRERO</v>
      </c>
      <c r="I256" s="89" t="str">
        <f ca="1">IFERROR(__xludf.DUMMYFUNCTION("""COMPUTED_VALUE"""),"Febrero")</f>
        <v>Febrero</v>
      </c>
      <c r="J256" s="89" t="str">
        <f ca="1">IFERROR(__xludf.DUMMYFUNCTION("""COMPUTED_VALUE"""),"AMM")</f>
        <v>AMM</v>
      </c>
      <c r="K256" s="92"/>
      <c r="L256" s="89" t="str">
        <f ca="1">IFERROR(__xludf.DUMMYFUNCTION("""COMPUTED_VALUE"""),"TRIMESTRE 1")</f>
        <v>TRIMESTRE 1</v>
      </c>
      <c r="M256" s="89" t="str">
        <f ca="1">IFERROR(__xludf.DUMMYFUNCTION("""COMPUTED_VALUE"""),"ADULTA MAYOR MUJER")</f>
        <v>ADULTA MAYOR MUJER</v>
      </c>
    </row>
    <row r="257" spans="1:13">
      <c r="A257" s="89" t="str">
        <f ca="1">IFERROR(__xludf.DUMMYFUNCTION("""COMPUTED_VALUE"""),"4.1.3.4")</f>
        <v>4.1.3.4</v>
      </c>
      <c r="B257" s="89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257" s="89" t="str">
        <f ca="1">IFERROR(__xludf.DUMMYFUNCTION("""COMPUTED_VALUE"""),"4. Programas")</f>
        <v>4. Programas</v>
      </c>
      <c r="D257" s="89" t="str">
        <f ca="1">IFERROR(__xludf.DUMMYFUNCTION("""COMPUTED_VALUE"""),"Guadalajara: Capital de las niñas y los niños")</f>
        <v>Guadalajara: Capital de las niñas y los niños</v>
      </c>
      <c r="E257" s="89" t="str">
        <f ca="1">IFERROR(__xludf.DUMMYFUNCTION("""COMPUTED_VALUE"""),"Custodia, tutela, adopciones y acogimiento familiar")</f>
        <v>Custodia, tutela, adopciones y acogimiento familiar</v>
      </c>
      <c r="F257" s="89" t="str">
        <f ca="1">IFERROR(__xludf.DUMMYFUNCTION("""COMPUTED_VALUE"""),"A4C3. NNA integrados en familias.")</f>
        <v>A4C3. NNA integrados en familias.</v>
      </c>
      <c r="G257" s="89" t="str">
        <f ca="1">IFERROR(__xludf.DUMMYFUNCTION("""COMPUTED_VALUE"""),"Porcentaje de NNA integrados en familias, en 2023")</f>
        <v>Porcentaje de NNA integrados en familias, en 2023</v>
      </c>
      <c r="H257" s="89" t="str">
        <f ca="1">IFERROR(__xludf.DUMMYFUNCTION("""COMPUTED_VALUE"""),"AMH FEBRERO")</f>
        <v>AMH FEBRERO</v>
      </c>
      <c r="I257" s="89" t="str">
        <f ca="1">IFERROR(__xludf.DUMMYFUNCTION("""COMPUTED_VALUE"""),"Febrero")</f>
        <v>Febrero</v>
      </c>
      <c r="J257" s="89" t="str">
        <f ca="1">IFERROR(__xludf.DUMMYFUNCTION("""COMPUTED_VALUE"""),"AMH")</f>
        <v>AMH</v>
      </c>
      <c r="K257" s="92"/>
      <c r="L257" s="89" t="str">
        <f ca="1">IFERROR(__xludf.DUMMYFUNCTION("""COMPUTED_VALUE"""),"TRIMESTRE 1")</f>
        <v>TRIMESTRE 1</v>
      </c>
      <c r="M257" s="89" t="str">
        <f ca="1">IFERROR(__xludf.DUMMYFUNCTION("""COMPUTED_VALUE"""),"ADULTO MAYOR HOMBRE")</f>
        <v>ADULTO MAYOR HOMBRE</v>
      </c>
    </row>
    <row r="258" spans="1:13">
      <c r="A258" s="89" t="str">
        <f ca="1">IFERROR(__xludf.DUMMYFUNCTION("""COMPUTED_VALUE"""),"4.1.3.0")</f>
        <v>4.1.3.0</v>
      </c>
      <c r="B258" s="89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258" s="89" t="str">
        <f ca="1">IFERROR(__xludf.DUMMYFUNCTION("""COMPUTED_VALUE"""),"4. Programas")</f>
        <v>4. Programas</v>
      </c>
      <c r="D258" s="89" t="str">
        <f ca="1">IFERROR(__xludf.DUMMYFUNCTION("""COMPUTED_VALUE"""),"Guadalajara: Capital de las niñas y los niños")</f>
        <v>Guadalajara: Capital de las niñas y los niños</v>
      </c>
      <c r="E258" s="89" t="str">
        <f ca="1">IFERROR(__xludf.DUMMYFUNCTION("""COMPUTED_VALUE"""),"Custodia, tutela, adopciones y acogimiento familiar")</f>
        <v>Custodia, tutela, adopciones y acogimiento familiar</v>
      </c>
      <c r="F258" s="89" t="str">
        <f ca="1">IFERROR(__xludf.DUMMYFUNCTION("""COMPUTED_VALUE"""),"C3. NNA del municipio de Guadalajara que recibieron servicios para la protección y restitución de sus derechos")</f>
        <v>C3. NNA del municipio de Guadalajara que recibieron servicios para la protección y restitución de sus derechos</v>
      </c>
      <c r="G258" s="89" t="str">
        <f ca="1">IFERROR(__xludf.DUMMYFUNCTION("""COMPUTED_VALUE"""),"Porcentaje de NNA con al menos un derecho protegido y/o restituido por la DIPNNA, en 2023")</f>
        <v>Porcentaje de NNA con al menos un derecho protegido y/o restituido por la DIPNNA, en 2023</v>
      </c>
      <c r="H258" s="89" t="str">
        <f ca="1">IFERROR(__xludf.DUMMYFUNCTION("""COMPUTED_VALUE"""),"NAS Marzo")</f>
        <v>NAS Marzo</v>
      </c>
      <c r="I258" s="89" t="str">
        <f ca="1">IFERROR(__xludf.DUMMYFUNCTION("""COMPUTED_VALUE"""),"Marzo")</f>
        <v>Marzo</v>
      </c>
      <c r="J258" s="89" t="str">
        <f ca="1">IFERROR(__xludf.DUMMYFUNCTION("""COMPUTED_VALUE"""),"NAS")</f>
        <v>NAS</v>
      </c>
      <c r="K258" s="92">
        <f ca="1">IFERROR(__xludf.DUMMYFUNCTION("""COMPUTED_VALUE"""),57)</f>
        <v>57</v>
      </c>
      <c r="L258" s="89" t="str">
        <f ca="1">IFERROR(__xludf.DUMMYFUNCTION("""COMPUTED_VALUE"""),"TRIMESTRE 1")</f>
        <v>TRIMESTRE 1</v>
      </c>
      <c r="M258" s="89" t="str">
        <f ca="1">IFERROR(__xludf.DUMMYFUNCTION("""COMPUTED_VALUE"""),"NIÑAS")</f>
        <v>NIÑAS</v>
      </c>
    </row>
    <row r="259" spans="1:13">
      <c r="A259" s="89" t="str">
        <f ca="1">IFERROR(__xludf.DUMMYFUNCTION("""COMPUTED_VALUE"""),"4.1.3.0")</f>
        <v>4.1.3.0</v>
      </c>
      <c r="B259" s="89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259" s="89" t="str">
        <f ca="1">IFERROR(__xludf.DUMMYFUNCTION("""COMPUTED_VALUE"""),"4. Programas")</f>
        <v>4. Programas</v>
      </c>
      <c r="D259" s="89" t="str">
        <f ca="1">IFERROR(__xludf.DUMMYFUNCTION("""COMPUTED_VALUE"""),"Guadalajara: Capital de las niñas y los niños")</f>
        <v>Guadalajara: Capital de las niñas y los niños</v>
      </c>
      <c r="E259" s="89" t="str">
        <f ca="1">IFERROR(__xludf.DUMMYFUNCTION("""COMPUTED_VALUE"""),"Custodia, tutela, adopciones y acogimiento familiar")</f>
        <v>Custodia, tutela, adopciones y acogimiento familiar</v>
      </c>
      <c r="F259" s="89" t="str">
        <f ca="1">IFERROR(__xludf.DUMMYFUNCTION("""COMPUTED_VALUE"""),"C3. NNA del municipio de Guadalajara que recibieron servicios para la protección y restitución de sus derechos")</f>
        <v>C3. NNA del municipio de Guadalajara que recibieron servicios para la protección y restitución de sus derechos</v>
      </c>
      <c r="G259" s="89" t="str">
        <f ca="1">IFERROR(__xludf.DUMMYFUNCTION("""COMPUTED_VALUE"""),"Porcentaje de NNA con al menos un derecho protegido y/o restituido por la DIPNNA, en 2023")</f>
        <v>Porcentaje de NNA con al menos un derecho protegido y/o restituido por la DIPNNA, en 2023</v>
      </c>
      <c r="H259" s="89" t="str">
        <f ca="1">IFERROR(__xludf.DUMMYFUNCTION("""COMPUTED_VALUE"""),"NOS Marzo")</f>
        <v>NOS Marzo</v>
      </c>
      <c r="I259" s="89" t="str">
        <f ca="1">IFERROR(__xludf.DUMMYFUNCTION("""COMPUTED_VALUE"""),"Marzo")</f>
        <v>Marzo</v>
      </c>
      <c r="J259" s="89" t="str">
        <f ca="1">IFERROR(__xludf.DUMMYFUNCTION("""COMPUTED_VALUE"""),"NOS")</f>
        <v>NOS</v>
      </c>
      <c r="K259" s="92">
        <f ca="1">IFERROR(__xludf.DUMMYFUNCTION("""COMPUTED_VALUE"""),41)</f>
        <v>41</v>
      </c>
      <c r="L259" s="89" t="str">
        <f ca="1">IFERROR(__xludf.DUMMYFUNCTION("""COMPUTED_VALUE"""),"TRIMESTRE 1")</f>
        <v>TRIMESTRE 1</v>
      </c>
      <c r="M259" s="89" t="str">
        <f ca="1">IFERROR(__xludf.DUMMYFUNCTION("""COMPUTED_VALUE"""),"NIÑOS")</f>
        <v>NIÑOS</v>
      </c>
    </row>
    <row r="260" spans="1:13">
      <c r="A260" s="89" t="str">
        <f ca="1">IFERROR(__xludf.DUMMYFUNCTION("""COMPUTED_VALUE"""),"4.1.3.0")</f>
        <v>4.1.3.0</v>
      </c>
      <c r="B260" s="89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260" s="89" t="str">
        <f ca="1">IFERROR(__xludf.DUMMYFUNCTION("""COMPUTED_VALUE"""),"4. Programas")</f>
        <v>4. Programas</v>
      </c>
      <c r="D260" s="89" t="str">
        <f ca="1">IFERROR(__xludf.DUMMYFUNCTION("""COMPUTED_VALUE"""),"Guadalajara: Capital de las niñas y los niños")</f>
        <v>Guadalajara: Capital de las niñas y los niños</v>
      </c>
      <c r="E260" s="89" t="str">
        <f ca="1">IFERROR(__xludf.DUMMYFUNCTION("""COMPUTED_VALUE"""),"Custodia, tutela, adopciones y acogimiento familiar")</f>
        <v>Custodia, tutela, adopciones y acogimiento familiar</v>
      </c>
      <c r="F260" s="89" t="str">
        <f ca="1">IFERROR(__xludf.DUMMYFUNCTION("""COMPUTED_VALUE"""),"C3. NNA del municipio de Guadalajara que recibieron servicios para la protección y restitución de sus derechos")</f>
        <v>C3. NNA del municipio de Guadalajara que recibieron servicios para la protección y restitución de sus derechos</v>
      </c>
      <c r="G260" s="89" t="str">
        <f ca="1">IFERROR(__xludf.DUMMYFUNCTION("""COMPUTED_VALUE"""),"Porcentaje de NNA con al menos un derecho protegido y/o restituido por la DIPNNA, en 2023")</f>
        <v>Porcentaje de NNA con al menos un derecho protegido y/o restituido por la DIPNNA, en 2023</v>
      </c>
      <c r="H260" s="89" t="str">
        <f ca="1">IFERROR(__xludf.DUMMYFUNCTION("""COMPUTED_VALUE"""),"AM MARZO")</f>
        <v>AM MARZO</v>
      </c>
      <c r="I260" s="89" t="str">
        <f ca="1">IFERROR(__xludf.DUMMYFUNCTION("""COMPUTED_VALUE"""),"Marzo")</f>
        <v>Marzo</v>
      </c>
      <c r="J260" s="89" t="str">
        <f ca="1">IFERROR(__xludf.DUMMYFUNCTION("""COMPUTED_VALUE"""),"AM")</f>
        <v>AM</v>
      </c>
      <c r="K260" s="92">
        <f ca="1">IFERROR(__xludf.DUMMYFUNCTION("""COMPUTED_VALUE"""),1)</f>
        <v>1</v>
      </c>
      <c r="L260" s="89" t="str">
        <f ca="1">IFERROR(__xludf.DUMMYFUNCTION("""COMPUTED_VALUE"""),"TRIMESTRE 1")</f>
        <v>TRIMESTRE 1</v>
      </c>
      <c r="M260" s="89" t="str">
        <f ca="1">IFERROR(__xludf.DUMMYFUNCTION("""COMPUTED_VALUE"""),"ADOLESCENTES MUJERES")</f>
        <v>ADOLESCENTES MUJERES</v>
      </c>
    </row>
    <row r="261" spans="1:13">
      <c r="A261" s="89" t="str">
        <f ca="1">IFERROR(__xludf.DUMMYFUNCTION("""COMPUTED_VALUE"""),"4.1.3.0")</f>
        <v>4.1.3.0</v>
      </c>
      <c r="B261" s="89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261" s="89" t="str">
        <f ca="1">IFERROR(__xludf.DUMMYFUNCTION("""COMPUTED_VALUE"""),"4. Programas")</f>
        <v>4. Programas</v>
      </c>
      <c r="D261" s="89" t="str">
        <f ca="1">IFERROR(__xludf.DUMMYFUNCTION("""COMPUTED_VALUE"""),"Guadalajara: Capital de las niñas y los niños")</f>
        <v>Guadalajara: Capital de las niñas y los niños</v>
      </c>
      <c r="E261" s="89" t="str">
        <f ca="1">IFERROR(__xludf.DUMMYFUNCTION("""COMPUTED_VALUE"""),"Custodia, tutela, adopciones y acogimiento familiar")</f>
        <v>Custodia, tutela, adopciones y acogimiento familiar</v>
      </c>
      <c r="F261" s="89" t="str">
        <f ca="1">IFERROR(__xludf.DUMMYFUNCTION("""COMPUTED_VALUE"""),"C3. NNA del municipio de Guadalajara que recibieron servicios para la protección y restitución de sus derechos")</f>
        <v>C3. NNA del municipio de Guadalajara que recibieron servicios para la protección y restitución de sus derechos</v>
      </c>
      <c r="G261" s="89" t="str">
        <f ca="1">IFERROR(__xludf.DUMMYFUNCTION("""COMPUTED_VALUE"""),"Porcentaje de NNA con al menos un derecho protegido y/o restituido por la DIPNNA, en 2023")</f>
        <v>Porcentaje de NNA con al menos un derecho protegido y/o restituido por la DIPNNA, en 2023</v>
      </c>
      <c r="H261" s="89" t="str">
        <f ca="1">IFERROR(__xludf.DUMMYFUNCTION("""COMPUTED_VALUE"""),"AH MARZO")</f>
        <v>AH MARZO</v>
      </c>
      <c r="I261" s="89" t="str">
        <f ca="1">IFERROR(__xludf.DUMMYFUNCTION("""COMPUTED_VALUE"""),"Marzo")</f>
        <v>Marzo</v>
      </c>
      <c r="J261" s="89" t="str">
        <f ca="1">IFERROR(__xludf.DUMMYFUNCTION("""COMPUTED_VALUE"""),"AH")</f>
        <v>AH</v>
      </c>
      <c r="K261" s="92">
        <f ca="1">IFERROR(__xludf.DUMMYFUNCTION("""COMPUTED_VALUE"""),1)</f>
        <v>1</v>
      </c>
      <c r="L261" s="89" t="str">
        <f ca="1">IFERROR(__xludf.DUMMYFUNCTION("""COMPUTED_VALUE"""),"TRIMESTRE 1")</f>
        <v>TRIMESTRE 1</v>
      </c>
      <c r="M261" s="89" t="str">
        <f ca="1">IFERROR(__xludf.DUMMYFUNCTION("""COMPUTED_VALUE"""),"ADOLESCENTES HOMBRES")</f>
        <v>ADOLESCENTES HOMBRES</v>
      </c>
    </row>
    <row r="262" spans="1:13">
      <c r="A262" s="89" t="str">
        <f ca="1">IFERROR(__xludf.DUMMYFUNCTION("""COMPUTED_VALUE"""),"4.1.3.0")</f>
        <v>4.1.3.0</v>
      </c>
      <c r="B262" s="89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262" s="89" t="str">
        <f ca="1">IFERROR(__xludf.DUMMYFUNCTION("""COMPUTED_VALUE"""),"4. Programas")</f>
        <v>4. Programas</v>
      </c>
      <c r="D262" s="89" t="str">
        <f ca="1">IFERROR(__xludf.DUMMYFUNCTION("""COMPUTED_VALUE"""),"Guadalajara: Capital de las niñas y los niños")</f>
        <v>Guadalajara: Capital de las niñas y los niños</v>
      </c>
      <c r="E262" s="89" t="str">
        <f ca="1">IFERROR(__xludf.DUMMYFUNCTION("""COMPUTED_VALUE"""),"Custodia, tutela, adopciones y acogimiento familiar")</f>
        <v>Custodia, tutela, adopciones y acogimiento familiar</v>
      </c>
      <c r="F262" s="89" t="str">
        <f ca="1">IFERROR(__xludf.DUMMYFUNCTION("""COMPUTED_VALUE"""),"C3. NNA del municipio de Guadalajara que recibieron servicios para la protección y restitución de sus derechos")</f>
        <v>C3. NNA del municipio de Guadalajara que recibieron servicios para la protección y restitución de sus derechos</v>
      </c>
      <c r="G262" s="89" t="str">
        <f ca="1">IFERROR(__xludf.DUMMYFUNCTION("""COMPUTED_VALUE"""),"Porcentaje de NNA con al menos un derecho protegido y/o restituido por la DIPNNA, en 2023")</f>
        <v>Porcentaje de NNA con al menos un derecho protegido y/o restituido por la DIPNNA, en 2023</v>
      </c>
      <c r="H262" s="89" t="str">
        <f ca="1">IFERROR(__xludf.DUMMYFUNCTION("""COMPUTED_VALUE"""),"MUJ Marzo")</f>
        <v>MUJ Marzo</v>
      </c>
      <c r="I262" s="89" t="str">
        <f ca="1">IFERROR(__xludf.DUMMYFUNCTION("""COMPUTED_VALUE"""),"Marzo")</f>
        <v>Marzo</v>
      </c>
      <c r="J262" s="89" t="str">
        <f ca="1">IFERROR(__xludf.DUMMYFUNCTION("""COMPUTED_VALUE"""),"MUJ")</f>
        <v>MUJ</v>
      </c>
      <c r="K262" s="92"/>
      <c r="L262" s="89" t="str">
        <f ca="1">IFERROR(__xludf.DUMMYFUNCTION("""COMPUTED_VALUE"""),"TRIMESTRE 1")</f>
        <v>TRIMESTRE 1</v>
      </c>
      <c r="M262" s="89" t="str">
        <f ca="1">IFERROR(__xludf.DUMMYFUNCTION("""COMPUTED_VALUE"""),"MUJERES ADULTAS")</f>
        <v>MUJERES ADULTAS</v>
      </c>
    </row>
    <row r="263" spans="1:13">
      <c r="A263" s="89" t="str">
        <f ca="1">IFERROR(__xludf.DUMMYFUNCTION("""COMPUTED_VALUE"""),"4.1.3.0")</f>
        <v>4.1.3.0</v>
      </c>
      <c r="B263" s="89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263" s="89" t="str">
        <f ca="1">IFERROR(__xludf.DUMMYFUNCTION("""COMPUTED_VALUE"""),"4. Programas")</f>
        <v>4. Programas</v>
      </c>
      <c r="D263" s="89" t="str">
        <f ca="1">IFERROR(__xludf.DUMMYFUNCTION("""COMPUTED_VALUE"""),"Guadalajara: Capital de las niñas y los niños")</f>
        <v>Guadalajara: Capital de las niñas y los niños</v>
      </c>
      <c r="E263" s="89" t="str">
        <f ca="1">IFERROR(__xludf.DUMMYFUNCTION("""COMPUTED_VALUE"""),"Custodia, tutela, adopciones y acogimiento familiar")</f>
        <v>Custodia, tutela, adopciones y acogimiento familiar</v>
      </c>
      <c r="F263" s="89" t="str">
        <f ca="1">IFERROR(__xludf.DUMMYFUNCTION("""COMPUTED_VALUE"""),"C3. NNA del municipio de Guadalajara que recibieron servicios para la protección y restitución de sus derechos")</f>
        <v>C3. NNA del municipio de Guadalajara que recibieron servicios para la protección y restitución de sus derechos</v>
      </c>
      <c r="G263" s="89" t="str">
        <f ca="1">IFERROR(__xludf.DUMMYFUNCTION("""COMPUTED_VALUE"""),"Porcentaje de NNA con al menos un derecho protegido y/o restituido por la DIPNNA, en 2023")</f>
        <v>Porcentaje de NNA con al menos un derecho protegido y/o restituido por la DIPNNA, en 2023</v>
      </c>
      <c r="H263" s="89" t="str">
        <f ca="1">IFERROR(__xludf.DUMMYFUNCTION("""COMPUTED_VALUE"""),"HOM Marzo")</f>
        <v>HOM Marzo</v>
      </c>
      <c r="I263" s="89" t="str">
        <f ca="1">IFERROR(__xludf.DUMMYFUNCTION("""COMPUTED_VALUE"""),"Marzo")</f>
        <v>Marzo</v>
      </c>
      <c r="J263" s="89" t="str">
        <f ca="1">IFERROR(__xludf.DUMMYFUNCTION("""COMPUTED_VALUE"""),"HOM")</f>
        <v>HOM</v>
      </c>
      <c r="K263" s="92"/>
      <c r="L263" s="89" t="str">
        <f ca="1">IFERROR(__xludf.DUMMYFUNCTION("""COMPUTED_VALUE"""),"TRIMESTRE 1")</f>
        <v>TRIMESTRE 1</v>
      </c>
      <c r="M263" s="89" t="str">
        <f ca="1">IFERROR(__xludf.DUMMYFUNCTION("""COMPUTED_VALUE"""),"HOMBRES ADULTOS")</f>
        <v>HOMBRES ADULTOS</v>
      </c>
    </row>
    <row r="264" spans="1:13">
      <c r="A264" s="89" t="str">
        <f ca="1">IFERROR(__xludf.DUMMYFUNCTION("""COMPUTED_VALUE"""),"4.1.3.0")</f>
        <v>4.1.3.0</v>
      </c>
      <c r="B264" s="89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264" s="89" t="str">
        <f ca="1">IFERROR(__xludf.DUMMYFUNCTION("""COMPUTED_VALUE"""),"4. Programas")</f>
        <v>4. Programas</v>
      </c>
      <c r="D264" s="89" t="str">
        <f ca="1">IFERROR(__xludf.DUMMYFUNCTION("""COMPUTED_VALUE"""),"Guadalajara: Capital de las niñas y los niños")</f>
        <v>Guadalajara: Capital de las niñas y los niños</v>
      </c>
      <c r="E264" s="89" t="str">
        <f ca="1">IFERROR(__xludf.DUMMYFUNCTION("""COMPUTED_VALUE"""),"Custodia, tutela, adopciones y acogimiento familiar")</f>
        <v>Custodia, tutela, adopciones y acogimiento familiar</v>
      </c>
      <c r="F264" s="89" t="str">
        <f ca="1">IFERROR(__xludf.DUMMYFUNCTION("""COMPUTED_VALUE"""),"C3. NNA del municipio de Guadalajara que recibieron servicios para la protección y restitución de sus derechos")</f>
        <v>C3. NNA del municipio de Guadalajara que recibieron servicios para la protección y restitución de sus derechos</v>
      </c>
      <c r="G264" s="89" t="str">
        <f ca="1">IFERROR(__xludf.DUMMYFUNCTION("""COMPUTED_VALUE"""),"Porcentaje de NNA con al menos un derecho protegido y/o restituido por la DIPNNA, en 2023")</f>
        <v>Porcentaje de NNA con al menos un derecho protegido y/o restituido por la DIPNNA, en 2023</v>
      </c>
      <c r="H264" s="89" t="str">
        <f ca="1">IFERROR(__xludf.DUMMYFUNCTION("""COMPUTED_VALUE"""),"AMM Marzo")</f>
        <v>AMM Marzo</v>
      </c>
      <c r="I264" s="89" t="str">
        <f ca="1">IFERROR(__xludf.DUMMYFUNCTION("""COMPUTED_VALUE"""),"Marzo")</f>
        <v>Marzo</v>
      </c>
      <c r="J264" s="89" t="str">
        <f ca="1">IFERROR(__xludf.DUMMYFUNCTION("""COMPUTED_VALUE"""),"AMM")</f>
        <v>AMM</v>
      </c>
      <c r="K264" s="92"/>
      <c r="L264" s="89" t="str">
        <f ca="1">IFERROR(__xludf.DUMMYFUNCTION("""COMPUTED_VALUE"""),"TRIMESTRE 1")</f>
        <v>TRIMESTRE 1</v>
      </c>
      <c r="M264" s="89" t="str">
        <f ca="1">IFERROR(__xludf.DUMMYFUNCTION("""COMPUTED_VALUE"""),"ADULTA MAYOR MUJER")</f>
        <v>ADULTA MAYOR MUJER</v>
      </c>
    </row>
    <row r="265" spans="1:13">
      <c r="A265" s="89" t="str">
        <f ca="1">IFERROR(__xludf.DUMMYFUNCTION("""COMPUTED_VALUE"""),"4.1.3.0")</f>
        <v>4.1.3.0</v>
      </c>
      <c r="B265" s="89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265" s="89" t="str">
        <f ca="1">IFERROR(__xludf.DUMMYFUNCTION("""COMPUTED_VALUE"""),"4. Programas")</f>
        <v>4. Programas</v>
      </c>
      <c r="D265" s="89" t="str">
        <f ca="1">IFERROR(__xludf.DUMMYFUNCTION("""COMPUTED_VALUE"""),"Guadalajara: Capital de las niñas y los niños")</f>
        <v>Guadalajara: Capital de las niñas y los niños</v>
      </c>
      <c r="E265" s="89" t="str">
        <f ca="1">IFERROR(__xludf.DUMMYFUNCTION("""COMPUTED_VALUE"""),"Custodia, tutela, adopciones y acogimiento familiar")</f>
        <v>Custodia, tutela, adopciones y acogimiento familiar</v>
      </c>
      <c r="F265" s="89" t="str">
        <f ca="1">IFERROR(__xludf.DUMMYFUNCTION("""COMPUTED_VALUE"""),"C3. NNA del municipio de Guadalajara que recibieron servicios para la protección y restitución de sus derechos")</f>
        <v>C3. NNA del municipio de Guadalajara que recibieron servicios para la protección y restitución de sus derechos</v>
      </c>
      <c r="G265" s="89" t="str">
        <f ca="1">IFERROR(__xludf.DUMMYFUNCTION("""COMPUTED_VALUE"""),"Porcentaje de NNA con al menos un derecho protegido y/o restituido por la DIPNNA, en 2023")</f>
        <v>Porcentaje de NNA con al menos un derecho protegido y/o restituido por la DIPNNA, en 2023</v>
      </c>
      <c r="H265" s="89" t="str">
        <f ca="1">IFERROR(__xludf.DUMMYFUNCTION("""COMPUTED_VALUE"""),"AMH Marzo")</f>
        <v>AMH Marzo</v>
      </c>
      <c r="I265" s="89" t="str">
        <f ca="1">IFERROR(__xludf.DUMMYFUNCTION("""COMPUTED_VALUE"""),"Marzo")</f>
        <v>Marzo</v>
      </c>
      <c r="J265" s="89" t="str">
        <f ca="1">IFERROR(__xludf.DUMMYFUNCTION("""COMPUTED_VALUE"""),"AMH")</f>
        <v>AMH</v>
      </c>
      <c r="K265" s="92"/>
      <c r="L265" s="89" t="str">
        <f ca="1">IFERROR(__xludf.DUMMYFUNCTION("""COMPUTED_VALUE"""),"TRIMESTRE 1")</f>
        <v>TRIMESTRE 1</v>
      </c>
      <c r="M265" s="89" t="str">
        <f ca="1">IFERROR(__xludf.DUMMYFUNCTION("""COMPUTED_VALUE"""),"ADULTO MAYOR HOMBRE")</f>
        <v>ADULTO MAYOR HOMBRE</v>
      </c>
    </row>
    <row r="266" spans="1:13">
      <c r="A266" s="89" t="str">
        <f ca="1">IFERROR(__xludf.DUMMYFUNCTION("""COMPUTED_VALUE"""),"4.1.3.1")</f>
        <v>4.1.3.1</v>
      </c>
      <c r="B266" s="89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266" s="89" t="str">
        <f ca="1">IFERROR(__xludf.DUMMYFUNCTION("""COMPUTED_VALUE"""),"4. Programas")</f>
        <v>4. Programas</v>
      </c>
      <c r="D266" s="89" t="str">
        <f ca="1">IFERROR(__xludf.DUMMYFUNCTION("""COMPUTED_VALUE"""),"Guadalajara: Capital de las niñas y los niños")</f>
        <v>Guadalajara: Capital de las niñas y los niños</v>
      </c>
      <c r="E266" s="89" t="str">
        <f ca="1">IFERROR(__xludf.DUMMYFUNCTION("""COMPUTED_VALUE"""),"Custodia, tutela, adopciones y acogimiento familiar")</f>
        <v>Custodia, tutela, adopciones y acogimiento familiar</v>
      </c>
      <c r="F266" s="89" t="str">
        <f ca="1">IFERROR(__xludf.DUMMYFUNCTION("""COMPUTED_VALUE"""),"A1C3, Nuevas medidas de protección dictadas atendidas")</f>
        <v>A1C3, Nuevas medidas de protección dictadas atendidas</v>
      </c>
      <c r="G266" s="89" t="str">
        <f ca="1">IFERROR(__xludf.DUMMYFUNCTION("""COMPUTED_VALUE"""),"Porcentaje de NNA a los que se les dio seguimientos en las nuevas medidas de protección dictadas en 2023")</f>
        <v>Porcentaje de NNA a los que se les dio seguimientos en las nuevas medidas de protección dictadas en 2023</v>
      </c>
      <c r="H266" s="89" t="str">
        <f ca="1">IFERROR(__xludf.DUMMYFUNCTION("""COMPUTED_VALUE"""),"NAS Marzo")</f>
        <v>NAS Marzo</v>
      </c>
      <c r="I266" s="89" t="str">
        <f ca="1">IFERROR(__xludf.DUMMYFUNCTION("""COMPUTED_VALUE"""),"Marzo")</f>
        <v>Marzo</v>
      </c>
      <c r="J266" s="89" t="str">
        <f ca="1">IFERROR(__xludf.DUMMYFUNCTION("""COMPUTED_VALUE"""),"NAS")</f>
        <v>NAS</v>
      </c>
      <c r="K266" s="92">
        <f ca="1">IFERROR(__xludf.DUMMYFUNCTION("""COMPUTED_VALUE"""),12)</f>
        <v>12</v>
      </c>
      <c r="L266" s="89" t="str">
        <f ca="1">IFERROR(__xludf.DUMMYFUNCTION("""COMPUTED_VALUE"""),"TRIMESTRE 1")</f>
        <v>TRIMESTRE 1</v>
      </c>
      <c r="M266" s="89" t="str">
        <f ca="1">IFERROR(__xludf.DUMMYFUNCTION("""COMPUTED_VALUE"""),"NIÑAS")</f>
        <v>NIÑAS</v>
      </c>
    </row>
    <row r="267" spans="1:13">
      <c r="A267" s="89" t="str">
        <f ca="1">IFERROR(__xludf.DUMMYFUNCTION("""COMPUTED_VALUE"""),"4.1.3.1")</f>
        <v>4.1.3.1</v>
      </c>
      <c r="B267" s="89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267" s="89" t="str">
        <f ca="1">IFERROR(__xludf.DUMMYFUNCTION("""COMPUTED_VALUE"""),"4. Programas")</f>
        <v>4. Programas</v>
      </c>
      <c r="D267" s="89" t="str">
        <f ca="1">IFERROR(__xludf.DUMMYFUNCTION("""COMPUTED_VALUE"""),"Guadalajara: Capital de las niñas y los niños")</f>
        <v>Guadalajara: Capital de las niñas y los niños</v>
      </c>
      <c r="E267" s="89" t="str">
        <f ca="1">IFERROR(__xludf.DUMMYFUNCTION("""COMPUTED_VALUE"""),"Custodia, tutela, adopciones y acogimiento familiar")</f>
        <v>Custodia, tutela, adopciones y acogimiento familiar</v>
      </c>
      <c r="F267" s="89" t="str">
        <f ca="1">IFERROR(__xludf.DUMMYFUNCTION("""COMPUTED_VALUE"""),"A1C3, Nuevas medidas de protección dictadas atendidas")</f>
        <v>A1C3, Nuevas medidas de protección dictadas atendidas</v>
      </c>
      <c r="G267" s="89" t="str">
        <f ca="1">IFERROR(__xludf.DUMMYFUNCTION("""COMPUTED_VALUE"""),"Porcentaje de NNA a los que se les dio seguimientos en las nuevas medidas de protección dictadas en 2023")</f>
        <v>Porcentaje de NNA a los que se les dio seguimientos en las nuevas medidas de protección dictadas en 2023</v>
      </c>
      <c r="H267" s="89" t="str">
        <f ca="1">IFERROR(__xludf.DUMMYFUNCTION("""COMPUTED_VALUE"""),"NOS Marzo")</f>
        <v>NOS Marzo</v>
      </c>
      <c r="I267" s="89" t="str">
        <f ca="1">IFERROR(__xludf.DUMMYFUNCTION("""COMPUTED_VALUE"""),"Marzo")</f>
        <v>Marzo</v>
      </c>
      <c r="J267" s="89" t="str">
        <f ca="1">IFERROR(__xludf.DUMMYFUNCTION("""COMPUTED_VALUE"""),"NOS")</f>
        <v>NOS</v>
      </c>
      <c r="K267" s="92">
        <f ca="1">IFERROR(__xludf.DUMMYFUNCTION("""COMPUTED_VALUE"""),7)</f>
        <v>7</v>
      </c>
      <c r="L267" s="89" t="str">
        <f ca="1">IFERROR(__xludf.DUMMYFUNCTION("""COMPUTED_VALUE"""),"TRIMESTRE 1")</f>
        <v>TRIMESTRE 1</v>
      </c>
      <c r="M267" s="89" t="str">
        <f ca="1">IFERROR(__xludf.DUMMYFUNCTION("""COMPUTED_VALUE"""),"NIÑOS")</f>
        <v>NIÑOS</v>
      </c>
    </row>
    <row r="268" spans="1:13">
      <c r="A268" s="89" t="str">
        <f ca="1">IFERROR(__xludf.DUMMYFUNCTION("""COMPUTED_VALUE"""),"4.1.3.1")</f>
        <v>4.1.3.1</v>
      </c>
      <c r="B268" s="89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268" s="89" t="str">
        <f ca="1">IFERROR(__xludf.DUMMYFUNCTION("""COMPUTED_VALUE"""),"4. Programas")</f>
        <v>4. Programas</v>
      </c>
      <c r="D268" s="89" t="str">
        <f ca="1">IFERROR(__xludf.DUMMYFUNCTION("""COMPUTED_VALUE"""),"Guadalajara: Capital de las niñas y los niños")</f>
        <v>Guadalajara: Capital de las niñas y los niños</v>
      </c>
      <c r="E268" s="89" t="str">
        <f ca="1">IFERROR(__xludf.DUMMYFUNCTION("""COMPUTED_VALUE"""),"Custodia, tutela, adopciones y acogimiento familiar")</f>
        <v>Custodia, tutela, adopciones y acogimiento familiar</v>
      </c>
      <c r="F268" s="89" t="str">
        <f ca="1">IFERROR(__xludf.DUMMYFUNCTION("""COMPUTED_VALUE"""),"A1C3, Nuevas medidas de protección dictadas atendidas")</f>
        <v>A1C3, Nuevas medidas de protección dictadas atendidas</v>
      </c>
      <c r="G268" s="89" t="str">
        <f ca="1">IFERROR(__xludf.DUMMYFUNCTION("""COMPUTED_VALUE"""),"Porcentaje de NNA a los que se les dio seguimientos en las nuevas medidas de protección dictadas en 2023")</f>
        <v>Porcentaje de NNA a los que se les dio seguimientos en las nuevas medidas de protección dictadas en 2023</v>
      </c>
      <c r="H268" s="89" t="str">
        <f ca="1">IFERROR(__xludf.DUMMYFUNCTION("""COMPUTED_VALUE"""),"AM MARZO")</f>
        <v>AM MARZO</v>
      </c>
      <c r="I268" s="89" t="str">
        <f ca="1">IFERROR(__xludf.DUMMYFUNCTION("""COMPUTED_VALUE"""),"Marzo")</f>
        <v>Marzo</v>
      </c>
      <c r="J268" s="89" t="str">
        <f ca="1">IFERROR(__xludf.DUMMYFUNCTION("""COMPUTED_VALUE"""),"AM")</f>
        <v>AM</v>
      </c>
      <c r="K268" s="92">
        <f ca="1">IFERROR(__xludf.DUMMYFUNCTION("""COMPUTED_VALUE"""),5)</f>
        <v>5</v>
      </c>
      <c r="L268" s="89" t="str">
        <f ca="1">IFERROR(__xludf.DUMMYFUNCTION("""COMPUTED_VALUE"""),"TRIMESTRE 1")</f>
        <v>TRIMESTRE 1</v>
      </c>
      <c r="M268" s="89" t="str">
        <f ca="1">IFERROR(__xludf.DUMMYFUNCTION("""COMPUTED_VALUE"""),"ADOLESCENTES MUJERES")</f>
        <v>ADOLESCENTES MUJERES</v>
      </c>
    </row>
    <row r="269" spans="1:13">
      <c r="A269" s="89" t="str">
        <f ca="1">IFERROR(__xludf.DUMMYFUNCTION("""COMPUTED_VALUE"""),"4.1.3.1")</f>
        <v>4.1.3.1</v>
      </c>
      <c r="B269" s="89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269" s="89" t="str">
        <f ca="1">IFERROR(__xludf.DUMMYFUNCTION("""COMPUTED_VALUE"""),"4. Programas")</f>
        <v>4. Programas</v>
      </c>
      <c r="D269" s="89" t="str">
        <f ca="1">IFERROR(__xludf.DUMMYFUNCTION("""COMPUTED_VALUE"""),"Guadalajara: Capital de las niñas y los niños")</f>
        <v>Guadalajara: Capital de las niñas y los niños</v>
      </c>
      <c r="E269" s="89" t="str">
        <f ca="1">IFERROR(__xludf.DUMMYFUNCTION("""COMPUTED_VALUE"""),"Custodia, tutela, adopciones y acogimiento familiar")</f>
        <v>Custodia, tutela, adopciones y acogimiento familiar</v>
      </c>
      <c r="F269" s="89" t="str">
        <f ca="1">IFERROR(__xludf.DUMMYFUNCTION("""COMPUTED_VALUE"""),"A1C3, Nuevas medidas de protección dictadas atendidas")</f>
        <v>A1C3, Nuevas medidas de protección dictadas atendidas</v>
      </c>
      <c r="G269" s="89" t="str">
        <f ca="1">IFERROR(__xludf.DUMMYFUNCTION("""COMPUTED_VALUE"""),"Porcentaje de NNA a los que se les dio seguimientos en las nuevas medidas de protección dictadas en 2023")</f>
        <v>Porcentaje de NNA a los que se les dio seguimientos en las nuevas medidas de protección dictadas en 2023</v>
      </c>
      <c r="H269" s="89" t="str">
        <f ca="1">IFERROR(__xludf.DUMMYFUNCTION("""COMPUTED_VALUE"""),"AH MARZO")</f>
        <v>AH MARZO</v>
      </c>
      <c r="I269" s="89" t="str">
        <f ca="1">IFERROR(__xludf.DUMMYFUNCTION("""COMPUTED_VALUE"""),"Marzo")</f>
        <v>Marzo</v>
      </c>
      <c r="J269" s="89" t="str">
        <f ca="1">IFERROR(__xludf.DUMMYFUNCTION("""COMPUTED_VALUE"""),"AH")</f>
        <v>AH</v>
      </c>
      <c r="K269" s="92">
        <f ca="1">IFERROR(__xludf.DUMMYFUNCTION("""COMPUTED_VALUE"""),3)</f>
        <v>3</v>
      </c>
      <c r="L269" s="89" t="str">
        <f ca="1">IFERROR(__xludf.DUMMYFUNCTION("""COMPUTED_VALUE"""),"TRIMESTRE 1")</f>
        <v>TRIMESTRE 1</v>
      </c>
      <c r="M269" s="89" t="str">
        <f ca="1">IFERROR(__xludf.DUMMYFUNCTION("""COMPUTED_VALUE"""),"ADOLESCENTES HOMBRES")</f>
        <v>ADOLESCENTES HOMBRES</v>
      </c>
    </row>
    <row r="270" spans="1:13">
      <c r="A270" s="89" t="str">
        <f ca="1">IFERROR(__xludf.DUMMYFUNCTION("""COMPUTED_VALUE"""),"4.1.3.1")</f>
        <v>4.1.3.1</v>
      </c>
      <c r="B270" s="89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270" s="89" t="str">
        <f ca="1">IFERROR(__xludf.DUMMYFUNCTION("""COMPUTED_VALUE"""),"4. Programas")</f>
        <v>4. Programas</v>
      </c>
      <c r="D270" s="89" t="str">
        <f ca="1">IFERROR(__xludf.DUMMYFUNCTION("""COMPUTED_VALUE"""),"Guadalajara: Capital de las niñas y los niños")</f>
        <v>Guadalajara: Capital de las niñas y los niños</v>
      </c>
      <c r="E270" s="89" t="str">
        <f ca="1">IFERROR(__xludf.DUMMYFUNCTION("""COMPUTED_VALUE"""),"Custodia, tutela, adopciones y acogimiento familiar")</f>
        <v>Custodia, tutela, adopciones y acogimiento familiar</v>
      </c>
      <c r="F270" s="89" t="str">
        <f ca="1">IFERROR(__xludf.DUMMYFUNCTION("""COMPUTED_VALUE"""),"A1C3, Nuevas medidas de protección dictadas atendidas")</f>
        <v>A1C3, Nuevas medidas de protección dictadas atendidas</v>
      </c>
      <c r="G270" s="89" t="str">
        <f ca="1">IFERROR(__xludf.DUMMYFUNCTION("""COMPUTED_VALUE"""),"Porcentaje de NNA a los que se les dio seguimientos en las nuevas medidas de protección dictadas en 2023")</f>
        <v>Porcentaje de NNA a los que se les dio seguimientos en las nuevas medidas de protección dictadas en 2023</v>
      </c>
      <c r="H270" s="89" t="str">
        <f ca="1">IFERROR(__xludf.DUMMYFUNCTION("""COMPUTED_VALUE"""),"MUJ Marzo")</f>
        <v>MUJ Marzo</v>
      </c>
      <c r="I270" s="89" t="str">
        <f ca="1">IFERROR(__xludf.DUMMYFUNCTION("""COMPUTED_VALUE"""),"Marzo")</f>
        <v>Marzo</v>
      </c>
      <c r="J270" s="89" t="str">
        <f ca="1">IFERROR(__xludf.DUMMYFUNCTION("""COMPUTED_VALUE"""),"MUJ")</f>
        <v>MUJ</v>
      </c>
      <c r="K270" s="92">
        <f ca="1">IFERROR(__xludf.DUMMYFUNCTION("""COMPUTED_VALUE"""),0)</f>
        <v>0</v>
      </c>
      <c r="L270" s="89" t="str">
        <f ca="1">IFERROR(__xludf.DUMMYFUNCTION("""COMPUTED_VALUE"""),"TRIMESTRE 1")</f>
        <v>TRIMESTRE 1</v>
      </c>
      <c r="M270" s="89" t="str">
        <f ca="1">IFERROR(__xludf.DUMMYFUNCTION("""COMPUTED_VALUE"""),"MUJERES ADULTAS")</f>
        <v>MUJERES ADULTAS</v>
      </c>
    </row>
    <row r="271" spans="1:13">
      <c r="A271" s="89" t="str">
        <f ca="1">IFERROR(__xludf.DUMMYFUNCTION("""COMPUTED_VALUE"""),"4.1.3.1")</f>
        <v>4.1.3.1</v>
      </c>
      <c r="B271" s="89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271" s="89" t="str">
        <f ca="1">IFERROR(__xludf.DUMMYFUNCTION("""COMPUTED_VALUE"""),"4. Programas")</f>
        <v>4. Programas</v>
      </c>
      <c r="D271" s="89" t="str">
        <f ca="1">IFERROR(__xludf.DUMMYFUNCTION("""COMPUTED_VALUE"""),"Guadalajara: Capital de las niñas y los niños")</f>
        <v>Guadalajara: Capital de las niñas y los niños</v>
      </c>
      <c r="E271" s="89" t="str">
        <f ca="1">IFERROR(__xludf.DUMMYFUNCTION("""COMPUTED_VALUE"""),"Custodia, tutela, adopciones y acogimiento familiar")</f>
        <v>Custodia, tutela, adopciones y acogimiento familiar</v>
      </c>
      <c r="F271" s="89" t="str">
        <f ca="1">IFERROR(__xludf.DUMMYFUNCTION("""COMPUTED_VALUE"""),"A1C3, Nuevas medidas de protección dictadas atendidas")</f>
        <v>A1C3, Nuevas medidas de protección dictadas atendidas</v>
      </c>
      <c r="G271" s="89" t="str">
        <f ca="1">IFERROR(__xludf.DUMMYFUNCTION("""COMPUTED_VALUE"""),"Porcentaje de NNA a los que se les dio seguimientos en las nuevas medidas de protección dictadas en 2023")</f>
        <v>Porcentaje de NNA a los que se les dio seguimientos en las nuevas medidas de protección dictadas en 2023</v>
      </c>
      <c r="H271" s="89" t="str">
        <f ca="1">IFERROR(__xludf.DUMMYFUNCTION("""COMPUTED_VALUE"""),"HOM Marzo")</f>
        <v>HOM Marzo</v>
      </c>
      <c r="I271" s="89" t="str">
        <f ca="1">IFERROR(__xludf.DUMMYFUNCTION("""COMPUTED_VALUE"""),"Marzo")</f>
        <v>Marzo</v>
      </c>
      <c r="J271" s="89" t="str">
        <f ca="1">IFERROR(__xludf.DUMMYFUNCTION("""COMPUTED_VALUE"""),"HOM")</f>
        <v>HOM</v>
      </c>
      <c r="K271" s="92">
        <f ca="1">IFERROR(__xludf.DUMMYFUNCTION("""COMPUTED_VALUE"""),0)</f>
        <v>0</v>
      </c>
      <c r="L271" s="89" t="str">
        <f ca="1">IFERROR(__xludf.DUMMYFUNCTION("""COMPUTED_VALUE"""),"TRIMESTRE 1")</f>
        <v>TRIMESTRE 1</v>
      </c>
      <c r="M271" s="89" t="str">
        <f ca="1">IFERROR(__xludf.DUMMYFUNCTION("""COMPUTED_VALUE"""),"HOMBRES ADULTOS")</f>
        <v>HOMBRES ADULTOS</v>
      </c>
    </row>
    <row r="272" spans="1:13">
      <c r="A272" s="89" t="str">
        <f ca="1">IFERROR(__xludf.DUMMYFUNCTION("""COMPUTED_VALUE"""),"4.1.3.1")</f>
        <v>4.1.3.1</v>
      </c>
      <c r="B272" s="89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272" s="89" t="str">
        <f ca="1">IFERROR(__xludf.DUMMYFUNCTION("""COMPUTED_VALUE"""),"4. Programas")</f>
        <v>4. Programas</v>
      </c>
      <c r="D272" s="89" t="str">
        <f ca="1">IFERROR(__xludf.DUMMYFUNCTION("""COMPUTED_VALUE"""),"Guadalajara: Capital de las niñas y los niños")</f>
        <v>Guadalajara: Capital de las niñas y los niños</v>
      </c>
      <c r="E272" s="89" t="str">
        <f ca="1">IFERROR(__xludf.DUMMYFUNCTION("""COMPUTED_VALUE"""),"Custodia, tutela, adopciones y acogimiento familiar")</f>
        <v>Custodia, tutela, adopciones y acogimiento familiar</v>
      </c>
      <c r="F272" s="89" t="str">
        <f ca="1">IFERROR(__xludf.DUMMYFUNCTION("""COMPUTED_VALUE"""),"A1C3, Nuevas medidas de protección dictadas atendidas")</f>
        <v>A1C3, Nuevas medidas de protección dictadas atendidas</v>
      </c>
      <c r="G272" s="89" t="str">
        <f ca="1">IFERROR(__xludf.DUMMYFUNCTION("""COMPUTED_VALUE"""),"Porcentaje de NNA a los que se les dio seguimientos en las nuevas medidas de protección dictadas en 2023")</f>
        <v>Porcentaje de NNA a los que se les dio seguimientos en las nuevas medidas de protección dictadas en 2023</v>
      </c>
      <c r="H272" s="89" t="str">
        <f ca="1">IFERROR(__xludf.DUMMYFUNCTION("""COMPUTED_VALUE"""),"AMM Marzo")</f>
        <v>AMM Marzo</v>
      </c>
      <c r="I272" s="89" t="str">
        <f ca="1">IFERROR(__xludf.DUMMYFUNCTION("""COMPUTED_VALUE"""),"Marzo")</f>
        <v>Marzo</v>
      </c>
      <c r="J272" s="89" t="str">
        <f ca="1">IFERROR(__xludf.DUMMYFUNCTION("""COMPUTED_VALUE"""),"AMM")</f>
        <v>AMM</v>
      </c>
      <c r="K272" s="92">
        <f ca="1">IFERROR(__xludf.DUMMYFUNCTION("""COMPUTED_VALUE"""),0)</f>
        <v>0</v>
      </c>
      <c r="L272" s="89" t="str">
        <f ca="1">IFERROR(__xludf.DUMMYFUNCTION("""COMPUTED_VALUE"""),"TRIMESTRE 1")</f>
        <v>TRIMESTRE 1</v>
      </c>
      <c r="M272" s="89" t="str">
        <f ca="1">IFERROR(__xludf.DUMMYFUNCTION("""COMPUTED_VALUE"""),"ADULTA MAYOR MUJER")</f>
        <v>ADULTA MAYOR MUJER</v>
      </c>
    </row>
    <row r="273" spans="1:13">
      <c r="A273" s="89" t="str">
        <f ca="1">IFERROR(__xludf.DUMMYFUNCTION("""COMPUTED_VALUE"""),"4.1.3.1")</f>
        <v>4.1.3.1</v>
      </c>
      <c r="B273" s="89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273" s="89" t="str">
        <f ca="1">IFERROR(__xludf.DUMMYFUNCTION("""COMPUTED_VALUE"""),"4. Programas")</f>
        <v>4. Programas</v>
      </c>
      <c r="D273" s="89" t="str">
        <f ca="1">IFERROR(__xludf.DUMMYFUNCTION("""COMPUTED_VALUE"""),"Guadalajara: Capital de las niñas y los niños")</f>
        <v>Guadalajara: Capital de las niñas y los niños</v>
      </c>
      <c r="E273" s="89" t="str">
        <f ca="1">IFERROR(__xludf.DUMMYFUNCTION("""COMPUTED_VALUE"""),"Custodia, tutela, adopciones y acogimiento familiar")</f>
        <v>Custodia, tutela, adopciones y acogimiento familiar</v>
      </c>
      <c r="F273" s="89" t="str">
        <f ca="1">IFERROR(__xludf.DUMMYFUNCTION("""COMPUTED_VALUE"""),"A1C3, Nuevas medidas de protección dictadas atendidas")</f>
        <v>A1C3, Nuevas medidas de protección dictadas atendidas</v>
      </c>
      <c r="G273" s="89" t="str">
        <f ca="1">IFERROR(__xludf.DUMMYFUNCTION("""COMPUTED_VALUE"""),"Porcentaje de NNA a los que se les dio seguimientos en las nuevas medidas de protección dictadas en 2023")</f>
        <v>Porcentaje de NNA a los que se les dio seguimientos en las nuevas medidas de protección dictadas en 2023</v>
      </c>
      <c r="H273" s="89" t="str">
        <f ca="1">IFERROR(__xludf.DUMMYFUNCTION("""COMPUTED_VALUE"""),"AMH Marzo")</f>
        <v>AMH Marzo</v>
      </c>
      <c r="I273" s="89" t="str">
        <f ca="1">IFERROR(__xludf.DUMMYFUNCTION("""COMPUTED_VALUE"""),"Marzo")</f>
        <v>Marzo</v>
      </c>
      <c r="J273" s="89" t="str">
        <f ca="1">IFERROR(__xludf.DUMMYFUNCTION("""COMPUTED_VALUE"""),"AMH")</f>
        <v>AMH</v>
      </c>
      <c r="K273" s="92">
        <f ca="1">IFERROR(__xludf.DUMMYFUNCTION("""COMPUTED_VALUE"""),0)</f>
        <v>0</v>
      </c>
      <c r="L273" s="89" t="str">
        <f ca="1">IFERROR(__xludf.DUMMYFUNCTION("""COMPUTED_VALUE"""),"TRIMESTRE 1")</f>
        <v>TRIMESTRE 1</v>
      </c>
      <c r="M273" s="89" t="str">
        <f ca="1">IFERROR(__xludf.DUMMYFUNCTION("""COMPUTED_VALUE"""),"ADULTO MAYOR HOMBRE")</f>
        <v>ADULTO MAYOR HOMBRE</v>
      </c>
    </row>
    <row r="274" spans="1:13">
      <c r="A274" s="89" t="str">
        <f ca="1">IFERROR(__xludf.DUMMYFUNCTION("""COMPUTED_VALUE"""),"4.1.3.2")</f>
        <v>4.1.3.2</v>
      </c>
      <c r="B274" s="89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274" s="89" t="str">
        <f ca="1">IFERROR(__xludf.DUMMYFUNCTION("""COMPUTED_VALUE"""),"4. Programas")</f>
        <v>4. Programas</v>
      </c>
      <c r="D274" s="89" t="str">
        <f ca="1">IFERROR(__xludf.DUMMYFUNCTION("""COMPUTED_VALUE"""),"Guadalajara: Capital de las niñas y los niños")</f>
        <v>Guadalajara: Capital de las niñas y los niños</v>
      </c>
      <c r="E274" s="89" t="str">
        <f ca="1">IFERROR(__xludf.DUMMYFUNCTION("""COMPUTED_VALUE"""),"Custodia, tutela, adopciones y acogimiento familiar")</f>
        <v>Custodia, tutela, adopciones y acogimiento familiar</v>
      </c>
      <c r="F274" s="89" t="str">
        <f ca="1">IFERROR(__xludf.DUMMYFUNCTION("""COMPUTED_VALUE"""),"A2C3. Medidas de protección dictadas que se les dio seguimiento")</f>
        <v>A2C3. Medidas de protección dictadas que se les dio seguimiento</v>
      </c>
      <c r="G274" s="89" t="str">
        <f ca="1">IFERROR(__xludf.DUMMYFUNCTION("""COMPUTED_VALUE"""),"Porcentaje de NNA a los que se les dio seguimientos en las medidas de protección dictadas, en 2023")</f>
        <v>Porcentaje de NNA a los que se les dio seguimientos en las medidas de protección dictadas, en 2023</v>
      </c>
      <c r="H274" s="89" t="str">
        <f ca="1">IFERROR(__xludf.DUMMYFUNCTION("""COMPUTED_VALUE"""),"NAS Marzo")</f>
        <v>NAS Marzo</v>
      </c>
      <c r="I274" s="89" t="str">
        <f ca="1">IFERROR(__xludf.DUMMYFUNCTION("""COMPUTED_VALUE"""),"Marzo")</f>
        <v>Marzo</v>
      </c>
      <c r="J274" s="89" t="str">
        <f ca="1">IFERROR(__xludf.DUMMYFUNCTION("""COMPUTED_VALUE"""),"NAS")</f>
        <v>NAS</v>
      </c>
      <c r="K274" s="92">
        <f ca="1">IFERROR(__xludf.DUMMYFUNCTION("""COMPUTED_VALUE"""),89)</f>
        <v>89</v>
      </c>
      <c r="L274" s="89" t="str">
        <f ca="1">IFERROR(__xludf.DUMMYFUNCTION("""COMPUTED_VALUE"""),"TRIMESTRE 1")</f>
        <v>TRIMESTRE 1</v>
      </c>
      <c r="M274" s="89" t="str">
        <f ca="1">IFERROR(__xludf.DUMMYFUNCTION("""COMPUTED_VALUE"""),"NIÑAS")</f>
        <v>NIÑAS</v>
      </c>
    </row>
    <row r="275" spans="1:13">
      <c r="A275" s="89" t="str">
        <f ca="1">IFERROR(__xludf.DUMMYFUNCTION("""COMPUTED_VALUE"""),"4.1.3.2")</f>
        <v>4.1.3.2</v>
      </c>
      <c r="B275" s="89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275" s="89" t="str">
        <f ca="1">IFERROR(__xludf.DUMMYFUNCTION("""COMPUTED_VALUE"""),"4. Programas")</f>
        <v>4. Programas</v>
      </c>
      <c r="D275" s="89" t="str">
        <f ca="1">IFERROR(__xludf.DUMMYFUNCTION("""COMPUTED_VALUE"""),"Guadalajara: Capital de las niñas y los niños")</f>
        <v>Guadalajara: Capital de las niñas y los niños</v>
      </c>
      <c r="E275" s="89" t="str">
        <f ca="1">IFERROR(__xludf.DUMMYFUNCTION("""COMPUTED_VALUE"""),"Custodia, tutela, adopciones y acogimiento familiar")</f>
        <v>Custodia, tutela, adopciones y acogimiento familiar</v>
      </c>
      <c r="F275" s="89" t="str">
        <f ca="1">IFERROR(__xludf.DUMMYFUNCTION("""COMPUTED_VALUE"""),"A2C3. Medidas de protección dictadas que se les dio seguimiento")</f>
        <v>A2C3. Medidas de protección dictadas que se les dio seguimiento</v>
      </c>
      <c r="G275" s="89" t="str">
        <f ca="1">IFERROR(__xludf.DUMMYFUNCTION("""COMPUTED_VALUE"""),"Porcentaje de NNA a los que se les dio seguimientos en las medidas de protección dictadas, en 2023")</f>
        <v>Porcentaje de NNA a los que se les dio seguimientos en las medidas de protección dictadas, en 2023</v>
      </c>
      <c r="H275" s="89" t="str">
        <f ca="1">IFERROR(__xludf.DUMMYFUNCTION("""COMPUTED_VALUE"""),"NOS Marzo")</f>
        <v>NOS Marzo</v>
      </c>
      <c r="I275" s="89" t="str">
        <f ca="1">IFERROR(__xludf.DUMMYFUNCTION("""COMPUTED_VALUE"""),"Marzo")</f>
        <v>Marzo</v>
      </c>
      <c r="J275" s="89" t="str">
        <f ca="1">IFERROR(__xludf.DUMMYFUNCTION("""COMPUTED_VALUE"""),"NOS")</f>
        <v>NOS</v>
      </c>
      <c r="K275" s="92">
        <f ca="1">IFERROR(__xludf.DUMMYFUNCTION("""COMPUTED_VALUE"""),40)</f>
        <v>40</v>
      </c>
      <c r="L275" s="89" t="str">
        <f ca="1">IFERROR(__xludf.DUMMYFUNCTION("""COMPUTED_VALUE"""),"TRIMESTRE 1")</f>
        <v>TRIMESTRE 1</v>
      </c>
      <c r="M275" s="89" t="str">
        <f ca="1">IFERROR(__xludf.DUMMYFUNCTION("""COMPUTED_VALUE"""),"NIÑOS")</f>
        <v>NIÑOS</v>
      </c>
    </row>
    <row r="276" spans="1:13">
      <c r="A276" s="89" t="str">
        <f ca="1">IFERROR(__xludf.DUMMYFUNCTION("""COMPUTED_VALUE"""),"4.1.3.2")</f>
        <v>4.1.3.2</v>
      </c>
      <c r="B276" s="89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276" s="89" t="str">
        <f ca="1">IFERROR(__xludf.DUMMYFUNCTION("""COMPUTED_VALUE"""),"4. Programas")</f>
        <v>4. Programas</v>
      </c>
      <c r="D276" s="89" t="str">
        <f ca="1">IFERROR(__xludf.DUMMYFUNCTION("""COMPUTED_VALUE"""),"Guadalajara: Capital de las niñas y los niños")</f>
        <v>Guadalajara: Capital de las niñas y los niños</v>
      </c>
      <c r="E276" s="89" t="str">
        <f ca="1">IFERROR(__xludf.DUMMYFUNCTION("""COMPUTED_VALUE"""),"Custodia, tutela, adopciones y acogimiento familiar")</f>
        <v>Custodia, tutela, adopciones y acogimiento familiar</v>
      </c>
      <c r="F276" s="89" t="str">
        <f ca="1">IFERROR(__xludf.DUMMYFUNCTION("""COMPUTED_VALUE"""),"A2C3. Medidas de protección dictadas que se les dio seguimiento")</f>
        <v>A2C3. Medidas de protección dictadas que se les dio seguimiento</v>
      </c>
      <c r="G276" s="89" t="str">
        <f ca="1">IFERROR(__xludf.DUMMYFUNCTION("""COMPUTED_VALUE"""),"Porcentaje de NNA a los que se les dio seguimientos en las medidas de protección dictadas, en 2023")</f>
        <v>Porcentaje de NNA a los que se les dio seguimientos en las medidas de protección dictadas, en 2023</v>
      </c>
      <c r="H276" s="89" t="str">
        <f ca="1">IFERROR(__xludf.DUMMYFUNCTION("""COMPUTED_VALUE"""),"AM MARZO")</f>
        <v>AM MARZO</v>
      </c>
      <c r="I276" s="89" t="str">
        <f ca="1">IFERROR(__xludf.DUMMYFUNCTION("""COMPUTED_VALUE"""),"Marzo")</f>
        <v>Marzo</v>
      </c>
      <c r="J276" s="89" t="str">
        <f ca="1">IFERROR(__xludf.DUMMYFUNCTION("""COMPUTED_VALUE"""),"AM")</f>
        <v>AM</v>
      </c>
      <c r="K276" s="92"/>
      <c r="L276" s="89" t="str">
        <f ca="1">IFERROR(__xludf.DUMMYFUNCTION("""COMPUTED_VALUE"""),"TRIMESTRE 1")</f>
        <v>TRIMESTRE 1</v>
      </c>
      <c r="M276" s="89" t="str">
        <f ca="1">IFERROR(__xludf.DUMMYFUNCTION("""COMPUTED_VALUE"""),"ADOLESCENTES MUJERES")</f>
        <v>ADOLESCENTES MUJERES</v>
      </c>
    </row>
    <row r="277" spans="1:13">
      <c r="A277" s="89" t="str">
        <f ca="1">IFERROR(__xludf.DUMMYFUNCTION("""COMPUTED_VALUE"""),"4.1.3.2")</f>
        <v>4.1.3.2</v>
      </c>
      <c r="B277" s="89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277" s="89" t="str">
        <f ca="1">IFERROR(__xludf.DUMMYFUNCTION("""COMPUTED_VALUE"""),"4. Programas")</f>
        <v>4. Programas</v>
      </c>
      <c r="D277" s="89" t="str">
        <f ca="1">IFERROR(__xludf.DUMMYFUNCTION("""COMPUTED_VALUE"""),"Guadalajara: Capital de las niñas y los niños")</f>
        <v>Guadalajara: Capital de las niñas y los niños</v>
      </c>
      <c r="E277" s="89" t="str">
        <f ca="1">IFERROR(__xludf.DUMMYFUNCTION("""COMPUTED_VALUE"""),"Custodia, tutela, adopciones y acogimiento familiar")</f>
        <v>Custodia, tutela, adopciones y acogimiento familiar</v>
      </c>
      <c r="F277" s="89" t="str">
        <f ca="1">IFERROR(__xludf.DUMMYFUNCTION("""COMPUTED_VALUE"""),"A2C3. Medidas de protección dictadas que se les dio seguimiento")</f>
        <v>A2C3. Medidas de protección dictadas que se les dio seguimiento</v>
      </c>
      <c r="G277" s="89" t="str">
        <f ca="1">IFERROR(__xludf.DUMMYFUNCTION("""COMPUTED_VALUE"""),"Porcentaje de NNA a los que se les dio seguimientos en las medidas de protección dictadas, en 2023")</f>
        <v>Porcentaje de NNA a los que se les dio seguimientos en las medidas de protección dictadas, en 2023</v>
      </c>
      <c r="H277" s="89" t="str">
        <f ca="1">IFERROR(__xludf.DUMMYFUNCTION("""COMPUTED_VALUE"""),"AH MARZO")</f>
        <v>AH MARZO</v>
      </c>
      <c r="I277" s="89" t="str">
        <f ca="1">IFERROR(__xludf.DUMMYFUNCTION("""COMPUTED_VALUE"""),"Marzo")</f>
        <v>Marzo</v>
      </c>
      <c r="J277" s="89" t="str">
        <f ca="1">IFERROR(__xludf.DUMMYFUNCTION("""COMPUTED_VALUE"""),"AH")</f>
        <v>AH</v>
      </c>
      <c r="K277" s="92">
        <f ca="1">IFERROR(__xludf.DUMMYFUNCTION("""COMPUTED_VALUE"""),1)</f>
        <v>1</v>
      </c>
      <c r="L277" s="89" t="str">
        <f ca="1">IFERROR(__xludf.DUMMYFUNCTION("""COMPUTED_VALUE"""),"TRIMESTRE 1")</f>
        <v>TRIMESTRE 1</v>
      </c>
      <c r="M277" s="89" t="str">
        <f ca="1">IFERROR(__xludf.DUMMYFUNCTION("""COMPUTED_VALUE"""),"ADOLESCENTES HOMBRES")</f>
        <v>ADOLESCENTES HOMBRES</v>
      </c>
    </row>
    <row r="278" spans="1:13">
      <c r="A278" s="89" t="str">
        <f ca="1">IFERROR(__xludf.DUMMYFUNCTION("""COMPUTED_VALUE"""),"4.1.3.2")</f>
        <v>4.1.3.2</v>
      </c>
      <c r="B278" s="89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278" s="89" t="str">
        <f ca="1">IFERROR(__xludf.DUMMYFUNCTION("""COMPUTED_VALUE"""),"4. Programas")</f>
        <v>4. Programas</v>
      </c>
      <c r="D278" s="89" t="str">
        <f ca="1">IFERROR(__xludf.DUMMYFUNCTION("""COMPUTED_VALUE"""),"Guadalajara: Capital de las niñas y los niños")</f>
        <v>Guadalajara: Capital de las niñas y los niños</v>
      </c>
      <c r="E278" s="89" t="str">
        <f ca="1">IFERROR(__xludf.DUMMYFUNCTION("""COMPUTED_VALUE"""),"Custodia, tutela, adopciones y acogimiento familiar")</f>
        <v>Custodia, tutela, adopciones y acogimiento familiar</v>
      </c>
      <c r="F278" s="89" t="str">
        <f ca="1">IFERROR(__xludf.DUMMYFUNCTION("""COMPUTED_VALUE"""),"A2C3. Medidas de protección dictadas que se les dio seguimiento")</f>
        <v>A2C3. Medidas de protección dictadas que se les dio seguimiento</v>
      </c>
      <c r="G278" s="89" t="str">
        <f ca="1">IFERROR(__xludf.DUMMYFUNCTION("""COMPUTED_VALUE"""),"Porcentaje de NNA a los que se les dio seguimientos en las medidas de protección dictadas, en 2023")</f>
        <v>Porcentaje de NNA a los que se les dio seguimientos en las medidas de protección dictadas, en 2023</v>
      </c>
      <c r="H278" s="89" t="str">
        <f ca="1">IFERROR(__xludf.DUMMYFUNCTION("""COMPUTED_VALUE"""),"MUJ Marzo")</f>
        <v>MUJ Marzo</v>
      </c>
      <c r="I278" s="89" t="str">
        <f ca="1">IFERROR(__xludf.DUMMYFUNCTION("""COMPUTED_VALUE"""),"Marzo")</f>
        <v>Marzo</v>
      </c>
      <c r="J278" s="89" t="str">
        <f ca="1">IFERROR(__xludf.DUMMYFUNCTION("""COMPUTED_VALUE"""),"MUJ")</f>
        <v>MUJ</v>
      </c>
      <c r="K278" s="92"/>
      <c r="L278" s="89" t="str">
        <f ca="1">IFERROR(__xludf.DUMMYFUNCTION("""COMPUTED_VALUE"""),"TRIMESTRE 1")</f>
        <v>TRIMESTRE 1</v>
      </c>
      <c r="M278" s="89" t="str">
        <f ca="1">IFERROR(__xludf.DUMMYFUNCTION("""COMPUTED_VALUE"""),"MUJERES ADULTAS")</f>
        <v>MUJERES ADULTAS</v>
      </c>
    </row>
    <row r="279" spans="1:13">
      <c r="A279" s="89" t="str">
        <f ca="1">IFERROR(__xludf.DUMMYFUNCTION("""COMPUTED_VALUE"""),"4.1.3.2")</f>
        <v>4.1.3.2</v>
      </c>
      <c r="B279" s="89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279" s="89" t="str">
        <f ca="1">IFERROR(__xludf.DUMMYFUNCTION("""COMPUTED_VALUE"""),"4. Programas")</f>
        <v>4. Programas</v>
      </c>
      <c r="D279" s="89" t="str">
        <f ca="1">IFERROR(__xludf.DUMMYFUNCTION("""COMPUTED_VALUE"""),"Guadalajara: Capital de las niñas y los niños")</f>
        <v>Guadalajara: Capital de las niñas y los niños</v>
      </c>
      <c r="E279" s="89" t="str">
        <f ca="1">IFERROR(__xludf.DUMMYFUNCTION("""COMPUTED_VALUE"""),"Custodia, tutela, adopciones y acogimiento familiar")</f>
        <v>Custodia, tutela, adopciones y acogimiento familiar</v>
      </c>
      <c r="F279" s="89" t="str">
        <f ca="1">IFERROR(__xludf.DUMMYFUNCTION("""COMPUTED_VALUE"""),"A2C3. Medidas de protección dictadas que se les dio seguimiento")</f>
        <v>A2C3. Medidas de protección dictadas que se les dio seguimiento</v>
      </c>
      <c r="G279" s="89" t="str">
        <f ca="1">IFERROR(__xludf.DUMMYFUNCTION("""COMPUTED_VALUE"""),"Porcentaje de NNA a los que se les dio seguimientos en las medidas de protección dictadas, en 2023")</f>
        <v>Porcentaje de NNA a los que se les dio seguimientos en las medidas de protección dictadas, en 2023</v>
      </c>
      <c r="H279" s="89" t="str">
        <f ca="1">IFERROR(__xludf.DUMMYFUNCTION("""COMPUTED_VALUE"""),"HOM Marzo")</f>
        <v>HOM Marzo</v>
      </c>
      <c r="I279" s="89" t="str">
        <f ca="1">IFERROR(__xludf.DUMMYFUNCTION("""COMPUTED_VALUE"""),"Marzo")</f>
        <v>Marzo</v>
      </c>
      <c r="J279" s="89" t="str">
        <f ca="1">IFERROR(__xludf.DUMMYFUNCTION("""COMPUTED_VALUE"""),"HOM")</f>
        <v>HOM</v>
      </c>
      <c r="K279" s="92"/>
      <c r="L279" s="89" t="str">
        <f ca="1">IFERROR(__xludf.DUMMYFUNCTION("""COMPUTED_VALUE"""),"TRIMESTRE 1")</f>
        <v>TRIMESTRE 1</v>
      </c>
      <c r="M279" s="89" t="str">
        <f ca="1">IFERROR(__xludf.DUMMYFUNCTION("""COMPUTED_VALUE"""),"HOMBRES ADULTOS")</f>
        <v>HOMBRES ADULTOS</v>
      </c>
    </row>
    <row r="280" spans="1:13">
      <c r="A280" s="89" t="str">
        <f ca="1">IFERROR(__xludf.DUMMYFUNCTION("""COMPUTED_VALUE"""),"4.1.3.2")</f>
        <v>4.1.3.2</v>
      </c>
      <c r="B280" s="89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280" s="89" t="str">
        <f ca="1">IFERROR(__xludf.DUMMYFUNCTION("""COMPUTED_VALUE"""),"4. Programas")</f>
        <v>4. Programas</v>
      </c>
      <c r="D280" s="89" t="str">
        <f ca="1">IFERROR(__xludf.DUMMYFUNCTION("""COMPUTED_VALUE"""),"Guadalajara: Capital de las niñas y los niños")</f>
        <v>Guadalajara: Capital de las niñas y los niños</v>
      </c>
      <c r="E280" s="89" t="str">
        <f ca="1">IFERROR(__xludf.DUMMYFUNCTION("""COMPUTED_VALUE"""),"Custodia, tutela, adopciones y acogimiento familiar")</f>
        <v>Custodia, tutela, adopciones y acogimiento familiar</v>
      </c>
      <c r="F280" s="89" t="str">
        <f ca="1">IFERROR(__xludf.DUMMYFUNCTION("""COMPUTED_VALUE"""),"A2C3. Medidas de protección dictadas que se les dio seguimiento")</f>
        <v>A2C3. Medidas de protección dictadas que se les dio seguimiento</v>
      </c>
      <c r="G280" s="89" t="str">
        <f ca="1">IFERROR(__xludf.DUMMYFUNCTION("""COMPUTED_VALUE"""),"Porcentaje de NNA a los que se les dio seguimientos en las medidas de protección dictadas, en 2023")</f>
        <v>Porcentaje de NNA a los que se les dio seguimientos en las medidas de protección dictadas, en 2023</v>
      </c>
      <c r="H280" s="89" t="str">
        <f ca="1">IFERROR(__xludf.DUMMYFUNCTION("""COMPUTED_VALUE"""),"AMM Marzo")</f>
        <v>AMM Marzo</v>
      </c>
      <c r="I280" s="89" t="str">
        <f ca="1">IFERROR(__xludf.DUMMYFUNCTION("""COMPUTED_VALUE"""),"Marzo")</f>
        <v>Marzo</v>
      </c>
      <c r="J280" s="89" t="str">
        <f ca="1">IFERROR(__xludf.DUMMYFUNCTION("""COMPUTED_VALUE"""),"AMM")</f>
        <v>AMM</v>
      </c>
      <c r="K280" s="92"/>
      <c r="L280" s="89" t="str">
        <f ca="1">IFERROR(__xludf.DUMMYFUNCTION("""COMPUTED_VALUE"""),"TRIMESTRE 1")</f>
        <v>TRIMESTRE 1</v>
      </c>
      <c r="M280" s="89" t="str">
        <f ca="1">IFERROR(__xludf.DUMMYFUNCTION("""COMPUTED_VALUE"""),"ADULTA MAYOR MUJER")</f>
        <v>ADULTA MAYOR MUJER</v>
      </c>
    </row>
    <row r="281" spans="1:13">
      <c r="A281" s="89" t="str">
        <f ca="1">IFERROR(__xludf.DUMMYFUNCTION("""COMPUTED_VALUE"""),"4.1.3.2")</f>
        <v>4.1.3.2</v>
      </c>
      <c r="B281" s="89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281" s="89" t="str">
        <f ca="1">IFERROR(__xludf.DUMMYFUNCTION("""COMPUTED_VALUE"""),"4. Programas")</f>
        <v>4. Programas</v>
      </c>
      <c r="D281" s="89" t="str">
        <f ca="1">IFERROR(__xludf.DUMMYFUNCTION("""COMPUTED_VALUE"""),"Guadalajara: Capital de las niñas y los niños")</f>
        <v>Guadalajara: Capital de las niñas y los niños</v>
      </c>
      <c r="E281" s="89" t="str">
        <f ca="1">IFERROR(__xludf.DUMMYFUNCTION("""COMPUTED_VALUE"""),"Custodia, tutela, adopciones y acogimiento familiar")</f>
        <v>Custodia, tutela, adopciones y acogimiento familiar</v>
      </c>
      <c r="F281" s="89" t="str">
        <f ca="1">IFERROR(__xludf.DUMMYFUNCTION("""COMPUTED_VALUE"""),"A2C3. Medidas de protección dictadas que se les dio seguimiento")</f>
        <v>A2C3. Medidas de protección dictadas que se les dio seguimiento</v>
      </c>
      <c r="G281" s="89" t="str">
        <f ca="1">IFERROR(__xludf.DUMMYFUNCTION("""COMPUTED_VALUE"""),"Porcentaje de NNA a los que se les dio seguimientos en las medidas de protección dictadas, en 2023")</f>
        <v>Porcentaje de NNA a los que se les dio seguimientos en las medidas de protección dictadas, en 2023</v>
      </c>
      <c r="H281" s="89" t="str">
        <f ca="1">IFERROR(__xludf.DUMMYFUNCTION("""COMPUTED_VALUE"""),"AMH Marzo")</f>
        <v>AMH Marzo</v>
      </c>
      <c r="I281" s="89" t="str">
        <f ca="1">IFERROR(__xludf.DUMMYFUNCTION("""COMPUTED_VALUE"""),"Marzo")</f>
        <v>Marzo</v>
      </c>
      <c r="J281" s="89" t="str">
        <f ca="1">IFERROR(__xludf.DUMMYFUNCTION("""COMPUTED_VALUE"""),"AMH")</f>
        <v>AMH</v>
      </c>
      <c r="K281" s="92"/>
      <c r="L281" s="89" t="str">
        <f ca="1">IFERROR(__xludf.DUMMYFUNCTION("""COMPUTED_VALUE"""),"TRIMESTRE 1")</f>
        <v>TRIMESTRE 1</v>
      </c>
      <c r="M281" s="89" t="str">
        <f ca="1">IFERROR(__xludf.DUMMYFUNCTION("""COMPUTED_VALUE"""),"ADULTO MAYOR HOMBRE")</f>
        <v>ADULTO MAYOR HOMBRE</v>
      </c>
    </row>
    <row r="282" spans="1:13">
      <c r="A282" s="89" t="str">
        <f ca="1">IFERROR(__xludf.DUMMYFUNCTION("""COMPUTED_VALUE"""),"4.1.3.4")</f>
        <v>4.1.3.4</v>
      </c>
      <c r="B282" s="89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282" s="89" t="str">
        <f ca="1">IFERROR(__xludf.DUMMYFUNCTION("""COMPUTED_VALUE"""),"4. Programas")</f>
        <v>4. Programas</v>
      </c>
      <c r="D282" s="89" t="str">
        <f ca="1">IFERROR(__xludf.DUMMYFUNCTION("""COMPUTED_VALUE"""),"Guadalajara: Capital de las niñas y los niños")</f>
        <v>Guadalajara: Capital de las niñas y los niños</v>
      </c>
      <c r="E282" s="89" t="str">
        <f ca="1">IFERROR(__xludf.DUMMYFUNCTION("""COMPUTED_VALUE"""),"Custodia, tutela, adopciones y acogimiento familiar")</f>
        <v>Custodia, tutela, adopciones y acogimiento familiar</v>
      </c>
      <c r="F282" s="89" t="str">
        <f ca="1">IFERROR(__xludf.DUMMYFUNCTION("""COMPUTED_VALUE"""),"A4C3. NNA integrados en familias.")</f>
        <v>A4C3. NNA integrados en familias.</v>
      </c>
      <c r="G282" s="89" t="str">
        <f ca="1">IFERROR(__xludf.DUMMYFUNCTION("""COMPUTED_VALUE"""),"Porcentaje de NNA integrados en familias, en 2023")</f>
        <v>Porcentaje de NNA integrados en familias, en 2023</v>
      </c>
      <c r="H282" s="89" t="str">
        <f ca="1">IFERROR(__xludf.DUMMYFUNCTION("""COMPUTED_VALUE"""),"NAS Marzo")</f>
        <v>NAS Marzo</v>
      </c>
      <c r="I282" s="89" t="str">
        <f ca="1">IFERROR(__xludf.DUMMYFUNCTION("""COMPUTED_VALUE"""),"Marzo")</f>
        <v>Marzo</v>
      </c>
      <c r="J282" s="89" t="str">
        <f ca="1">IFERROR(__xludf.DUMMYFUNCTION("""COMPUTED_VALUE"""),"NAS")</f>
        <v>NAS</v>
      </c>
      <c r="K282" s="92">
        <f ca="1">IFERROR(__xludf.DUMMYFUNCTION("""COMPUTED_VALUE"""),6)</f>
        <v>6</v>
      </c>
      <c r="L282" s="89" t="str">
        <f ca="1">IFERROR(__xludf.DUMMYFUNCTION("""COMPUTED_VALUE"""),"TRIMESTRE 1")</f>
        <v>TRIMESTRE 1</v>
      </c>
      <c r="M282" s="89" t="str">
        <f ca="1">IFERROR(__xludf.DUMMYFUNCTION("""COMPUTED_VALUE"""),"NIÑAS")</f>
        <v>NIÑAS</v>
      </c>
    </row>
    <row r="283" spans="1:13">
      <c r="A283" s="89" t="str">
        <f ca="1">IFERROR(__xludf.DUMMYFUNCTION("""COMPUTED_VALUE"""),"4.1.3.4")</f>
        <v>4.1.3.4</v>
      </c>
      <c r="B283" s="89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283" s="89" t="str">
        <f ca="1">IFERROR(__xludf.DUMMYFUNCTION("""COMPUTED_VALUE"""),"4. Programas")</f>
        <v>4. Programas</v>
      </c>
      <c r="D283" s="89" t="str">
        <f ca="1">IFERROR(__xludf.DUMMYFUNCTION("""COMPUTED_VALUE"""),"Guadalajara: Capital de las niñas y los niños")</f>
        <v>Guadalajara: Capital de las niñas y los niños</v>
      </c>
      <c r="E283" s="89" t="str">
        <f ca="1">IFERROR(__xludf.DUMMYFUNCTION("""COMPUTED_VALUE"""),"Custodia, tutela, adopciones y acogimiento familiar")</f>
        <v>Custodia, tutela, adopciones y acogimiento familiar</v>
      </c>
      <c r="F283" s="89" t="str">
        <f ca="1">IFERROR(__xludf.DUMMYFUNCTION("""COMPUTED_VALUE"""),"A4C3. NNA integrados en familias.")</f>
        <v>A4C3. NNA integrados en familias.</v>
      </c>
      <c r="G283" s="89" t="str">
        <f ca="1">IFERROR(__xludf.DUMMYFUNCTION("""COMPUTED_VALUE"""),"Porcentaje de NNA integrados en familias, en 2023")</f>
        <v>Porcentaje de NNA integrados en familias, en 2023</v>
      </c>
      <c r="H283" s="89" t="str">
        <f ca="1">IFERROR(__xludf.DUMMYFUNCTION("""COMPUTED_VALUE"""),"NOS Marzo")</f>
        <v>NOS Marzo</v>
      </c>
      <c r="I283" s="89" t="str">
        <f ca="1">IFERROR(__xludf.DUMMYFUNCTION("""COMPUTED_VALUE"""),"Marzo")</f>
        <v>Marzo</v>
      </c>
      <c r="J283" s="89" t="str">
        <f ca="1">IFERROR(__xludf.DUMMYFUNCTION("""COMPUTED_VALUE"""),"NOS")</f>
        <v>NOS</v>
      </c>
      <c r="K283" s="92">
        <f ca="1">IFERROR(__xludf.DUMMYFUNCTION("""COMPUTED_VALUE"""),10)</f>
        <v>10</v>
      </c>
      <c r="L283" s="89" t="str">
        <f ca="1">IFERROR(__xludf.DUMMYFUNCTION("""COMPUTED_VALUE"""),"TRIMESTRE 1")</f>
        <v>TRIMESTRE 1</v>
      </c>
      <c r="M283" s="89" t="str">
        <f ca="1">IFERROR(__xludf.DUMMYFUNCTION("""COMPUTED_VALUE"""),"NIÑOS")</f>
        <v>NIÑOS</v>
      </c>
    </row>
    <row r="284" spans="1:13">
      <c r="A284" s="89" t="str">
        <f ca="1">IFERROR(__xludf.DUMMYFUNCTION("""COMPUTED_VALUE"""),"4.1.3.4")</f>
        <v>4.1.3.4</v>
      </c>
      <c r="B284" s="89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284" s="89" t="str">
        <f ca="1">IFERROR(__xludf.DUMMYFUNCTION("""COMPUTED_VALUE"""),"4. Programas")</f>
        <v>4. Programas</v>
      </c>
      <c r="D284" s="89" t="str">
        <f ca="1">IFERROR(__xludf.DUMMYFUNCTION("""COMPUTED_VALUE"""),"Guadalajara: Capital de las niñas y los niños")</f>
        <v>Guadalajara: Capital de las niñas y los niños</v>
      </c>
      <c r="E284" s="89" t="str">
        <f ca="1">IFERROR(__xludf.DUMMYFUNCTION("""COMPUTED_VALUE"""),"Custodia, tutela, adopciones y acogimiento familiar")</f>
        <v>Custodia, tutela, adopciones y acogimiento familiar</v>
      </c>
      <c r="F284" s="89" t="str">
        <f ca="1">IFERROR(__xludf.DUMMYFUNCTION("""COMPUTED_VALUE"""),"A4C3. NNA integrados en familias.")</f>
        <v>A4C3. NNA integrados en familias.</v>
      </c>
      <c r="G284" s="89" t="str">
        <f ca="1">IFERROR(__xludf.DUMMYFUNCTION("""COMPUTED_VALUE"""),"Porcentaje de NNA integrados en familias, en 2023")</f>
        <v>Porcentaje de NNA integrados en familias, en 2023</v>
      </c>
      <c r="H284" s="89" t="str">
        <f ca="1">IFERROR(__xludf.DUMMYFUNCTION("""COMPUTED_VALUE"""),"AM MARZO")</f>
        <v>AM MARZO</v>
      </c>
      <c r="I284" s="89" t="str">
        <f ca="1">IFERROR(__xludf.DUMMYFUNCTION("""COMPUTED_VALUE"""),"Marzo")</f>
        <v>Marzo</v>
      </c>
      <c r="J284" s="89" t="str">
        <f ca="1">IFERROR(__xludf.DUMMYFUNCTION("""COMPUTED_VALUE"""),"AM")</f>
        <v>AM</v>
      </c>
      <c r="K284" s="92"/>
      <c r="L284" s="89" t="str">
        <f ca="1">IFERROR(__xludf.DUMMYFUNCTION("""COMPUTED_VALUE"""),"TRIMESTRE 1")</f>
        <v>TRIMESTRE 1</v>
      </c>
      <c r="M284" s="89" t="str">
        <f ca="1">IFERROR(__xludf.DUMMYFUNCTION("""COMPUTED_VALUE"""),"ADOLESCENTES MUJERES")</f>
        <v>ADOLESCENTES MUJERES</v>
      </c>
    </row>
    <row r="285" spans="1:13">
      <c r="A285" s="89" t="str">
        <f ca="1">IFERROR(__xludf.DUMMYFUNCTION("""COMPUTED_VALUE"""),"4.1.3.4")</f>
        <v>4.1.3.4</v>
      </c>
      <c r="B285" s="89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285" s="89" t="str">
        <f ca="1">IFERROR(__xludf.DUMMYFUNCTION("""COMPUTED_VALUE"""),"4. Programas")</f>
        <v>4. Programas</v>
      </c>
      <c r="D285" s="89" t="str">
        <f ca="1">IFERROR(__xludf.DUMMYFUNCTION("""COMPUTED_VALUE"""),"Guadalajara: Capital de las niñas y los niños")</f>
        <v>Guadalajara: Capital de las niñas y los niños</v>
      </c>
      <c r="E285" s="89" t="str">
        <f ca="1">IFERROR(__xludf.DUMMYFUNCTION("""COMPUTED_VALUE"""),"Custodia, tutela, adopciones y acogimiento familiar")</f>
        <v>Custodia, tutela, adopciones y acogimiento familiar</v>
      </c>
      <c r="F285" s="89" t="str">
        <f ca="1">IFERROR(__xludf.DUMMYFUNCTION("""COMPUTED_VALUE"""),"A4C3. NNA integrados en familias.")</f>
        <v>A4C3. NNA integrados en familias.</v>
      </c>
      <c r="G285" s="89" t="str">
        <f ca="1">IFERROR(__xludf.DUMMYFUNCTION("""COMPUTED_VALUE"""),"Porcentaje de NNA integrados en familias, en 2023")</f>
        <v>Porcentaje de NNA integrados en familias, en 2023</v>
      </c>
      <c r="H285" s="89" t="str">
        <f ca="1">IFERROR(__xludf.DUMMYFUNCTION("""COMPUTED_VALUE"""),"AH MARZO")</f>
        <v>AH MARZO</v>
      </c>
      <c r="I285" s="89" t="str">
        <f ca="1">IFERROR(__xludf.DUMMYFUNCTION("""COMPUTED_VALUE"""),"Marzo")</f>
        <v>Marzo</v>
      </c>
      <c r="J285" s="89" t="str">
        <f ca="1">IFERROR(__xludf.DUMMYFUNCTION("""COMPUTED_VALUE"""),"AH")</f>
        <v>AH</v>
      </c>
      <c r="K285" s="92"/>
      <c r="L285" s="89" t="str">
        <f ca="1">IFERROR(__xludf.DUMMYFUNCTION("""COMPUTED_VALUE"""),"TRIMESTRE 1")</f>
        <v>TRIMESTRE 1</v>
      </c>
      <c r="M285" s="89" t="str">
        <f ca="1">IFERROR(__xludf.DUMMYFUNCTION("""COMPUTED_VALUE"""),"ADOLESCENTES HOMBRES")</f>
        <v>ADOLESCENTES HOMBRES</v>
      </c>
    </row>
    <row r="286" spans="1:13">
      <c r="A286" s="89" t="str">
        <f ca="1">IFERROR(__xludf.DUMMYFUNCTION("""COMPUTED_VALUE"""),"4.1.3.4")</f>
        <v>4.1.3.4</v>
      </c>
      <c r="B286" s="89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286" s="89" t="str">
        <f ca="1">IFERROR(__xludf.DUMMYFUNCTION("""COMPUTED_VALUE"""),"4. Programas")</f>
        <v>4. Programas</v>
      </c>
      <c r="D286" s="89" t="str">
        <f ca="1">IFERROR(__xludf.DUMMYFUNCTION("""COMPUTED_VALUE"""),"Guadalajara: Capital de las niñas y los niños")</f>
        <v>Guadalajara: Capital de las niñas y los niños</v>
      </c>
      <c r="E286" s="89" t="str">
        <f ca="1">IFERROR(__xludf.DUMMYFUNCTION("""COMPUTED_VALUE"""),"Custodia, tutela, adopciones y acogimiento familiar")</f>
        <v>Custodia, tutela, adopciones y acogimiento familiar</v>
      </c>
      <c r="F286" s="89" t="str">
        <f ca="1">IFERROR(__xludf.DUMMYFUNCTION("""COMPUTED_VALUE"""),"A4C3. NNA integrados en familias.")</f>
        <v>A4C3. NNA integrados en familias.</v>
      </c>
      <c r="G286" s="89" t="str">
        <f ca="1">IFERROR(__xludf.DUMMYFUNCTION("""COMPUTED_VALUE"""),"Porcentaje de NNA integrados en familias, en 2023")</f>
        <v>Porcentaje de NNA integrados en familias, en 2023</v>
      </c>
      <c r="H286" s="89" t="str">
        <f ca="1">IFERROR(__xludf.DUMMYFUNCTION("""COMPUTED_VALUE"""),"MUJ Marzo")</f>
        <v>MUJ Marzo</v>
      </c>
      <c r="I286" s="89" t="str">
        <f ca="1">IFERROR(__xludf.DUMMYFUNCTION("""COMPUTED_VALUE"""),"Marzo")</f>
        <v>Marzo</v>
      </c>
      <c r="J286" s="89" t="str">
        <f ca="1">IFERROR(__xludf.DUMMYFUNCTION("""COMPUTED_VALUE"""),"MUJ")</f>
        <v>MUJ</v>
      </c>
      <c r="K286" s="92"/>
      <c r="L286" s="89" t="str">
        <f ca="1">IFERROR(__xludf.DUMMYFUNCTION("""COMPUTED_VALUE"""),"TRIMESTRE 1")</f>
        <v>TRIMESTRE 1</v>
      </c>
      <c r="M286" s="89" t="str">
        <f ca="1">IFERROR(__xludf.DUMMYFUNCTION("""COMPUTED_VALUE"""),"MUJERES ADULTAS")</f>
        <v>MUJERES ADULTAS</v>
      </c>
    </row>
    <row r="287" spans="1:13">
      <c r="A287" s="89" t="str">
        <f ca="1">IFERROR(__xludf.DUMMYFUNCTION("""COMPUTED_VALUE"""),"4.1.3.4")</f>
        <v>4.1.3.4</v>
      </c>
      <c r="B287" s="89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287" s="89" t="str">
        <f ca="1">IFERROR(__xludf.DUMMYFUNCTION("""COMPUTED_VALUE"""),"4. Programas")</f>
        <v>4. Programas</v>
      </c>
      <c r="D287" s="89" t="str">
        <f ca="1">IFERROR(__xludf.DUMMYFUNCTION("""COMPUTED_VALUE"""),"Guadalajara: Capital de las niñas y los niños")</f>
        <v>Guadalajara: Capital de las niñas y los niños</v>
      </c>
      <c r="E287" s="89" t="str">
        <f ca="1">IFERROR(__xludf.DUMMYFUNCTION("""COMPUTED_VALUE"""),"Custodia, tutela, adopciones y acogimiento familiar")</f>
        <v>Custodia, tutela, adopciones y acogimiento familiar</v>
      </c>
      <c r="F287" s="89" t="str">
        <f ca="1">IFERROR(__xludf.DUMMYFUNCTION("""COMPUTED_VALUE"""),"A4C3. NNA integrados en familias.")</f>
        <v>A4C3. NNA integrados en familias.</v>
      </c>
      <c r="G287" s="89" t="str">
        <f ca="1">IFERROR(__xludf.DUMMYFUNCTION("""COMPUTED_VALUE"""),"Porcentaje de NNA integrados en familias, en 2023")</f>
        <v>Porcentaje de NNA integrados en familias, en 2023</v>
      </c>
      <c r="H287" s="89" t="str">
        <f ca="1">IFERROR(__xludf.DUMMYFUNCTION("""COMPUTED_VALUE"""),"HOM Marzo")</f>
        <v>HOM Marzo</v>
      </c>
      <c r="I287" s="89" t="str">
        <f ca="1">IFERROR(__xludf.DUMMYFUNCTION("""COMPUTED_VALUE"""),"Marzo")</f>
        <v>Marzo</v>
      </c>
      <c r="J287" s="89" t="str">
        <f ca="1">IFERROR(__xludf.DUMMYFUNCTION("""COMPUTED_VALUE"""),"HOM")</f>
        <v>HOM</v>
      </c>
      <c r="K287" s="92"/>
      <c r="L287" s="89" t="str">
        <f ca="1">IFERROR(__xludf.DUMMYFUNCTION("""COMPUTED_VALUE"""),"TRIMESTRE 1")</f>
        <v>TRIMESTRE 1</v>
      </c>
      <c r="M287" s="89" t="str">
        <f ca="1">IFERROR(__xludf.DUMMYFUNCTION("""COMPUTED_VALUE"""),"HOMBRES ADULTOS")</f>
        <v>HOMBRES ADULTOS</v>
      </c>
    </row>
    <row r="288" spans="1:13">
      <c r="A288" s="89" t="str">
        <f ca="1">IFERROR(__xludf.DUMMYFUNCTION("""COMPUTED_VALUE"""),"4.1.3.4")</f>
        <v>4.1.3.4</v>
      </c>
      <c r="B288" s="89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288" s="89" t="str">
        <f ca="1">IFERROR(__xludf.DUMMYFUNCTION("""COMPUTED_VALUE"""),"4. Programas")</f>
        <v>4. Programas</v>
      </c>
      <c r="D288" s="89" t="str">
        <f ca="1">IFERROR(__xludf.DUMMYFUNCTION("""COMPUTED_VALUE"""),"Guadalajara: Capital de las niñas y los niños")</f>
        <v>Guadalajara: Capital de las niñas y los niños</v>
      </c>
      <c r="E288" s="89" t="str">
        <f ca="1">IFERROR(__xludf.DUMMYFUNCTION("""COMPUTED_VALUE"""),"Custodia, tutela, adopciones y acogimiento familiar")</f>
        <v>Custodia, tutela, adopciones y acogimiento familiar</v>
      </c>
      <c r="F288" s="89" t="str">
        <f ca="1">IFERROR(__xludf.DUMMYFUNCTION("""COMPUTED_VALUE"""),"A4C3. NNA integrados en familias.")</f>
        <v>A4C3. NNA integrados en familias.</v>
      </c>
      <c r="G288" s="89" t="str">
        <f ca="1">IFERROR(__xludf.DUMMYFUNCTION("""COMPUTED_VALUE"""),"Porcentaje de NNA integrados en familias, en 2023")</f>
        <v>Porcentaje de NNA integrados en familias, en 2023</v>
      </c>
      <c r="H288" s="89" t="str">
        <f ca="1">IFERROR(__xludf.DUMMYFUNCTION("""COMPUTED_VALUE"""),"AMM Marzo")</f>
        <v>AMM Marzo</v>
      </c>
      <c r="I288" s="89" t="str">
        <f ca="1">IFERROR(__xludf.DUMMYFUNCTION("""COMPUTED_VALUE"""),"Marzo")</f>
        <v>Marzo</v>
      </c>
      <c r="J288" s="89" t="str">
        <f ca="1">IFERROR(__xludf.DUMMYFUNCTION("""COMPUTED_VALUE"""),"AMM")</f>
        <v>AMM</v>
      </c>
      <c r="K288" s="92"/>
      <c r="L288" s="89" t="str">
        <f ca="1">IFERROR(__xludf.DUMMYFUNCTION("""COMPUTED_VALUE"""),"TRIMESTRE 1")</f>
        <v>TRIMESTRE 1</v>
      </c>
      <c r="M288" s="89" t="str">
        <f ca="1">IFERROR(__xludf.DUMMYFUNCTION("""COMPUTED_VALUE"""),"ADULTA MAYOR MUJER")</f>
        <v>ADULTA MAYOR MUJER</v>
      </c>
    </row>
    <row r="289" spans="1:13">
      <c r="A289" s="89" t="str">
        <f ca="1">IFERROR(__xludf.DUMMYFUNCTION("""COMPUTED_VALUE"""),"4.1.3.4")</f>
        <v>4.1.3.4</v>
      </c>
      <c r="B289" s="89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289" s="89" t="str">
        <f ca="1">IFERROR(__xludf.DUMMYFUNCTION("""COMPUTED_VALUE"""),"4. Programas")</f>
        <v>4. Programas</v>
      </c>
      <c r="D289" s="89" t="str">
        <f ca="1">IFERROR(__xludf.DUMMYFUNCTION("""COMPUTED_VALUE"""),"Guadalajara: Capital de las niñas y los niños")</f>
        <v>Guadalajara: Capital de las niñas y los niños</v>
      </c>
      <c r="E289" s="89" t="str">
        <f ca="1">IFERROR(__xludf.DUMMYFUNCTION("""COMPUTED_VALUE"""),"Custodia, tutela, adopciones y acogimiento familiar")</f>
        <v>Custodia, tutela, adopciones y acogimiento familiar</v>
      </c>
      <c r="F289" s="89" t="str">
        <f ca="1">IFERROR(__xludf.DUMMYFUNCTION("""COMPUTED_VALUE"""),"A4C3. NNA integrados en familias.")</f>
        <v>A4C3. NNA integrados en familias.</v>
      </c>
      <c r="G289" s="89" t="str">
        <f ca="1">IFERROR(__xludf.DUMMYFUNCTION("""COMPUTED_VALUE"""),"Porcentaje de NNA integrados en familias, en 2023")</f>
        <v>Porcentaje de NNA integrados en familias, en 2023</v>
      </c>
      <c r="H289" s="89" t="str">
        <f ca="1">IFERROR(__xludf.DUMMYFUNCTION("""COMPUTED_VALUE"""),"AMH Marzo")</f>
        <v>AMH Marzo</v>
      </c>
      <c r="I289" s="89" t="str">
        <f ca="1">IFERROR(__xludf.DUMMYFUNCTION("""COMPUTED_VALUE"""),"Marzo")</f>
        <v>Marzo</v>
      </c>
      <c r="J289" s="89" t="str">
        <f ca="1">IFERROR(__xludf.DUMMYFUNCTION("""COMPUTED_VALUE"""),"AMH")</f>
        <v>AMH</v>
      </c>
      <c r="K289" s="92"/>
      <c r="L289" s="89" t="str">
        <f ca="1">IFERROR(__xludf.DUMMYFUNCTION("""COMPUTED_VALUE"""),"TRIMESTRE 1")</f>
        <v>TRIMESTRE 1</v>
      </c>
      <c r="M289" s="89" t="str">
        <f ca="1">IFERROR(__xludf.DUMMYFUNCTION("""COMPUTED_VALUE"""),"ADULTO MAYOR HOMBRE")</f>
        <v>ADULTO MAYOR HOMBRE</v>
      </c>
    </row>
    <row r="290" spans="1:13">
      <c r="A290" s="89" t="str">
        <f ca="1">IFERROR(__xludf.DUMMYFUNCTION("""COMPUTED_VALUE"""),"4.1.3.0")</f>
        <v>4.1.3.0</v>
      </c>
      <c r="B290" s="89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290" s="89" t="str">
        <f ca="1">IFERROR(__xludf.DUMMYFUNCTION("""COMPUTED_VALUE"""),"4. Programas")</f>
        <v>4. Programas</v>
      </c>
      <c r="D290" s="89" t="str">
        <f ca="1">IFERROR(__xludf.DUMMYFUNCTION("""COMPUTED_VALUE"""),"Guadalajara: Capital de las niñas y los niños")</f>
        <v>Guadalajara: Capital de las niñas y los niños</v>
      </c>
      <c r="E290" s="89" t="str">
        <f ca="1">IFERROR(__xludf.DUMMYFUNCTION("""COMPUTED_VALUE"""),"Custodia, tutela, adopciones y acogimiento familiar")</f>
        <v>Custodia, tutela, adopciones y acogimiento familiar</v>
      </c>
      <c r="F290" s="89" t="str">
        <f ca="1">IFERROR(__xludf.DUMMYFUNCTION("""COMPUTED_VALUE"""),"C3. NNA del municipio de Guadalajara que recibieron servicios para la protección y restitución de sus derechos")</f>
        <v>C3. NNA del municipio de Guadalajara que recibieron servicios para la protección y restitución de sus derechos</v>
      </c>
      <c r="G290" s="89" t="str">
        <f ca="1">IFERROR(__xludf.DUMMYFUNCTION("""COMPUTED_VALUE"""),"Porcentaje de NNA con al menos un derecho protegido y/o restituido por la DIPNNA, en 2023")</f>
        <v>Porcentaje de NNA con al menos un derecho protegido y/o restituido por la DIPNNA, en 2023</v>
      </c>
      <c r="H290" s="89" t="str">
        <f ca="1">IFERROR(__xludf.DUMMYFUNCTION("""COMPUTED_VALUE"""),"NAS Abril")</f>
        <v>NAS Abril</v>
      </c>
      <c r="I290" s="89" t="str">
        <f ca="1">IFERROR(__xludf.DUMMYFUNCTION("""COMPUTED_VALUE"""),"Abril")</f>
        <v>Abril</v>
      </c>
      <c r="J290" s="89" t="str">
        <f ca="1">IFERROR(__xludf.DUMMYFUNCTION("""COMPUTED_VALUE"""),"NAS")</f>
        <v>NAS</v>
      </c>
      <c r="K290" s="92">
        <f ca="1">IFERROR(__xludf.DUMMYFUNCTION("""COMPUTED_VALUE"""),49)</f>
        <v>49</v>
      </c>
      <c r="L290" s="89" t="str">
        <f ca="1">IFERROR(__xludf.DUMMYFUNCTION("""COMPUTED_VALUE"""),"TRIMESTRE 2")</f>
        <v>TRIMESTRE 2</v>
      </c>
      <c r="M290" s="89" t="str">
        <f ca="1">IFERROR(__xludf.DUMMYFUNCTION("""COMPUTED_VALUE"""),"NIÑAS")</f>
        <v>NIÑAS</v>
      </c>
    </row>
    <row r="291" spans="1:13">
      <c r="A291" s="89" t="str">
        <f ca="1">IFERROR(__xludf.DUMMYFUNCTION("""COMPUTED_VALUE"""),"4.1.3.0")</f>
        <v>4.1.3.0</v>
      </c>
      <c r="B291" s="89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291" s="89" t="str">
        <f ca="1">IFERROR(__xludf.DUMMYFUNCTION("""COMPUTED_VALUE"""),"4. Programas")</f>
        <v>4. Programas</v>
      </c>
      <c r="D291" s="89" t="str">
        <f ca="1">IFERROR(__xludf.DUMMYFUNCTION("""COMPUTED_VALUE"""),"Guadalajara: Capital de las niñas y los niños")</f>
        <v>Guadalajara: Capital de las niñas y los niños</v>
      </c>
      <c r="E291" s="89" t="str">
        <f ca="1">IFERROR(__xludf.DUMMYFUNCTION("""COMPUTED_VALUE"""),"Custodia, tutela, adopciones y acogimiento familiar")</f>
        <v>Custodia, tutela, adopciones y acogimiento familiar</v>
      </c>
      <c r="F291" s="89" t="str">
        <f ca="1">IFERROR(__xludf.DUMMYFUNCTION("""COMPUTED_VALUE"""),"C3. NNA del municipio de Guadalajara que recibieron servicios para la protección y restitución de sus derechos")</f>
        <v>C3. NNA del municipio de Guadalajara que recibieron servicios para la protección y restitución de sus derechos</v>
      </c>
      <c r="G291" s="89" t="str">
        <f ca="1">IFERROR(__xludf.DUMMYFUNCTION("""COMPUTED_VALUE"""),"Porcentaje de NNA con al menos un derecho protegido y/o restituido por la DIPNNA, en 2023")</f>
        <v>Porcentaje de NNA con al menos un derecho protegido y/o restituido por la DIPNNA, en 2023</v>
      </c>
      <c r="H291" s="89" t="str">
        <f ca="1">IFERROR(__xludf.DUMMYFUNCTION("""COMPUTED_VALUE"""),"NOS Abril")</f>
        <v>NOS Abril</v>
      </c>
      <c r="I291" s="89" t="str">
        <f ca="1">IFERROR(__xludf.DUMMYFUNCTION("""COMPUTED_VALUE"""),"Abril")</f>
        <v>Abril</v>
      </c>
      <c r="J291" s="89" t="str">
        <f ca="1">IFERROR(__xludf.DUMMYFUNCTION("""COMPUTED_VALUE"""),"NOS")</f>
        <v>NOS</v>
      </c>
      <c r="K291" s="92">
        <f ca="1">IFERROR(__xludf.DUMMYFUNCTION("""COMPUTED_VALUE"""),38)</f>
        <v>38</v>
      </c>
      <c r="L291" s="89" t="str">
        <f ca="1">IFERROR(__xludf.DUMMYFUNCTION("""COMPUTED_VALUE"""),"TRIMESTRE 2")</f>
        <v>TRIMESTRE 2</v>
      </c>
      <c r="M291" s="89" t="str">
        <f ca="1">IFERROR(__xludf.DUMMYFUNCTION("""COMPUTED_VALUE"""),"NIÑOS")</f>
        <v>NIÑOS</v>
      </c>
    </row>
    <row r="292" spans="1:13">
      <c r="A292" s="89" t="str">
        <f ca="1">IFERROR(__xludf.DUMMYFUNCTION("""COMPUTED_VALUE"""),"4.1.3.0")</f>
        <v>4.1.3.0</v>
      </c>
      <c r="B292" s="89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292" s="89" t="str">
        <f ca="1">IFERROR(__xludf.DUMMYFUNCTION("""COMPUTED_VALUE"""),"4. Programas")</f>
        <v>4. Programas</v>
      </c>
      <c r="D292" s="89" t="str">
        <f ca="1">IFERROR(__xludf.DUMMYFUNCTION("""COMPUTED_VALUE"""),"Guadalajara: Capital de las niñas y los niños")</f>
        <v>Guadalajara: Capital de las niñas y los niños</v>
      </c>
      <c r="E292" s="89" t="str">
        <f ca="1">IFERROR(__xludf.DUMMYFUNCTION("""COMPUTED_VALUE"""),"Custodia, tutela, adopciones y acogimiento familiar")</f>
        <v>Custodia, tutela, adopciones y acogimiento familiar</v>
      </c>
      <c r="F292" s="89" t="str">
        <f ca="1">IFERROR(__xludf.DUMMYFUNCTION("""COMPUTED_VALUE"""),"C3. NNA del municipio de Guadalajara que recibieron servicios para la protección y restitución de sus derechos")</f>
        <v>C3. NNA del municipio de Guadalajara que recibieron servicios para la protección y restitución de sus derechos</v>
      </c>
      <c r="G292" s="89" t="str">
        <f ca="1">IFERROR(__xludf.DUMMYFUNCTION("""COMPUTED_VALUE"""),"Porcentaje de NNA con al menos un derecho protegido y/o restituido por la DIPNNA, en 2023")</f>
        <v>Porcentaje de NNA con al menos un derecho protegido y/o restituido por la DIPNNA, en 2023</v>
      </c>
      <c r="H292" s="89" t="str">
        <f ca="1">IFERROR(__xludf.DUMMYFUNCTION("""COMPUTED_VALUE"""),"AM ABRIL")</f>
        <v>AM ABRIL</v>
      </c>
      <c r="I292" s="89" t="str">
        <f ca="1">IFERROR(__xludf.DUMMYFUNCTION("""COMPUTED_VALUE"""),"Abril")</f>
        <v>Abril</v>
      </c>
      <c r="J292" s="89" t="str">
        <f ca="1">IFERROR(__xludf.DUMMYFUNCTION("""COMPUTED_VALUE"""),"AM")</f>
        <v>AM</v>
      </c>
      <c r="K292" s="92">
        <f ca="1">IFERROR(__xludf.DUMMYFUNCTION("""COMPUTED_VALUE"""),3)</f>
        <v>3</v>
      </c>
      <c r="L292" s="89" t="str">
        <f ca="1">IFERROR(__xludf.DUMMYFUNCTION("""COMPUTED_VALUE"""),"TRIMESTRE 2")</f>
        <v>TRIMESTRE 2</v>
      </c>
      <c r="M292" s="89" t="str">
        <f ca="1">IFERROR(__xludf.DUMMYFUNCTION("""COMPUTED_VALUE"""),"ADOLESCENTES MUJERES")</f>
        <v>ADOLESCENTES MUJERES</v>
      </c>
    </row>
    <row r="293" spans="1:13">
      <c r="A293" s="89" t="str">
        <f ca="1">IFERROR(__xludf.DUMMYFUNCTION("""COMPUTED_VALUE"""),"4.1.3.0")</f>
        <v>4.1.3.0</v>
      </c>
      <c r="B293" s="89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293" s="89" t="str">
        <f ca="1">IFERROR(__xludf.DUMMYFUNCTION("""COMPUTED_VALUE"""),"4. Programas")</f>
        <v>4. Programas</v>
      </c>
      <c r="D293" s="89" t="str">
        <f ca="1">IFERROR(__xludf.DUMMYFUNCTION("""COMPUTED_VALUE"""),"Guadalajara: Capital de las niñas y los niños")</f>
        <v>Guadalajara: Capital de las niñas y los niños</v>
      </c>
      <c r="E293" s="89" t="str">
        <f ca="1">IFERROR(__xludf.DUMMYFUNCTION("""COMPUTED_VALUE"""),"Custodia, tutela, adopciones y acogimiento familiar")</f>
        <v>Custodia, tutela, adopciones y acogimiento familiar</v>
      </c>
      <c r="F293" s="89" t="str">
        <f ca="1">IFERROR(__xludf.DUMMYFUNCTION("""COMPUTED_VALUE"""),"C3. NNA del municipio de Guadalajara que recibieron servicios para la protección y restitución de sus derechos")</f>
        <v>C3. NNA del municipio de Guadalajara que recibieron servicios para la protección y restitución de sus derechos</v>
      </c>
      <c r="G293" s="89" t="str">
        <f ca="1">IFERROR(__xludf.DUMMYFUNCTION("""COMPUTED_VALUE"""),"Porcentaje de NNA con al menos un derecho protegido y/o restituido por la DIPNNA, en 2023")</f>
        <v>Porcentaje de NNA con al menos un derecho protegido y/o restituido por la DIPNNA, en 2023</v>
      </c>
      <c r="H293" s="89" t="str">
        <f ca="1">IFERROR(__xludf.DUMMYFUNCTION("""COMPUTED_VALUE"""),"AH ABRIL")</f>
        <v>AH ABRIL</v>
      </c>
      <c r="I293" s="89" t="str">
        <f ca="1">IFERROR(__xludf.DUMMYFUNCTION("""COMPUTED_VALUE"""),"Abril")</f>
        <v>Abril</v>
      </c>
      <c r="J293" s="89" t="str">
        <f ca="1">IFERROR(__xludf.DUMMYFUNCTION("""COMPUTED_VALUE"""),"AH")</f>
        <v>AH</v>
      </c>
      <c r="K293" s="92"/>
      <c r="L293" s="89" t="str">
        <f ca="1">IFERROR(__xludf.DUMMYFUNCTION("""COMPUTED_VALUE"""),"TRIMESTRE 2")</f>
        <v>TRIMESTRE 2</v>
      </c>
      <c r="M293" s="89" t="str">
        <f ca="1">IFERROR(__xludf.DUMMYFUNCTION("""COMPUTED_VALUE"""),"ADOLESCENTES HOMBRES")</f>
        <v>ADOLESCENTES HOMBRES</v>
      </c>
    </row>
    <row r="294" spans="1:13">
      <c r="A294" s="89" t="str">
        <f ca="1">IFERROR(__xludf.DUMMYFUNCTION("""COMPUTED_VALUE"""),"4.1.3.0")</f>
        <v>4.1.3.0</v>
      </c>
      <c r="B294" s="89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294" s="89" t="str">
        <f ca="1">IFERROR(__xludf.DUMMYFUNCTION("""COMPUTED_VALUE"""),"4. Programas")</f>
        <v>4. Programas</v>
      </c>
      <c r="D294" s="89" t="str">
        <f ca="1">IFERROR(__xludf.DUMMYFUNCTION("""COMPUTED_VALUE"""),"Guadalajara: Capital de las niñas y los niños")</f>
        <v>Guadalajara: Capital de las niñas y los niños</v>
      </c>
      <c r="E294" s="89" t="str">
        <f ca="1">IFERROR(__xludf.DUMMYFUNCTION("""COMPUTED_VALUE"""),"Custodia, tutela, adopciones y acogimiento familiar")</f>
        <v>Custodia, tutela, adopciones y acogimiento familiar</v>
      </c>
      <c r="F294" s="89" t="str">
        <f ca="1">IFERROR(__xludf.DUMMYFUNCTION("""COMPUTED_VALUE"""),"C3. NNA del municipio de Guadalajara que recibieron servicios para la protección y restitución de sus derechos")</f>
        <v>C3. NNA del municipio de Guadalajara que recibieron servicios para la protección y restitución de sus derechos</v>
      </c>
      <c r="G294" s="89" t="str">
        <f ca="1">IFERROR(__xludf.DUMMYFUNCTION("""COMPUTED_VALUE"""),"Porcentaje de NNA con al menos un derecho protegido y/o restituido por la DIPNNA, en 2023")</f>
        <v>Porcentaje de NNA con al menos un derecho protegido y/o restituido por la DIPNNA, en 2023</v>
      </c>
      <c r="H294" s="89" t="str">
        <f ca="1">IFERROR(__xludf.DUMMYFUNCTION("""COMPUTED_VALUE"""),"MUJ Abril")</f>
        <v>MUJ Abril</v>
      </c>
      <c r="I294" s="89" t="str">
        <f ca="1">IFERROR(__xludf.DUMMYFUNCTION("""COMPUTED_VALUE"""),"Abril")</f>
        <v>Abril</v>
      </c>
      <c r="J294" s="89" t="str">
        <f ca="1">IFERROR(__xludf.DUMMYFUNCTION("""COMPUTED_VALUE"""),"MUJ")</f>
        <v>MUJ</v>
      </c>
      <c r="K294" s="92"/>
      <c r="L294" s="89" t="str">
        <f ca="1">IFERROR(__xludf.DUMMYFUNCTION("""COMPUTED_VALUE"""),"TRIMESTRE 2")</f>
        <v>TRIMESTRE 2</v>
      </c>
      <c r="M294" s="89" t="str">
        <f ca="1">IFERROR(__xludf.DUMMYFUNCTION("""COMPUTED_VALUE"""),"MUJERES ADULTAS")</f>
        <v>MUJERES ADULTAS</v>
      </c>
    </row>
    <row r="295" spans="1:13">
      <c r="A295" s="89" t="str">
        <f ca="1">IFERROR(__xludf.DUMMYFUNCTION("""COMPUTED_VALUE"""),"4.1.3.0")</f>
        <v>4.1.3.0</v>
      </c>
      <c r="B295" s="89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295" s="89" t="str">
        <f ca="1">IFERROR(__xludf.DUMMYFUNCTION("""COMPUTED_VALUE"""),"4. Programas")</f>
        <v>4. Programas</v>
      </c>
      <c r="D295" s="89" t="str">
        <f ca="1">IFERROR(__xludf.DUMMYFUNCTION("""COMPUTED_VALUE"""),"Guadalajara: Capital de las niñas y los niños")</f>
        <v>Guadalajara: Capital de las niñas y los niños</v>
      </c>
      <c r="E295" s="89" t="str">
        <f ca="1">IFERROR(__xludf.DUMMYFUNCTION("""COMPUTED_VALUE"""),"Custodia, tutela, adopciones y acogimiento familiar")</f>
        <v>Custodia, tutela, adopciones y acogimiento familiar</v>
      </c>
      <c r="F295" s="89" t="str">
        <f ca="1">IFERROR(__xludf.DUMMYFUNCTION("""COMPUTED_VALUE"""),"C3. NNA del municipio de Guadalajara que recibieron servicios para la protección y restitución de sus derechos")</f>
        <v>C3. NNA del municipio de Guadalajara que recibieron servicios para la protección y restitución de sus derechos</v>
      </c>
      <c r="G295" s="89" t="str">
        <f ca="1">IFERROR(__xludf.DUMMYFUNCTION("""COMPUTED_VALUE"""),"Porcentaje de NNA con al menos un derecho protegido y/o restituido por la DIPNNA, en 2023")</f>
        <v>Porcentaje de NNA con al menos un derecho protegido y/o restituido por la DIPNNA, en 2023</v>
      </c>
      <c r="H295" s="89" t="str">
        <f ca="1">IFERROR(__xludf.DUMMYFUNCTION("""COMPUTED_VALUE"""),"HOM Abril")</f>
        <v>HOM Abril</v>
      </c>
      <c r="I295" s="89" t="str">
        <f ca="1">IFERROR(__xludf.DUMMYFUNCTION("""COMPUTED_VALUE"""),"Abril")</f>
        <v>Abril</v>
      </c>
      <c r="J295" s="89" t="str">
        <f ca="1">IFERROR(__xludf.DUMMYFUNCTION("""COMPUTED_VALUE"""),"HOM")</f>
        <v>HOM</v>
      </c>
      <c r="K295" s="92"/>
      <c r="L295" s="89" t="str">
        <f ca="1">IFERROR(__xludf.DUMMYFUNCTION("""COMPUTED_VALUE"""),"TRIMESTRE 2")</f>
        <v>TRIMESTRE 2</v>
      </c>
      <c r="M295" s="89" t="str">
        <f ca="1">IFERROR(__xludf.DUMMYFUNCTION("""COMPUTED_VALUE"""),"HOMBRES ADULTOS")</f>
        <v>HOMBRES ADULTOS</v>
      </c>
    </row>
    <row r="296" spans="1:13">
      <c r="A296" s="89" t="str">
        <f ca="1">IFERROR(__xludf.DUMMYFUNCTION("""COMPUTED_VALUE"""),"4.1.3.0")</f>
        <v>4.1.3.0</v>
      </c>
      <c r="B296" s="89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296" s="89" t="str">
        <f ca="1">IFERROR(__xludf.DUMMYFUNCTION("""COMPUTED_VALUE"""),"4. Programas")</f>
        <v>4. Programas</v>
      </c>
      <c r="D296" s="89" t="str">
        <f ca="1">IFERROR(__xludf.DUMMYFUNCTION("""COMPUTED_VALUE"""),"Guadalajara: Capital de las niñas y los niños")</f>
        <v>Guadalajara: Capital de las niñas y los niños</v>
      </c>
      <c r="E296" s="89" t="str">
        <f ca="1">IFERROR(__xludf.DUMMYFUNCTION("""COMPUTED_VALUE"""),"Custodia, tutela, adopciones y acogimiento familiar")</f>
        <v>Custodia, tutela, adopciones y acogimiento familiar</v>
      </c>
      <c r="F296" s="89" t="str">
        <f ca="1">IFERROR(__xludf.DUMMYFUNCTION("""COMPUTED_VALUE"""),"C3. NNA del municipio de Guadalajara que recibieron servicios para la protección y restitución de sus derechos")</f>
        <v>C3. NNA del municipio de Guadalajara que recibieron servicios para la protección y restitución de sus derechos</v>
      </c>
      <c r="G296" s="89" t="str">
        <f ca="1">IFERROR(__xludf.DUMMYFUNCTION("""COMPUTED_VALUE"""),"Porcentaje de NNA con al menos un derecho protegido y/o restituido por la DIPNNA, en 2023")</f>
        <v>Porcentaje de NNA con al menos un derecho protegido y/o restituido por la DIPNNA, en 2023</v>
      </c>
      <c r="H296" s="89" t="str">
        <f ca="1">IFERROR(__xludf.DUMMYFUNCTION("""COMPUTED_VALUE"""),"AMM Abril")</f>
        <v>AMM Abril</v>
      </c>
      <c r="I296" s="89" t="str">
        <f ca="1">IFERROR(__xludf.DUMMYFUNCTION("""COMPUTED_VALUE"""),"Abril")</f>
        <v>Abril</v>
      </c>
      <c r="J296" s="89" t="str">
        <f ca="1">IFERROR(__xludf.DUMMYFUNCTION("""COMPUTED_VALUE"""),"AMM")</f>
        <v>AMM</v>
      </c>
      <c r="K296" s="92"/>
      <c r="L296" s="89" t="str">
        <f ca="1">IFERROR(__xludf.DUMMYFUNCTION("""COMPUTED_VALUE"""),"TRIMESTRE 2")</f>
        <v>TRIMESTRE 2</v>
      </c>
      <c r="M296" s="89" t="str">
        <f ca="1">IFERROR(__xludf.DUMMYFUNCTION("""COMPUTED_VALUE"""),"ADULTA MAYOR MUJER")</f>
        <v>ADULTA MAYOR MUJER</v>
      </c>
    </row>
    <row r="297" spans="1:13">
      <c r="A297" s="89" t="str">
        <f ca="1">IFERROR(__xludf.DUMMYFUNCTION("""COMPUTED_VALUE"""),"4.1.3.0")</f>
        <v>4.1.3.0</v>
      </c>
      <c r="B297" s="89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297" s="89" t="str">
        <f ca="1">IFERROR(__xludf.DUMMYFUNCTION("""COMPUTED_VALUE"""),"4. Programas")</f>
        <v>4. Programas</v>
      </c>
      <c r="D297" s="89" t="str">
        <f ca="1">IFERROR(__xludf.DUMMYFUNCTION("""COMPUTED_VALUE"""),"Guadalajara: Capital de las niñas y los niños")</f>
        <v>Guadalajara: Capital de las niñas y los niños</v>
      </c>
      <c r="E297" s="89" t="str">
        <f ca="1">IFERROR(__xludf.DUMMYFUNCTION("""COMPUTED_VALUE"""),"Custodia, tutela, adopciones y acogimiento familiar")</f>
        <v>Custodia, tutela, adopciones y acogimiento familiar</v>
      </c>
      <c r="F297" s="89" t="str">
        <f ca="1">IFERROR(__xludf.DUMMYFUNCTION("""COMPUTED_VALUE"""),"C3. NNA del municipio de Guadalajara que recibieron servicios para la protección y restitución de sus derechos")</f>
        <v>C3. NNA del municipio de Guadalajara que recibieron servicios para la protección y restitución de sus derechos</v>
      </c>
      <c r="G297" s="89" t="str">
        <f ca="1">IFERROR(__xludf.DUMMYFUNCTION("""COMPUTED_VALUE"""),"Porcentaje de NNA con al menos un derecho protegido y/o restituido por la DIPNNA, en 2023")</f>
        <v>Porcentaje de NNA con al menos un derecho protegido y/o restituido por la DIPNNA, en 2023</v>
      </c>
      <c r="H297" s="89" t="str">
        <f ca="1">IFERROR(__xludf.DUMMYFUNCTION("""COMPUTED_VALUE"""),"AMH Abril")</f>
        <v>AMH Abril</v>
      </c>
      <c r="I297" s="89" t="str">
        <f ca="1">IFERROR(__xludf.DUMMYFUNCTION("""COMPUTED_VALUE"""),"Abril")</f>
        <v>Abril</v>
      </c>
      <c r="J297" s="89" t="str">
        <f ca="1">IFERROR(__xludf.DUMMYFUNCTION("""COMPUTED_VALUE"""),"AMH")</f>
        <v>AMH</v>
      </c>
      <c r="K297" s="92"/>
      <c r="L297" s="89" t="str">
        <f ca="1">IFERROR(__xludf.DUMMYFUNCTION("""COMPUTED_VALUE"""),"TRIMESTRE 2")</f>
        <v>TRIMESTRE 2</v>
      </c>
      <c r="M297" s="89" t="str">
        <f ca="1">IFERROR(__xludf.DUMMYFUNCTION("""COMPUTED_VALUE"""),"ADULTO MAYOR HOMBRE")</f>
        <v>ADULTO MAYOR HOMBRE</v>
      </c>
    </row>
    <row r="298" spans="1:13">
      <c r="A298" s="89" t="str">
        <f ca="1">IFERROR(__xludf.DUMMYFUNCTION("""COMPUTED_VALUE"""),"4.1.3.1")</f>
        <v>4.1.3.1</v>
      </c>
      <c r="B298" s="89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298" s="89" t="str">
        <f ca="1">IFERROR(__xludf.DUMMYFUNCTION("""COMPUTED_VALUE"""),"4. Programas")</f>
        <v>4. Programas</v>
      </c>
      <c r="D298" s="89" t="str">
        <f ca="1">IFERROR(__xludf.DUMMYFUNCTION("""COMPUTED_VALUE"""),"Guadalajara: Capital de las niñas y los niños")</f>
        <v>Guadalajara: Capital de las niñas y los niños</v>
      </c>
      <c r="E298" s="89" t="str">
        <f ca="1">IFERROR(__xludf.DUMMYFUNCTION("""COMPUTED_VALUE"""),"Custodia, tutela, adopciones y acogimiento familiar")</f>
        <v>Custodia, tutela, adopciones y acogimiento familiar</v>
      </c>
      <c r="F298" s="89" t="str">
        <f ca="1">IFERROR(__xludf.DUMMYFUNCTION("""COMPUTED_VALUE"""),"A1C3, Nuevas medidas de protección dictadas atendidas")</f>
        <v>A1C3, Nuevas medidas de protección dictadas atendidas</v>
      </c>
      <c r="G298" s="89" t="str">
        <f ca="1">IFERROR(__xludf.DUMMYFUNCTION("""COMPUTED_VALUE"""),"Porcentaje de NNA a los que se les dio seguimientos en las nuevas medidas de protección dictadas en 2023")</f>
        <v>Porcentaje de NNA a los que se les dio seguimientos en las nuevas medidas de protección dictadas en 2023</v>
      </c>
      <c r="H298" s="89" t="str">
        <f ca="1">IFERROR(__xludf.DUMMYFUNCTION("""COMPUTED_VALUE"""),"NAS Abril")</f>
        <v>NAS Abril</v>
      </c>
      <c r="I298" s="89" t="str">
        <f ca="1">IFERROR(__xludf.DUMMYFUNCTION("""COMPUTED_VALUE"""),"Abril")</f>
        <v>Abril</v>
      </c>
      <c r="J298" s="89" t="str">
        <f ca="1">IFERROR(__xludf.DUMMYFUNCTION("""COMPUTED_VALUE"""),"NAS")</f>
        <v>NAS</v>
      </c>
      <c r="K298" s="92">
        <f ca="1">IFERROR(__xludf.DUMMYFUNCTION("""COMPUTED_VALUE"""),10)</f>
        <v>10</v>
      </c>
      <c r="L298" s="89" t="str">
        <f ca="1">IFERROR(__xludf.DUMMYFUNCTION("""COMPUTED_VALUE"""),"TRIMESTRE 2")</f>
        <v>TRIMESTRE 2</v>
      </c>
      <c r="M298" s="89" t="str">
        <f ca="1">IFERROR(__xludf.DUMMYFUNCTION("""COMPUTED_VALUE"""),"NIÑAS")</f>
        <v>NIÑAS</v>
      </c>
    </row>
    <row r="299" spans="1:13">
      <c r="A299" s="89" t="str">
        <f ca="1">IFERROR(__xludf.DUMMYFUNCTION("""COMPUTED_VALUE"""),"4.1.3.1")</f>
        <v>4.1.3.1</v>
      </c>
      <c r="B299" s="89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299" s="89" t="str">
        <f ca="1">IFERROR(__xludf.DUMMYFUNCTION("""COMPUTED_VALUE"""),"4. Programas")</f>
        <v>4. Programas</v>
      </c>
      <c r="D299" s="89" t="str">
        <f ca="1">IFERROR(__xludf.DUMMYFUNCTION("""COMPUTED_VALUE"""),"Guadalajara: Capital de las niñas y los niños")</f>
        <v>Guadalajara: Capital de las niñas y los niños</v>
      </c>
      <c r="E299" s="89" t="str">
        <f ca="1">IFERROR(__xludf.DUMMYFUNCTION("""COMPUTED_VALUE"""),"Custodia, tutela, adopciones y acogimiento familiar")</f>
        <v>Custodia, tutela, adopciones y acogimiento familiar</v>
      </c>
      <c r="F299" s="89" t="str">
        <f ca="1">IFERROR(__xludf.DUMMYFUNCTION("""COMPUTED_VALUE"""),"A1C3, Nuevas medidas de protección dictadas atendidas")</f>
        <v>A1C3, Nuevas medidas de protección dictadas atendidas</v>
      </c>
      <c r="G299" s="89" t="str">
        <f ca="1">IFERROR(__xludf.DUMMYFUNCTION("""COMPUTED_VALUE"""),"Porcentaje de NNA a los que se les dio seguimientos en las nuevas medidas de protección dictadas en 2023")</f>
        <v>Porcentaje de NNA a los que se les dio seguimientos en las nuevas medidas de protección dictadas en 2023</v>
      </c>
      <c r="H299" s="89" t="str">
        <f ca="1">IFERROR(__xludf.DUMMYFUNCTION("""COMPUTED_VALUE"""),"NOS Abril")</f>
        <v>NOS Abril</v>
      </c>
      <c r="I299" s="89" t="str">
        <f ca="1">IFERROR(__xludf.DUMMYFUNCTION("""COMPUTED_VALUE"""),"Abril")</f>
        <v>Abril</v>
      </c>
      <c r="J299" s="89" t="str">
        <f ca="1">IFERROR(__xludf.DUMMYFUNCTION("""COMPUTED_VALUE"""),"NOS")</f>
        <v>NOS</v>
      </c>
      <c r="K299" s="92">
        <f ca="1">IFERROR(__xludf.DUMMYFUNCTION("""COMPUTED_VALUE"""),8)</f>
        <v>8</v>
      </c>
      <c r="L299" s="89" t="str">
        <f ca="1">IFERROR(__xludf.DUMMYFUNCTION("""COMPUTED_VALUE"""),"TRIMESTRE 2")</f>
        <v>TRIMESTRE 2</v>
      </c>
      <c r="M299" s="89" t="str">
        <f ca="1">IFERROR(__xludf.DUMMYFUNCTION("""COMPUTED_VALUE"""),"NIÑOS")</f>
        <v>NIÑOS</v>
      </c>
    </row>
    <row r="300" spans="1:13">
      <c r="A300" s="89" t="str">
        <f ca="1">IFERROR(__xludf.DUMMYFUNCTION("""COMPUTED_VALUE"""),"4.1.3.1")</f>
        <v>4.1.3.1</v>
      </c>
      <c r="B300" s="89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300" s="89" t="str">
        <f ca="1">IFERROR(__xludf.DUMMYFUNCTION("""COMPUTED_VALUE"""),"4. Programas")</f>
        <v>4. Programas</v>
      </c>
      <c r="D300" s="89" t="str">
        <f ca="1">IFERROR(__xludf.DUMMYFUNCTION("""COMPUTED_VALUE"""),"Guadalajara: Capital de las niñas y los niños")</f>
        <v>Guadalajara: Capital de las niñas y los niños</v>
      </c>
      <c r="E300" s="89" t="str">
        <f ca="1">IFERROR(__xludf.DUMMYFUNCTION("""COMPUTED_VALUE"""),"Custodia, tutela, adopciones y acogimiento familiar")</f>
        <v>Custodia, tutela, adopciones y acogimiento familiar</v>
      </c>
      <c r="F300" s="89" t="str">
        <f ca="1">IFERROR(__xludf.DUMMYFUNCTION("""COMPUTED_VALUE"""),"A1C3, Nuevas medidas de protección dictadas atendidas")</f>
        <v>A1C3, Nuevas medidas de protección dictadas atendidas</v>
      </c>
      <c r="G300" s="89" t="str">
        <f ca="1">IFERROR(__xludf.DUMMYFUNCTION("""COMPUTED_VALUE"""),"Porcentaje de NNA a los que se les dio seguimientos en las nuevas medidas de protección dictadas en 2023")</f>
        <v>Porcentaje de NNA a los que se les dio seguimientos en las nuevas medidas de protección dictadas en 2023</v>
      </c>
      <c r="H300" s="89" t="str">
        <f ca="1">IFERROR(__xludf.DUMMYFUNCTION("""COMPUTED_VALUE"""),"AM ABRIL")</f>
        <v>AM ABRIL</v>
      </c>
      <c r="I300" s="89" t="str">
        <f ca="1">IFERROR(__xludf.DUMMYFUNCTION("""COMPUTED_VALUE"""),"Abril")</f>
        <v>Abril</v>
      </c>
      <c r="J300" s="89" t="str">
        <f ca="1">IFERROR(__xludf.DUMMYFUNCTION("""COMPUTED_VALUE"""),"AM")</f>
        <v>AM</v>
      </c>
      <c r="K300" s="92">
        <f ca="1">IFERROR(__xludf.DUMMYFUNCTION("""COMPUTED_VALUE"""),5)</f>
        <v>5</v>
      </c>
      <c r="L300" s="89" t="str">
        <f ca="1">IFERROR(__xludf.DUMMYFUNCTION("""COMPUTED_VALUE"""),"TRIMESTRE 2")</f>
        <v>TRIMESTRE 2</v>
      </c>
      <c r="M300" s="89" t="str">
        <f ca="1">IFERROR(__xludf.DUMMYFUNCTION("""COMPUTED_VALUE"""),"ADOLESCENTES MUJERES")</f>
        <v>ADOLESCENTES MUJERES</v>
      </c>
    </row>
    <row r="301" spans="1:13">
      <c r="A301" s="89" t="str">
        <f ca="1">IFERROR(__xludf.DUMMYFUNCTION("""COMPUTED_VALUE"""),"4.1.3.1")</f>
        <v>4.1.3.1</v>
      </c>
      <c r="B301" s="89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301" s="89" t="str">
        <f ca="1">IFERROR(__xludf.DUMMYFUNCTION("""COMPUTED_VALUE"""),"4. Programas")</f>
        <v>4. Programas</v>
      </c>
      <c r="D301" s="89" t="str">
        <f ca="1">IFERROR(__xludf.DUMMYFUNCTION("""COMPUTED_VALUE"""),"Guadalajara: Capital de las niñas y los niños")</f>
        <v>Guadalajara: Capital de las niñas y los niños</v>
      </c>
      <c r="E301" s="89" t="str">
        <f ca="1">IFERROR(__xludf.DUMMYFUNCTION("""COMPUTED_VALUE"""),"Custodia, tutela, adopciones y acogimiento familiar")</f>
        <v>Custodia, tutela, adopciones y acogimiento familiar</v>
      </c>
      <c r="F301" s="89" t="str">
        <f ca="1">IFERROR(__xludf.DUMMYFUNCTION("""COMPUTED_VALUE"""),"A1C3, Nuevas medidas de protección dictadas atendidas")</f>
        <v>A1C3, Nuevas medidas de protección dictadas atendidas</v>
      </c>
      <c r="G301" s="89" t="str">
        <f ca="1">IFERROR(__xludf.DUMMYFUNCTION("""COMPUTED_VALUE"""),"Porcentaje de NNA a los que se les dio seguimientos en las nuevas medidas de protección dictadas en 2023")</f>
        <v>Porcentaje de NNA a los que se les dio seguimientos en las nuevas medidas de protección dictadas en 2023</v>
      </c>
      <c r="H301" s="89" t="str">
        <f ca="1">IFERROR(__xludf.DUMMYFUNCTION("""COMPUTED_VALUE"""),"AH ABRIL")</f>
        <v>AH ABRIL</v>
      </c>
      <c r="I301" s="89" t="str">
        <f ca="1">IFERROR(__xludf.DUMMYFUNCTION("""COMPUTED_VALUE"""),"Abril")</f>
        <v>Abril</v>
      </c>
      <c r="J301" s="89" t="str">
        <f ca="1">IFERROR(__xludf.DUMMYFUNCTION("""COMPUTED_VALUE"""),"AH")</f>
        <v>AH</v>
      </c>
      <c r="K301" s="92">
        <f ca="1">IFERROR(__xludf.DUMMYFUNCTION("""COMPUTED_VALUE"""),5)</f>
        <v>5</v>
      </c>
      <c r="L301" s="89" t="str">
        <f ca="1">IFERROR(__xludf.DUMMYFUNCTION("""COMPUTED_VALUE"""),"TRIMESTRE 2")</f>
        <v>TRIMESTRE 2</v>
      </c>
      <c r="M301" s="89" t="str">
        <f ca="1">IFERROR(__xludf.DUMMYFUNCTION("""COMPUTED_VALUE"""),"ADOLESCENTES HOMBRES")</f>
        <v>ADOLESCENTES HOMBRES</v>
      </c>
    </row>
    <row r="302" spans="1:13">
      <c r="A302" s="89" t="str">
        <f ca="1">IFERROR(__xludf.DUMMYFUNCTION("""COMPUTED_VALUE"""),"4.1.3.1")</f>
        <v>4.1.3.1</v>
      </c>
      <c r="B302" s="89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302" s="89" t="str">
        <f ca="1">IFERROR(__xludf.DUMMYFUNCTION("""COMPUTED_VALUE"""),"4. Programas")</f>
        <v>4. Programas</v>
      </c>
      <c r="D302" s="89" t="str">
        <f ca="1">IFERROR(__xludf.DUMMYFUNCTION("""COMPUTED_VALUE"""),"Guadalajara: Capital de las niñas y los niños")</f>
        <v>Guadalajara: Capital de las niñas y los niños</v>
      </c>
      <c r="E302" s="89" t="str">
        <f ca="1">IFERROR(__xludf.DUMMYFUNCTION("""COMPUTED_VALUE"""),"Custodia, tutela, adopciones y acogimiento familiar")</f>
        <v>Custodia, tutela, adopciones y acogimiento familiar</v>
      </c>
      <c r="F302" s="89" t="str">
        <f ca="1">IFERROR(__xludf.DUMMYFUNCTION("""COMPUTED_VALUE"""),"A1C3, Nuevas medidas de protección dictadas atendidas")</f>
        <v>A1C3, Nuevas medidas de protección dictadas atendidas</v>
      </c>
      <c r="G302" s="89" t="str">
        <f ca="1">IFERROR(__xludf.DUMMYFUNCTION("""COMPUTED_VALUE"""),"Porcentaje de NNA a los que se les dio seguimientos en las nuevas medidas de protección dictadas en 2023")</f>
        <v>Porcentaje de NNA a los que se les dio seguimientos en las nuevas medidas de protección dictadas en 2023</v>
      </c>
      <c r="H302" s="89" t="str">
        <f ca="1">IFERROR(__xludf.DUMMYFUNCTION("""COMPUTED_VALUE"""),"MUJ Abril")</f>
        <v>MUJ Abril</v>
      </c>
      <c r="I302" s="89" t="str">
        <f ca="1">IFERROR(__xludf.DUMMYFUNCTION("""COMPUTED_VALUE"""),"Abril")</f>
        <v>Abril</v>
      </c>
      <c r="J302" s="89" t="str">
        <f ca="1">IFERROR(__xludf.DUMMYFUNCTION("""COMPUTED_VALUE"""),"MUJ")</f>
        <v>MUJ</v>
      </c>
      <c r="K302" s="92"/>
      <c r="L302" s="89" t="str">
        <f ca="1">IFERROR(__xludf.DUMMYFUNCTION("""COMPUTED_VALUE"""),"TRIMESTRE 2")</f>
        <v>TRIMESTRE 2</v>
      </c>
      <c r="M302" s="89" t="str">
        <f ca="1">IFERROR(__xludf.DUMMYFUNCTION("""COMPUTED_VALUE"""),"MUJERES ADULTAS")</f>
        <v>MUJERES ADULTAS</v>
      </c>
    </row>
    <row r="303" spans="1:13">
      <c r="A303" s="89" t="str">
        <f ca="1">IFERROR(__xludf.DUMMYFUNCTION("""COMPUTED_VALUE"""),"4.1.3.1")</f>
        <v>4.1.3.1</v>
      </c>
      <c r="B303" s="89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303" s="89" t="str">
        <f ca="1">IFERROR(__xludf.DUMMYFUNCTION("""COMPUTED_VALUE"""),"4. Programas")</f>
        <v>4. Programas</v>
      </c>
      <c r="D303" s="89" t="str">
        <f ca="1">IFERROR(__xludf.DUMMYFUNCTION("""COMPUTED_VALUE"""),"Guadalajara: Capital de las niñas y los niños")</f>
        <v>Guadalajara: Capital de las niñas y los niños</v>
      </c>
      <c r="E303" s="89" t="str">
        <f ca="1">IFERROR(__xludf.DUMMYFUNCTION("""COMPUTED_VALUE"""),"Custodia, tutela, adopciones y acogimiento familiar")</f>
        <v>Custodia, tutela, adopciones y acogimiento familiar</v>
      </c>
      <c r="F303" s="89" t="str">
        <f ca="1">IFERROR(__xludf.DUMMYFUNCTION("""COMPUTED_VALUE"""),"A1C3, Nuevas medidas de protección dictadas atendidas")</f>
        <v>A1C3, Nuevas medidas de protección dictadas atendidas</v>
      </c>
      <c r="G303" s="89" t="str">
        <f ca="1">IFERROR(__xludf.DUMMYFUNCTION("""COMPUTED_VALUE"""),"Porcentaje de NNA a los que se les dio seguimientos en las nuevas medidas de protección dictadas en 2023")</f>
        <v>Porcentaje de NNA a los que se les dio seguimientos en las nuevas medidas de protección dictadas en 2023</v>
      </c>
      <c r="H303" s="89" t="str">
        <f ca="1">IFERROR(__xludf.DUMMYFUNCTION("""COMPUTED_VALUE"""),"HOM Abril")</f>
        <v>HOM Abril</v>
      </c>
      <c r="I303" s="89" t="str">
        <f ca="1">IFERROR(__xludf.DUMMYFUNCTION("""COMPUTED_VALUE"""),"Abril")</f>
        <v>Abril</v>
      </c>
      <c r="J303" s="89" t="str">
        <f ca="1">IFERROR(__xludf.DUMMYFUNCTION("""COMPUTED_VALUE"""),"HOM")</f>
        <v>HOM</v>
      </c>
      <c r="K303" s="92"/>
      <c r="L303" s="89" t="str">
        <f ca="1">IFERROR(__xludf.DUMMYFUNCTION("""COMPUTED_VALUE"""),"TRIMESTRE 2")</f>
        <v>TRIMESTRE 2</v>
      </c>
      <c r="M303" s="89" t="str">
        <f ca="1">IFERROR(__xludf.DUMMYFUNCTION("""COMPUTED_VALUE"""),"HOMBRES ADULTOS")</f>
        <v>HOMBRES ADULTOS</v>
      </c>
    </row>
    <row r="304" spans="1:13">
      <c r="A304" s="89" t="str">
        <f ca="1">IFERROR(__xludf.DUMMYFUNCTION("""COMPUTED_VALUE"""),"4.1.3.1")</f>
        <v>4.1.3.1</v>
      </c>
      <c r="B304" s="89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304" s="89" t="str">
        <f ca="1">IFERROR(__xludf.DUMMYFUNCTION("""COMPUTED_VALUE"""),"4. Programas")</f>
        <v>4. Programas</v>
      </c>
      <c r="D304" s="89" t="str">
        <f ca="1">IFERROR(__xludf.DUMMYFUNCTION("""COMPUTED_VALUE"""),"Guadalajara: Capital de las niñas y los niños")</f>
        <v>Guadalajara: Capital de las niñas y los niños</v>
      </c>
      <c r="E304" s="89" t="str">
        <f ca="1">IFERROR(__xludf.DUMMYFUNCTION("""COMPUTED_VALUE"""),"Custodia, tutela, adopciones y acogimiento familiar")</f>
        <v>Custodia, tutela, adopciones y acogimiento familiar</v>
      </c>
      <c r="F304" s="89" t="str">
        <f ca="1">IFERROR(__xludf.DUMMYFUNCTION("""COMPUTED_VALUE"""),"A1C3, Nuevas medidas de protección dictadas atendidas")</f>
        <v>A1C3, Nuevas medidas de protección dictadas atendidas</v>
      </c>
      <c r="G304" s="89" t="str">
        <f ca="1">IFERROR(__xludf.DUMMYFUNCTION("""COMPUTED_VALUE"""),"Porcentaje de NNA a los que se les dio seguimientos en las nuevas medidas de protección dictadas en 2023")</f>
        <v>Porcentaje de NNA a los que se les dio seguimientos en las nuevas medidas de protección dictadas en 2023</v>
      </c>
      <c r="H304" s="89" t="str">
        <f ca="1">IFERROR(__xludf.DUMMYFUNCTION("""COMPUTED_VALUE"""),"AMM Abril")</f>
        <v>AMM Abril</v>
      </c>
      <c r="I304" s="89" t="str">
        <f ca="1">IFERROR(__xludf.DUMMYFUNCTION("""COMPUTED_VALUE"""),"Abril")</f>
        <v>Abril</v>
      </c>
      <c r="J304" s="89" t="str">
        <f ca="1">IFERROR(__xludf.DUMMYFUNCTION("""COMPUTED_VALUE"""),"AMM")</f>
        <v>AMM</v>
      </c>
      <c r="K304" s="92"/>
      <c r="L304" s="89" t="str">
        <f ca="1">IFERROR(__xludf.DUMMYFUNCTION("""COMPUTED_VALUE"""),"TRIMESTRE 2")</f>
        <v>TRIMESTRE 2</v>
      </c>
      <c r="M304" s="89" t="str">
        <f ca="1">IFERROR(__xludf.DUMMYFUNCTION("""COMPUTED_VALUE"""),"ADULTA MAYOR MUJER")</f>
        <v>ADULTA MAYOR MUJER</v>
      </c>
    </row>
    <row r="305" spans="1:13">
      <c r="A305" s="89" t="str">
        <f ca="1">IFERROR(__xludf.DUMMYFUNCTION("""COMPUTED_VALUE"""),"4.1.3.1")</f>
        <v>4.1.3.1</v>
      </c>
      <c r="B305" s="89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305" s="89" t="str">
        <f ca="1">IFERROR(__xludf.DUMMYFUNCTION("""COMPUTED_VALUE"""),"4. Programas")</f>
        <v>4. Programas</v>
      </c>
      <c r="D305" s="89" t="str">
        <f ca="1">IFERROR(__xludf.DUMMYFUNCTION("""COMPUTED_VALUE"""),"Guadalajara: Capital de las niñas y los niños")</f>
        <v>Guadalajara: Capital de las niñas y los niños</v>
      </c>
      <c r="E305" s="89" t="str">
        <f ca="1">IFERROR(__xludf.DUMMYFUNCTION("""COMPUTED_VALUE"""),"Custodia, tutela, adopciones y acogimiento familiar")</f>
        <v>Custodia, tutela, adopciones y acogimiento familiar</v>
      </c>
      <c r="F305" s="89" t="str">
        <f ca="1">IFERROR(__xludf.DUMMYFUNCTION("""COMPUTED_VALUE"""),"A1C3, Nuevas medidas de protección dictadas atendidas")</f>
        <v>A1C3, Nuevas medidas de protección dictadas atendidas</v>
      </c>
      <c r="G305" s="89" t="str">
        <f ca="1">IFERROR(__xludf.DUMMYFUNCTION("""COMPUTED_VALUE"""),"Porcentaje de NNA a los que se les dio seguimientos en las nuevas medidas de protección dictadas en 2023")</f>
        <v>Porcentaje de NNA a los que se les dio seguimientos en las nuevas medidas de protección dictadas en 2023</v>
      </c>
      <c r="H305" s="89" t="str">
        <f ca="1">IFERROR(__xludf.DUMMYFUNCTION("""COMPUTED_VALUE"""),"AMH Abril")</f>
        <v>AMH Abril</v>
      </c>
      <c r="I305" s="89" t="str">
        <f ca="1">IFERROR(__xludf.DUMMYFUNCTION("""COMPUTED_VALUE"""),"Abril")</f>
        <v>Abril</v>
      </c>
      <c r="J305" s="89" t="str">
        <f ca="1">IFERROR(__xludf.DUMMYFUNCTION("""COMPUTED_VALUE"""),"AMH")</f>
        <v>AMH</v>
      </c>
      <c r="K305" s="92"/>
      <c r="L305" s="89" t="str">
        <f ca="1">IFERROR(__xludf.DUMMYFUNCTION("""COMPUTED_VALUE"""),"TRIMESTRE 2")</f>
        <v>TRIMESTRE 2</v>
      </c>
      <c r="M305" s="89" t="str">
        <f ca="1">IFERROR(__xludf.DUMMYFUNCTION("""COMPUTED_VALUE"""),"ADULTO MAYOR HOMBRE")</f>
        <v>ADULTO MAYOR HOMBRE</v>
      </c>
    </row>
    <row r="306" spans="1:13">
      <c r="A306" s="89" t="str">
        <f ca="1">IFERROR(__xludf.DUMMYFUNCTION("""COMPUTED_VALUE"""),"4.1.3.2")</f>
        <v>4.1.3.2</v>
      </c>
      <c r="B306" s="89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306" s="89" t="str">
        <f ca="1">IFERROR(__xludf.DUMMYFUNCTION("""COMPUTED_VALUE"""),"4. Programas")</f>
        <v>4. Programas</v>
      </c>
      <c r="D306" s="89" t="str">
        <f ca="1">IFERROR(__xludf.DUMMYFUNCTION("""COMPUTED_VALUE"""),"Guadalajara: Capital de las niñas y los niños")</f>
        <v>Guadalajara: Capital de las niñas y los niños</v>
      </c>
      <c r="E306" s="89" t="str">
        <f ca="1">IFERROR(__xludf.DUMMYFUNCTION("""COMPUTED_VALUE"""),"Custodia, tutela, adopciones y acogimiento familiar")</f>
        <v>Custodia, tutela, adopciones y acogimiento familiar</v>
      </c>
      <c r="F306" s="89" t="str">
        <f ca="1">IFERROR(__xludf.DUMMYFUNCTION("""COMPUTED_VALUE"""),"A2C3. Medidas de protección dictadas que se les dio seguimiento")</f>
        <v>A2C3. Medidas de protección dictadas que se les dio seguimiento</v>
      </c>
      <c r="G306" s="89" t="str">
        <f ca="1">IFERROR(__xludf.DUMMYFUNCTION("""COMPUTED_VALUE"""),"Porcentaje de NNA a los que se les dio seguimientos en las medidas de protección dictadas, en 2023")</f>
        <v>Porcentaje de NNA a los que se les dio seguimientos en las medidas de protección dictadas, en 2023</v>
      </c>
      <c r="H306" s="89" t="str">
        <f ca="1">IFERROR(__xludf.DUMMYFUNCTION("""COMPUTED_VALUE"""),"NAS Abril")</f>
        <v>NAS Abril</v>
      </c>
      <c r="I306" s="89" t="str">
        <f ca="1">IFERROR(__xludf.DUMMYFUNCTION("""COMPUTED_VALUE"""),"Abril")</f>
        <v>Abril</v>
      </c>
      <c r="J306" s="89" t="str">
        <f ca="1">IFERROR(__xludf.DUMMYFUNCTION("""COMPUTED_VALUE"""),"NAS")</f>
        <v>NAS</v>
      </c>
      <c r="K306" s="92">
        <f ca="1">IFERROR(__xludf.DUMMYFUNCTION("""COMPUTED_VALUE"""),18)</f>
        <v>18</v>
      </c>
      <c r="L306" s="89" t="str">
        <f ca="1">IFERROR(__xludf.DUMMYFUNCTION("""COMPUTED_VALUE"""),"TRIMESTRE 2")</f>
        <v>TRIMESTRE 2</v>
      </c>
      <c r="M306" s="89" t="str">
        <f ca="1">IFERROR(__xludf.DUMMYFUNCTION("""COMPUTED_VALUE"""),"NIÑAS")</f>
        <v>NIÑAS</v>
      </c>
    </row>
    <row r="307" spans="1:13">
      <c r="A307" s="89" t="str">
        <f ca="1">IFERROR(__xludf.DUMMYFUNCTION("""COMPUTED_VALUE"""),"4.1.3.2")</f>
        <v>4.1.3.2</v>
      </c>
      <c r="B307" s="89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307" s="89" t="str">
        <f ca="1">IFERROR(__xludf.DUMMYFUNCTION("""COMPUTED_VALUE"""),"4. Programas")</f>
        <v>4. Programas</v>
      </c>
      <c r="D307" s="89" t="str">
        <f ca="1">IFERROR(__xludf.DUMMYFUNCTION("""COMPUTED_VALUE"""),"Guadalajara: Capital de las niñas y los niños")</f>
        <v>Guadalajara: Capital de las niñas y los niños</v>
      </c>
      <c r="E307" s="89" t="str">
        <f ca="1">IFERROR(__xludf.DUMMYFUNCTION("""COMPUTED_VALUE"""),"Custodia, tutela, adopciones y acogimiento familiar")</f>
        <v>Custodia, tutela, adopciones y acogimiento familiar</v>
      </c>
      <c r="F307" s="89" t="str">
        <f ca="1">IFERROR(__xludf.DUMMYFUNCTION("""COMPUTED_VALUE"""),"A2C3. Medidas de protección dictadas que se les dio seguimiento")</f>
        <v>A2C3. Medidas de protección dictadas que se les dio seguimiento</v>
      </c>
      <c r="G307" s="89" t="str">
        <f ca="1">IFERROR(__xludf.DUMMYFUNCTION("""COMPUTED_VALUE"""),"Porcentaje de NNA a los que se les dio seguimientos en las medidas de protección dictadas, en 2023")</f>
        <v>Porcentaje de NNA a los que se les dio seguimientos en las medidas de protección dictadas, en 2023</v>
      </c>
      <c r="H307" s="89" t="str">
        <f ca="1">IFERROR(__xludf.DUMMYFUNCTION("""COMPUTED_VALUE"""),"NOS Abril")</f>
        <v>NOS Abril</v>
      </c>
      <c r="I307" s="89" t="str">
        <f ca="1">IFERROR(__xludf.DUMMYFUNCTION("""COMPUTED_VALUE"""),"Abril")</f>
        <v>Abril</v>
      </c>
      <c r="J307" s="89" t="str">
        <f ca="1">IFERROR(__xludf.DUMMYFUNCTION("""COMPUTED_VALUE"""),"NOS")</f>
        <v>NOS</v>
      </c>
      <c r="K307" s="92">
        <f ca="1">IFERROR(__xludf.DUMMYFUNCTION("""COMPUTED_VALUE"""),22)</f>
        <v>22</v>
      </c>
      <c r="L307" s="89" t="str">
        <f ca="1">IFERROR(__xludf.DUMMYFUNCTION("""COMPUTED_VALUE"""),"TRIMESTRE 2")</f>
        <v>TRIMESTRE 2</v>
      </c>
      <c r="M307" s="89" t="str">
        <f ca="1">IFERROR(__xludf.DUMMYFUNCTION("""COMPUTED_VALUE"""),"NIÑOS")</f>
        <v>NIÑOS</v>
      </c>
    </row>
    <row r="308" spans="1:13">
      <c r="A308" s="89" t="str">
        <f ca="1">IFERROR(__xludf.DUMMYFUNCTION("""COMPUTED_VALUE"""),"4.1.3.2")</f>
        <v>4.1.3.2</v>
      </c>
      <c r="B308" s="89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308" s="89" t="str">
        <f ca="1">IFERROR(__xludf.DUMMYFUNCTION("""COMPUTED_VALUE"""),"4. Programas")</f>
        <v>4. Programas</v>
      </c>
      <c r="D308" s="89" t="str">
        <f ca="1">IFERROR(__xludf.DUMMYFUNCTION("""COMPUTED_VALUE"""),"Guadalajara: Capital de las niñas y los niños")</f>
        <v>Guadalajara: Capital de las niñas y los niños</v>
      </c>
      <c r="E308" s="89" t="str">
        <f ca="1">IFERROR(__xludf.DUMMYFUNCTION("""COMPUTED_VALUE"""),"Custodia, tutela, adopciones y acogimiento familiar")</f>
        <v>Custodia, tutela, adopciones y acogimiento familiar</v>
      </c>
      <c r="F308" s="89" t="str">
        <f ca="1">IFERROR(__xludf.DUMMYFUNCTION("""COMPUTED_VALUE"""),"A2C3. Medidas de protección dictadas que se les dio seguimiento")</f>
        <v>A2C3. Medidas de protección dictadas que se les dio seguimiento</v>
      </c>
      <c r="G308" s="89" t="str">
        <f ca="1">IFERROR(__xludf.DUMMYFUNCTION("""COMPUTED_VALUE"""),"Porcentaje de NNA a los que se les dio seguimientos en las medidas de protección dictadas, en 2023")</f>
        <v>Porcentaje de NNA a los que se les dio seguimientos en las medidas de protección dictadas, en 2023</v>
      </c>
      <c r="H308" s="89" t="str">
        <f ca="1">IFERROR(__xludf.DUMMYFUNCTION("""COMPUTED_VALUE"""),"AM ABRIL")</f>
        <v>AM ABRIL</v>
      </c>
      <c r="I308" s="89" t="str">
        <f ca="1">IFERROR(__xludf.DUMMYFUNCTION("""COMPUTED_VALUE"""),"Abril")</f>
        <v>Abril</v>
      </c>
      <c r="J308" s="89" t="str">
        <f ca="1">IFERROR(__xludf.DUMMYFUNCTION("""COMPUTED_VALUE"""),"AM")</f>
        <v>AM</v>
      </c>
      <c r="K308" s="92">
        <f ca="1">IFERROR(__xludf.DUMMYFUNCTION("""COMPUTED_VALUE"""),2)</f>
        <v>2</v>
      </c>
      <c r="L308" s="89" t="str">
        <f ca="1">IFERROR(__xludf.DUMMYFUNCTION("""COMPUTED_VALUE"""),"TRIMESTRE 2")</f>
        <v>TRIMESTRE 2</v>
      </c>
      <c r="M308" s="89" t="str">
        <f ca="1">IFERROR(__xludf.DUMMYFUNCTION("""COMPUTED_VALUE"""),"ADOLESCENTES MUJERES")</f>
        <v>ADOLESCENTES MUJERES</v>
      </c>
    </row>
    <row r="309" spans="1:13">
      <c r="A309" s="89" t="str">
        <f ca="1">IFERROR(__xludf.DUMMYFUNCTION("""COMPUTED_VALUE"""),"4.1.3.2")</f>
        <v>4.1.3.2</v>
      </c>
      <c r="B309" s="89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309" s="89" t="str">
        <f ca="1">IFERROR(__xludf.DUMMYFUNCTION("""COMPUTED_VALUE"""),"4. Programas")</f>
        <v>4. Programas</v>
      </c>
      <c r="D309" s="89" t="str">
        <f ca="1">IFERROR(__xludf.DUMMYFUNCTION("""COMPUTED_VALUE"""),"Guadalajara: Capital de las niñas y los niños")</f>
        <v>Guadalajara: Capital de las niñas y los niños</v>
      </c>
      <c r="E309" s="89" t="str">
        <f ca="1">IFERROR(__xludf.DUMMYFUNCTION("""COMPUTED_VALUE"""),"Custodia, tutela, adopciones y acogimiento familiar")</f>
        <v>Custodia, tutela, adopciones y acogimiento familiar</v>
      </c>
      <c r="F309" s="89" t="str">
        <f ca="1">IFERROR(__xludf.DUMMYFUNCTION("""COMPUTED_VALUE"""),"A2C3. Medidas de protección dictadas que se les dio seguimiento")</f>
        <v>A2C3. Medidas de protección dictadas que se les dio seguimiento</v>
      </c>
      <c r="G309" s="89" t="str">
        <f ca="1">IFERROR(__xludf.DUMMYFUNCTION("""COMPUTED_VALUE"""),"Porcentaje de NNA a los que se les dio seguimientos en las medidas de protección dictadas, en 2023")</f>
        <v>Porcentaje de NNA a los que se les dio seguimientos en las medidas de protección dictadas, en 2023</v>
      </c>
      <c r="H309" s="89" t="str">
        <f ca="1">IFERROR(__xludf.DUMMYFUNCTION("""COMPUTED_VALUE"""),"AH ABRIL")</f>
        <v>AH ABRIL</v>
      </c>
      <c r="I309" s="89" t="str">
        <f ca="1">IFERROR(__xludf.DUMMYFUNCTION("""COMPUTED_VALUE"""),"Abril")</f>
        <v>Abril</v>
      </c>
      <c r="J309" s="89" t="str">
        <f ca="1">IFERROR(__xludf.DUMMYFUNCTION("""COMPUTED_VALUE"""),"AH")</f>
        <v>AH</v>
      </c>
      <c r="K309" s="92">
        <f ca="1">IFERROR(__xludf.DUMMYFUNCTION("""COMPUTED_VALUE"""),1)</f>
        <v>1</v>
      </c>
      <c r="L309" s="89" t="str">
        <f ca="1">IFERROR(__xludf.DUMMYFUNCTION("""COMPUTED_VALUE"""),"TRIMESTRE 2")</f>
        <v>TRIMESTRE 2</v>
      </c>
      <c r="M309" s="89" t="str">
        <f ca="1">IFERROR(__xludf.DUMMYFUNCTION("""COMPUTED_VALUE"""),"ADOLESCENTES HOMBRES")</f>
        <v>ADOLESCENTES HOMBRES</v>
      </c>
    </row>
    <row r="310" spans="1:13">
      <c r="A310" s="89" t="str">
        <f ca="1">IFERROR(__xludf.DUMMYFUNCTION("""COMPUTED_VALUE"""),"4.1.3.2")</f>
        <v>4.1.3.2</v>
      </c>
      <c r="B310" s="89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310" s="89" t="str">
        <f ca="1">IFERROR(__xludf.DUMMYFUNCTION("""COMPUTED_VALUE"""),"4. Programas")</f>
        <v>4. Programas</v>
      </c>
      <c r="D310" s="89" t="str">
        <f ca="1">IFERROR(__xludf.DUMMYFUNCTION("""COMPUTED_VALUE"""),"Guadalajara: Capital de las niñas y los niños")</f>
        <v>Guadalajara: Capital de las niñas y los niños</v>
      </c>
      <c r="E310" s="89" t="str">
        <f ca="1">IFERROR(__xludf.DUMMYFUNCTION("""COMPUTED_VALUE"""),"Custodia, tutela, adopciones y acogimiento familiar")</f>
        <v>Custodia, tutela, adopciones y acogimiento familiar</v>
      </c>
      <c r="F310" s="89" t="str">
        <f ca="1">IFERROR(__xludf.DUMMYFUNCTION("""COMPUTED_VALUE"""),"A2C3. Medidas de protección dictadas que se les dio seguimiento")</f>
        <v>A2C3. Medidas de protección dictadas que se les dio seguimiento</v>
      </c>
      <c r="G310" s="89" t="str">
        <f ca="1">IFERROR(__xludf.DUMMYFUNCTION("""COMPUTED_VALUE"""),"Porcentaje de NNA a los que se les dio seguimientos en las medidas de protección dictadas, en 2023")</f>
        <v>Porcentaje de NNA a los que se les dio seguimientos en las medidas de protección dictadas, en 2023</v>
      </c>
      <c r="H310" s="89" t="str">
        <f ca="1">IFERROR(__xludf.DUMMYFUNCTION("""COMPUTED_VALUE"""),"MUJ Abril")</f>
        <v>MUJ Abril</v>
      </c>
      <c r="I310" s="89" t="str">
        <f ca="1">IFERROR(__xludf.DUMMYFUNCTION("""COMPUTED_VALUE"""),"Abril")</f>
        <v>Abril</v>
      </c>
      <c r="J310" s="89" t="str">
        <f ca="1">IFERROR(__xludf.DUMMYFUNCTION("""COMPUTED_VALUE"""),"MUJ")</f>
        <v>MUJ</v>
      </c>
      <c r="K310" s="92"/>
      <c r="L310" s="89" t="str">
        <f ca="1">IFERROR(__xludf.DUMMYFUNCTION("""COMPUTED_VALUE"""),"TRIMESTRE 2")</f>
        <v>TRIMESTRE 2</v>
      </c>
      <c r="M310" s="89" t="str">
        <f ca="1">IFERROR(__xludf.DUMMYFUNCTION("""COMPUTED_VALUE"""),"MUJERES ADULTAS")</f>
        <v>MUJERES ADULTAS</v>
      </c>
    </row>
    <row r="311" spans="1:13">
      <c r="A311" s="89" t="str">
        <f ca="1">IFERROR(__xludf.DUMMYFUNCTION("""COMPUTED_VALUE"""),"4.1.3.2")</f>
        <v>4.1.3.2</v>
      </c>
      <c r="B311" s="89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311" s="89" t="str">
        <f ca="1">IFERROR(__xludf.DUMMYFUNCTION("""COMPUTED_VALUE"""),"4. Programas")</f>
        <v>4. Programas</v>
      </c>
      <c r="D311" s="89" t="str">
        <f ca="1">IFERROR(__xludf.DUMMYFUNCTION("""COMPUTED_VALUE"""),"Guadalajara: Capital de las niñas y los niños")</f>
        <v>Guadalajara: Capital de las niñas y los niños</v>
      </c>
      <c r="E311" s="89" t="str">
        <f ca="1">IFERROR(__xludf.DUMMYFUNCTION("""COMPUTED_VALUE"""),"Custodia, tutela, adopciones y acogimiento familiar")</f>
        <v>Custodia, tutela, adopciones y acogimiento familiar</v>
      </c>
      <c r="F311" s="89" t="str">
        <f ca="1">IFERROR(__xludf.DUMMYFUNCTION("""COMPUTED_VALUE"""),"A2C3. Medidas de protección dictadas que se les dio seguimiento")</f>
        <v>A2C3. Medidas de protección dictadas que se les dio seguimiento</v>
      </c>
      <c r="G311" s="89" t="str">
        <f ca="1">IFERROR(__xludf.DUMMYFUNCTION("""COMPUTED_VALUE"""),"Porcentaje de NNA a los que se les dio seguimientos en las medidas de protección dictadas, en 2023")</f>
        <v>Porcentaje de NNA a los que se les dio seguimientos en las medidas de protección dictadas, en 2023</v>
      </c>
      <c r="H311" s="89" t="str">
        <f ca="1">IFERROR(__xludf.DUMMYFUNCTION("""COMPUTED_VALUE"""),"HOM Abril")</f>
        <v>HOM Abril</v>
      </c>
      <c r="I311" s="89" t="str">
        <f ca="1">IFERROR(__xludf.DUMMYFUNCTION("""COMPUTED_VALUE"""),"Abril")</f>
        <v>Abril</v>
      </c>
      <c r="J311" s="89" t="str">
        <f ca="1">IFERROR(__xludf.DUMMYFUNCTION("""COMPUTED_VALUE"""),"HOM")</f>
        <v>HOM</v>
      </c>
      <c r="K311" s="92"/>
      <c r="L311" s="89" t="str">
        <f ca="1">IFERROR(__xludf.DUMMYFUNCTION("""COMPUTED_VALUE"""),"TRIMESTRE 2")</f>
        <v>TRIMESTRE 2</v>
      </c>
      <c r="M311" s="89" t="str">
        <f ca="1">IFERROR(__xludf.DUMMYFUNCTION("""COMPUTED_VALUE"""),"HOMBRES ADULTOS")</f>
        <v>HOMBRES ADULTOS</v>
      </c>
    </row>
    <row r="312" spans="1:13">
      <c r="A312" s="89" t="str">
        <f ca="1">IFERROR(__xludf.DUMMYFUNCTION("""COMPUTED_VALUE"""),"4.1.3.2")</f>
        <v>4.1.3.2</v>
      </c>
      <c r="B312" s="89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312" s="89" t="str">
        <f ca="1">IFERROR(__xludf.DUMMYFUNCTION("""COMPUTED_VALUE"""),"4. Programas")</f>
        <v>4. Programas</v>
      </c>
      <c r="D312" s="89" t="str">
        <f ca="1">IFERROR(__xludf.DUMMYFUNCTION("""COMPUTED_VALUE"""),"Guadalajara: Capital de las niñas y los niños")</f>
        <v>Guadalajara: Capital de las niñas y los niños</v>
      </c>
      <c r="E312" s="89" t="str">
        <f ca="1">IFERROR(__xludf.DUMMYFUNCTION("""COMPUTED_VALUE"""),"Custodia, tutela, adopciones y acogimiento familiar")</f>
        <v>Custodia, tutela, adopciones y acogimiento familiar</v>
      </c>
      <c r="F312" s="89" t="str">
        <f ca="1">IFERROR(__xludf.DUMMYFUNCTION("""COMPUTED_VALUE"""),"A2C3. Medidas de protección dictadas que se les dio seguimiento")</f>
        <v>A2C3. Medidas de protección dictadas que se les dio seguimiento</v>
      </c>
      <c r="G312" s="89" t="str">
        <f ca="1">IFERROR(__xludf.DUMMYFUNCTION("""COMPUTED_VALUE"""),"Porcentaje de NNA a los que se les dio seguimientos en las medidas de protección dictadas, en 2023")</f>
        <v>Porcentaje de NNA a los que se les dio seguimientos en las medidas de protección dictadas, en 2023</v>
      </c>
      <c r="H312" s="89" t="str">
        <f ca="1">IFERROR(__xludf.DUMMYFUNCTION("""COMPUTED_VALUE"""),"AMM Abril")</f>
        <v>AMM Abril</v>
      </c>
      <c r="I312" s="89" t="str">
        <f ca="1">IFERROR(__xludf.DUMMYFUNCTION("""COMPUTED_VALUE"""),"Abril")</f>
        <v>Abril</v>
      </c>
      <c r="J312" s="89" t="str">
        <f ca="1">IFERROR(__xludf.DUMMYFUNCTION("""COMPUTED_VALUE"""),"AMM")</f>
        <v>AMM</v>
      </c>
      <c r="K312" s="92"/>
      <c r="L312" s="89" t="str">
        <f ca="1">IFERROR(__xludf.DUMMYFUNCTION("""COMPUTED_VALUE"""),"TRIMESTRE 2")</f>
        <v>TRIMESTRE 2</v>
      </c>
      <c r="M312" s="89" t="str">
        <f ca="1">IFERROR(__xludf.DUMMYFUNCTION("""COMPUTED_VALUE"""),"ADULTA MAYOR MUJER")</f>
        <v>ADULTA MAYOR MUJER</v>
      </c>
    </row>
    <row r="313" spans="1:13">
      <c r="A313" s="89" t="str">
        <f ca="1">IFERROR(__xludf.DUMMYFUNCTION("""COMPUTED_VALUE"""),"4.1.3.2")</f>
        <v>4.1.3.2</v>
      </c>
      <c r="B313" s="89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313" s="89" t="str">
        <f ca="1">IFERROR(__xludf.DUMMYFUNCTION("""COMPUTED_VALUE"""),"4. Programas")</f>
        <v>4. Programas</v>
      </c>
      <c r="D313" s="89" t="str">
        <f ca="1">IFERROR(__xludf.DUMMYFUNCTION("""COMPUTED_VALUE"""),"Guadalajara: Capital de las niñas y los niños")</f>
        <v>Guadalajara: Capital de las niñas y los niños</v>
      </c>
      <c r="E313" s="89" t="str">
        <f ca="1">IFERROR(__xludf.DUMMYFUNCTION("""COMPUTED_VALUE"""),"Custodia, tutela, adopciones y acogimiento familiar")</f>
        <v>Custodia, tutela, adopciones y acogimiento familiar</v>
      </c>
      <c r="F313" s="89" t="str">
        <f ca="1">IFERROR(__xludf.DUMMYFUNCTION("""COMPUTED_VALUE"""),"A2C3. Medidas de protección dictadas que se les dio seguimiento")</f>
        <v>A2C3. Medidas de protección dictadas que se les dio seguimiento</v>
      </c>
      <c r="G313" s="89" t="str">
        <f ca="1">IFERROR(__xludf.DUMMYFUNCTION("""COMPUTED_VALUE"""),"Porcentaje de NNA a los que se les dio seguimientos en las medidas de protección dictadas, en 2023")</f>
        <v>Porcentaje de NNA a los que se les dio seguimientos en las medidas de protección dictadas, en 2023</v>
      </c>
      <c r="H313" s="89" t="str">
        <f ca="1">IFERROR(__xludf.DUMMYFUNCTION("""COMPUTED_VALUE"""),"AMH Abril")</f>
        <v>AMH Abril</v>
      </c>
      <c r="I313" s="89" t="str">
        <f ca="1">IFERROR(__xludf.DUMMYFUNCTION("""COMPUTED_VALUE"""),"Abril")</f>
        <v>Abril</v>
      </c>
      <c r="J313" s="89" t="str">
        <f ca="1">IFERROR(__xludf.DUMMYFUNCTION("""COMPUTED_VALUE"""),"AMH")</f>
        <v>AMH</v>
      </c>
      <c r="K313" s="92"/>
      <c r="L313" s="89" t="str">
        <f ca="1">IFERROR(__xludf.DUMMYFUNCTION("""COMPUTED_VALUE"""),"TRIMESTRE 2")</f>
        <v>TRIMESTRE 2</v>
      </c>
      <c r="M313" s="89" t="str">
        <f ca="1">IFERROR(__xludf.DUMMYFUNCTION("""COMPUTED_VALUE"""),"ADULTO MAYOR HOMBRE")</f>
        <v>ADULTO MAYOR HOMBRE</v>
      </c>
    </row>
    <row r="314" spans="1:13">
      <c r="A314" s="89" t="str">
        <f ca="1">IFERROR(__xludf.DUMMYFUNCTION("""COMPUTED_VALUE"""),"4.1.3.4")</f>
        <v>4.1.3.4</v>
      </c>
      <c r="B314" s="89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314" s="89" t="str">
        <f ca="1">IFERROR(__xludf.DUMMYFUNCTION("""COMPUTED_VALUE"""),"4. Programas")</f>
        <v>4. Programas</v>
      </c>
      <c r="D314" s="89" t="str">
        <f ca="1">IFERROR(__xludf.DUMMYFUNCTION("""COMPUTED_VALUE"""),"Guadalajara: Capital de las niñas y los niños")</f>
        <v>Guadalajara: Capital de las niñas y los niños</v>
      </c>
      <c r="E314" s="89" t="str">
        <f ca="1">IFERROR(__xludf.DUMMYFUNCTION("""COMPUTED_VALUE"""),"Custodia, tutela, adopciones y acogimiento familiar")</f>
        <v>Custodia, tutela, adopciones y acogimiento familiar</v>
      </c>
      <c r="F314" s="89" t="str">
        <f ca="1">IFERROR(__xludf.DUMMYFUNCTION("""COMPUTED_VALUE"""),"A4C3. NNA integrados en familias.")</f>
        <v>A4C3. NNA integrados en familias.</v>
      </c>
      <c r="G314" s="89" t="str">
        <f ca="1">IFERROR(__xludf.DUMMYFUNCTION("""COMPUTED_VALUE"""),"Porcentaje de NNA integrados en familias, en 2023")</f>
        <v>Porcentaje de NNA integrados en familias, en 2023</v>
      </c>
      <c r="H314" s="89" t="str">
        <f ca="1">IFERROR(__xludf.DUMMYFUNCTION("""COMPUTED_VALUE"""),"NAS Abril")</f>
        <v>NAS Abril</v>
      </c>
      <c r="I314" s="89" t="str">
        <f ca="1">IFERROR(__xludf.DUMMYFUNCTION("""COMPUTED_VALUE"""),"Abril")</f>
        <v>Abril</v>
      </c>
      <c r="J314" s="89" t="str">
        <f ca="1">IFERROR(__xludf.DUMMYFUNCTION("""COMPUTED_VALUE"""),"NAS")</f>
        <v>NAS</v>
      </c>
      <c r="K314" s="92">
        <f ca="1">IFERROR(__xludf.DUMMYFUNCTION("""COMPUTED_VALUE"""),16)</f>
        <v>16</v>
      </c>
      <c r="L314" s="89" t="str">
        <f ca="1">IFERROR(__xludf.DUMMYFUNCTION("""COMPUTED_VALUE"""),"TRIMESTRE 2")</f>
        <v>TRIMESTRE 2</v>
      </c>
      <c r="M314" s="89" t="str">
        <f ca="1">IFERROR(__xludf.DUMMYFUNCTION("""COMPUTED_VALUE"""),"NIÑAS")</f>
        <v>NIÑAS</v>
      </c>
    </row>
    <row r="315" spans="1:13">
      <c r="A315" s="89" t="str">
        <f ca="1">IFERROR(__xludf.DUMMYFUNCTION("""COMPUTED_VALUE"""),"4.1.3.4")</f>
        <v>4.1.3.4</v>
      </c>
      <c r="B315" s="89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315" s="89" t="str">
        <f ca="1">IFERROR(__xludf.DUMMYFUNCTION("""COMPUTED_VALUE"""),"4. Programas")</f>
        <v>4. Programas</v>
      </c>
      <c r="D315" s="89" t="str">
        <f ca="1">IFERROR(__xludf.DUMMYFUNCTION("""COMPUTED_VALUE"""),"Guadalajara: Capital de las niñas y los niños")</f>
        <v>Guadalajara: Capital de las niñas y los niños</v>
      </c>
      <c r="E315" s="89" t="str">
        <f ca="1">IFERROR(__xludf.DUMMYFUNCTION("""COMPUTED_VALUE"""),"Custodia, tutela, adopciones y acogimiento familiar")</f>
        <v>Custodia, tutela, adopciones y acogimiento familiar</v>
      </c>
      <c r="F315" s="89" t="str">
        <f ca="1">IFERROR(__xludf.DUMMYFUNCTION("""COMPUTED_VALUE"""),"A4C3. NNA integrados en familias.")</f>
        <v>A4C3. NNA integrados en familias.</v>
      </c>
      <c r="G315" s="89" t="str">
        <f ca="1">IFERROR(__xludf.DUMMYFUNCTION("""COMPUTED_VALUE"""),"Porcentaje de NNA integrados en familias, en 2023")</f>
        <v>Porcentaje de NNA integrados en familias, en 2023</v>
      </c>
      <c r="H315" s="89" t="str">
        <f ca="1">IFERROR(__xludf.DUMMYFUNCTION("""COMPUTED_VALUE"""),"NOS Abril")</f>
        <v>NOS Abril</v>
      </c>
      <c r="I315" s="89" t="str">
        <f ca="1">IFERROR(__xludf.DUMMYFUNCTION("""COMPUTED_VALUE"""),"Abril")</f>
        <v>Abril</v>
      </c>
      <c r="J315" s="89" t="str">
        <f ca="1">IFERROR(__xludf.DUMMYFUNCTION("""COMPUTED_VALUE"""),"NOS")</f>
        <v>NOS</v>
      </c>
      <c r="K315" s="92">
        <f ca="1">IFERROR(__xludf.DUMMYFUNCTION("""COMPUTED_VALUE"""),10)</f>
        <v>10</v>
      </c>
      <c r="L315" s="89" t="str">
        <f ca="1">IFERROR(__xludf.DUMMYFUNCTION("""COMPUTED_VALUE"""),"TRIMESTRE 2")</f>
        <v>TRIMESTRE 2</v>
      </c>
      <c r="M315" s="89" t="str">
        <f ca="1">IFERROR(__xludf.DUMMYFUNCTION("""COMPUTED_VALUE"""),"NIÑOS")</f>
        <v>NIÑOS</v>
      </c>
    </row>
    <row r="316" spans="1:13">
      <c r="A316" s="89" t="str">
        <f ca="1">IFERROR(__xludf.DUMMYFUNCTION("""COMPUTED_VALUE"""),"4.1.3.4")</f>
        <v>4.1.3.4</v>
      </c>
      <c r="B316" s="89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316" s="89" t="str">
        <f ca="1">IFERROR(__xludf.DUMMYFUNCTION("""COMPUTED_VALUE"""),"4. Programas")</f>
        <v>4. Programas</v>
      </c>
      <c r="D316" s="89" t="str">
        <f ca="1">IFERROR(__xludf.DUMMYFUNCTION("""COMPUTED_VALUE"""),"Guadalajara: Capital de las niñas y los niños")</f>
        <v>Guadalajara: Capital de las niñas y los niños</v>
      </c>
      <c r="E316" s="89" t="str">
        <f ca="1">IFERROR(__xludf.DUMMYFUNCTION("""COMPUTED_VALUE"""),"Custodia, tutela, adopciones y acogimiento familiar")</f>
        <v>Custodia, tutela, adopciones y acogimiento familiar</v>
      </c>
      <c r="F316" s="89" t="str">
        <f ca="1">IFERROR(__xludf.DUMMYFUNCTION("""COMPUTED_VALUE"""),"A4C3. NNA integrados en familias.")</f>
        <v>A4C3. NNA integrados en familias.</v>
      </c>
      <c r="G316" s="89" t="str">
        <f ca="1">IFERROR(__xludf.DUMMYFUNCTION("""COMPUTED_VALUE"""),"Porcentaje de NNA integrados en familias, en 2023")</f>
        <v>Porcentaje de NNA integrados en familias, en 2023</v>
      </c>
      <c r="H316" s="89" t="str">
        <f ca="1">IFERROR(__xludf.DUMMYFUNCTION("""COMPUTED_VALUE"""),"AM ABRIL")</f>
        <v>AM ABRIL</v>
      </c>
      <c r="I316" s="89" t="str">
        <f ca="1">IFERROR(__xludf.DUMMYFUNCTION("""COMPUTED_VALUE"""),"Abril")</f>
        <v>Abril</v>
      </c>
      <c r="J316" s="89" t="str">
        <f ca="1">IFERROR(__xludf.DUMMYFUNCTION("""COMPUTED_VALUE"""),"AM")</f>
        <v>AM</v>
      </c>
      <c r="K316" s="92"/>
      <c r="L316" s="89" t="str">
        <f ca="1">IFERROR(__xludf.DUMMYFUNCTION("""COMPUTED_VALUE"""),"TRIMESTRE 2")</f>
        <v>TRIMESTRE 2</v>
      </c>
      <c r="M316" s="89" t="str">
        <f ca="1">IFERROR(__xludf.DUMMYFUNCTION("""COMPUTED_VALUE"""),"ADOLESCENTES MUJERES")</f>
        <v>ADOLESCENTES MUJERES</v>
      </c>
    </row>
    <row r="317" spans="1:13">
      <c r="A317" s="89" t="str">
        <f ca="1">IFERROR(__xludf.DUMMYFUNCTION("""COMPUTED_VALUE"""),"4.1.3.4")</f>
        <v>4.1.3.4</v>
      </c>
      <c r="B317" s="89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317" s="89" t="str">
        <f ca="1">IFERROR(__xludf.DUMMYFUNCTION("""COMPUTED_VALUE"""),"4. Programas")</f>
        <v>4. Programas</v>
      </c>
      <c r="D317" s="89" t="str">
        <f ca="1">IFERROR(__xludf.DUMMYFUNCTION("""COMPUTED_VALUE"""),"Guadalajara: Capital de las niñas y los niños")</f>
        <v>Guadalajara: Capital de las niñas y los niños</v>
      </c>
      <c r="E317" s="89" t="str">
        <f ca="1">IFERROR(__xludf.DUMMYFUNCTION("""COMPUTED_VALUE"""),"Custodia, tutela, adopciones y acogimiento familiar")</f>
        <v>Custodia, tutela, adopciones y acogimiento familiar</v>
      </c>
      <c r="F317" s="89" t="str">
        <f ca="1">IFERROR(__xludf.DUMMYFUNCTION("""COMPUTED_VALUE"""),"A4C3. NNA integrados en familias.")</f>
        <v>A4C3. NNA integrados en familias.</v>
      </c>
      <c r="G317" s="89" t="str">
        <f ca="1">IFERROR(__xludf.DUMMYFUNCTION("""COMPUTED_VALUE"""),"Porcentaje de NNA integrados en familias, en 2023")</f>
        <v>Porcentaje de NNA integrados en familias, en 2023</v>
      </c>
      <c r="H317" s="89" t="str">
        <f ca="1">IFERROR(__xludf.DUMMYFUNCTION("""COMPUTED_VALUE"""),"AH ABRIL")</f>
        <v>AH ABRIL</v>
      </c>
      <c r="I317" s="89" t="str">
        <f ca="1">IFERROR(__xludf.DUMMYFUNCTION("""COMPUTED_VALUE"""),"Abril")</f>
        <v>Abril</v>
      </c>
      <c r="J317" s="89" t="str">
        <f ca="1">IFERROR(__xludf.DUMMYFUNCTION("""COMPUTED_VALUE"""),"AH")</f>
        <v>AH</v>
      </c>
      <c r="K317" s="92"/>
      <c r="L317" s="89" t="str">
        <f ca="1">IFERROR(__xludf.DUMMYFUNCTION("""COMPUTED_VALUE"""),"TRIMESTRE 2")</f>
        <v>TRIMESTRE 2</v>
      </c>
      <c r="M317" s="89" t="str">
        <f ca="1">IFERROR(__xludf.DUMMYFUNCTION("""COMPUTED_VALUE"""),"ADOLESCENTES HOMBRES")</f>
        <v>ADOLESCENTES HOMBRES</v>
      </c>
    </row>
    <row r="318" spans="1:13">
      <c r="A318" s="89" t="str">
        <f ca="1">IFERROR(__xludf.DUMMYFUNCTION("""COMPUTED_VALUE"""),"4.1.3.4")</f>
        <v>4.1.3.4</v>
      </c>
      <c r="B318" s="89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318" s="89" t="str">
        <f ca="1">IFERROR(__xludf.DUMMYFUNCTION("""COMPUTED_VALUE"""),"4. Programas")</f>
        <v>4. Programas</v>
      </c>
      <c r="D318" s="89" t="str">
        <f ca="1">IFERROR(__xludf.DUMMYFUNCTION("""COMPUTED_VALUE"""),"Guadalajara: Capital de las niñas y los niños")</f>
        <v>Guadalajara: Capital de las niñas y los niños</v>
      </c>
      <c r="E318" s="89" t="str">
        <f ca="1">IFERROR(__xludf.DUMMYFUNCTION("""COMPUTED_VALUE"""),"Custodia, tutela, adopciones y acogimiento familiar")</f>
        <v>Custodia, tutela, adopciones y acogimiento familiar</v>
      </c>
      <c r="F318" s="89" t="str">
        <f ca="1">IFERROR(__xludf.DUMMYFUNCTION("""COMPUTED_VALUE"""),"A4C3. NNA integrados en familias.")</f>
        <v>A4C3. NNA integrados en familias.</v>
      </c>
      <c r="G318" s="89" t="str">
        <f ca="1">IFERROR(__xludf.DUMMYFUNCTION("""COMPUTED_VALUE"""),"Porcentaje de NNA integrados en familias, en 2023")</f>
        <v>Porcentaje de NNA integrados en familias, en 2023</v>
      </c>
      <c r="H318" s="89" t="str">
        <f ca="1">IFERROR(__xludf.DUMMYFUNCTION("""COMPUTED_VALUE"""),"MUJ Abril")</f>
        <v>MUJ Abril</v>
      </c>
      <c r="I318" s="89" t="str">
        <f ca="1">IFERROR(__xludf.DUMMYFUNCTION("""COMPUTED_VALUE"""),"Abril")</f>
        <v>Abril</v>
      </c>
      <c r="J318" s="89" t="str">
        <f ca="1">IFERROR(__xludf.DUMMYFUNCTION("""COMPUTED_VALUE"""),"MUJ")</f>
        <v>MUJ</v>
      </c>
      <c r="K318" s="92"/>
      <c r="L318" s="89" t="str">
        <f ca="1">IFERROR(__xludf.DUMMYFUNCTION("""COMPUTED_VALUE"""),"TRIMESTRE 2")</f>
        <v>TRIMESTRE 2</v>
      </c>
      <c r="M318" s="89" t="str">
        <f ca="1">IFERROR(__xludf.DUMMYFUNCTION("""COMPUTED_VALUE"""),"MUJERES ADULTAS")</f>
        <v>MUJERES ADULTAS</v>
      </c>
    </row>
    <row r="319" spans="1:13">
      <c r="A319" s="89" t="str">
        <f ca="1">IFERROR(__xludf.DUMMYFUNCTION("""COMPUTED_VALUE"""),"4.1.3.4")</f>
        <v>4.1.3.4</v>
      </c>
      <c r="B319" s="89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319" s="89" t="str">
        <f ca="1">IFERROR(__xludf.DUMMYFUNCTION("""COMPUTED_VALUE"""),"4. Programas")</f>
        <v>4. Programas</v>
      </c>
      <c r="D319" s="89" t="str">
        <f ca="1">IFERROR(__xludf.DUMMYFUNCTION("""COMPUTED_VALUE"""),"Guadalajara: Capital de las niñas y los niños")</f>
        <v>Guadalajara: Capital de las niñas y los niños</v>
      </c>
      <c r="E319" s="89" t="str">
        <f ca="1">IFERROR(__xludf.DUMMYFUNCTION("""COMPUTED_VALUE"""),"Custodia, tutela, adopciones y acogimiento familiar")</f>
        <v>Custodia, tutela, adopciones y acogimiento familiar</v>
      </c>
      <c r="F319" s="89" t="str">
        <f ca="1">IFERROR(__xludf.DUMMYFUNCTION("""COMPUTED_VALUE"""),"A4C3. NNA integrados en familias.")</f>
        <v>A4C3. NNA integrados en familias.</v>
      </c>
      <c r="G319" s="89" t="str">
        <f ca="1">IFERROR(__xludf.DUMMYFUNCTION("""COMPUTED_VALUE"""),"Porcentaje de NNA integrados en familias, en 2023")</f>
        <v>Porcentaje de NNA integrados en familias, en 2023</v>
      </c>
      <c r="H319" s="89" t="str">
        <f ca="1">IFERROR(__xludf.DUMMYFUNCTION("""COMPUTED_VALUE"""),"HOM Abril")</f>
        <v>HOM Abril</v>
      </c>
      <c r="I319" s="89" t="str">
        <f ca="1">IFERROR(__xludf.DUMMYFUNCTION("""COMPUTED_VALUE"""),"Abril")</f>
        <v>Abril</v>
      </c>
      <c r="J319" s="89" t="str">
        <f ca="1">IFERROR(__xludf.DUMMYFUNCTION("""COMPUTED_VALUE"""),"HOM")</f>
        <v>HOM</v>
      </c>
      <c r="K319" s="92"/>
      <c r="L319" s="89" t="str">
        <f ca="1">IFERROR(__xludf.DUMMYFUNCTION("""COMPUTED_VALUE"""),"TRIMESTRE 2")</f>
        <v>TRIMESTRE 2</v>
      </c>
      <c r="M319" s="89" t="str">
        <f ca="1">IFERROR(__xludf.DUMMYFUNCTION("""COMPUTED_VALUE"""),"HOMBRES ADULTOS")</f>
        <v>HOMBRES ADULTOS</v>
      </c>
    </row>
    <row r="320" spans="1:13">
      <c r="A320" s="89" t="str">
        <f ca="1">IFERROR(__xludf.DUMMYFUNCTION("""COMPUTED_VALUE"""),"4.1.3.4")</f>
        <v>4.1.3.4</v>
      </c>
      <c r="B320" s="89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320" s="89" t="str">
        <f ca="1">IFERROR(__xludf.DUMMYFUNCTION("""COMPUTED_VALUE"""),"4. Programas")</f>
        <v>4. Programas</v>
      </c>
      <c r="D320" s="89" t="str">
        <f ca="1">IFERROR(__xludf.DUMMYFUNCTION("""COMPUTED_VALUE"""),"Guadalajara: Capital de las niñas y los niños")</f>
        <v>Guadalajara: Capital de las niñas y los niños</v>
      </c>
      <c r="E320" s="89" t="str">
        <f ca="1">IFERROR(__xludf.DUMMYFUNCTION("""COMPUTED_VALUE"""),"Custodia, tutela, adopciones y acogimiento familiar")</f>
        <v>Custodia, tutela, adopciones y acogimiento familiar</v>
      </c>
      <c r="F320" s="89" t="str">
        <f ca="1">IFERROR(__xludf.DUMMYFUNCTION("""COMPUTED_VALUE"""),"A4C3. NNA integrados en familias.")</f>
        <v>A4C3. NNA integrados en familias.</v>
      </c>
      <c r="G320" s="89" t="str">
        <f ca="1">IFERROR(__xludf.DUMMYFUNCTION("""COMPUTED_VALUE"""),"Porcentaje de NNA integrados en familias, en 2023")</f>
        <v>Porcentaje de NNA integrados en familias, en 2023</v>
      </c>
      <c r="H320" s="89" t="str">
        <f ca="1">IFERROR(__xludf.DUMMYFUNCTION("""COMPUTED_VALUE"""),"AMM Abril")</f>
        <v>AMM Abril</v>
      </c>
      <c r="I320" s="89" t="str">
        <f ca="1">IFERROR(__xludf.DUMMYFUNCTION("""COMPUTED_VALUE"""),"Abril")</f>
        <v>Abril</v>
      </c>
      <c r="J320" s="89" t="str">
        <f ca="1">IFERROR(__xludf.DUMMYFUNCTION("""COMPUTED_VALUE"""),"AMM")</f>
        <v>AMM</v>
      </c>
      <c r="K320" s="92"/>
      <c r="L320" s="89" t="str">
        <f ca="1">IFERROR(__xludf.DUMMYFUNCTION("""COMPUTED_VALUE"""),"TRIMESTRE 2")</f>
        <v>TRIMESTRE 2</v>
      </c>
      <c r="M320" s="89" t="str">
        <f ca="1">IFERROR(__xludf.DUMMYFUNCTION("""COMPUTED_VALUE"""),"ADULTA MAYOR MUJER")</f>
        <v>ADULTA MAYOR MUJER</v>
      </c>
    </row>
    <row r="321" spans="1:13">
      <c r="A321" s="89" t="str">
        <f ca="1">IFERROR(__xludf.DUMMYFUNCTION("""COMPUTED_VALUE"""),"4.1.3.4")</f>
        <v>4.1.3.4</v>
      </c>
      <c r="B321" s="89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321" s="89" t="str">
        <f ca="1">IFERROR(__xludf.DUMMYFUNCTION("""COMPUTED_VALUE"""),"4. Programas")</f>
        <v>4. Programas</v>
      </c>
      <c r="D321" s="89" t="str">
        <f ca="1">IFERROR(__xludf.DUMMYFUNCTION("""COMPUTED_VALUE"""),"Guadalajara: Capital de las niñas y los niños")</f>
        <v>Guadalajara: Capital de las niñas y los niños</v>
      </c>
      <c r="E321" s="89" t="str">
        <f ca="1">IFERROR(__xludf.DUMMYFUNCTION("""COMPUTED_VALUE"""),"Custodia, tutela, adopciones y acogimiento familiar")</f>
        <v>Custodia, tutela, adopciones y acogimiento familiar</v>
      </c>
      <c r="F321" s="89" t="str">
        <f ca="1">IFERROR(__xludf.DUMMYFUNCTION("""COMPUTED_VALUE"""),"A4C3. NNA integrados en familias.")</f>
        <v>A4C3. NNA integrados en familias.</v>
      </c>
      <c r="G321" s="89" t="str">
        <f ca="1">IFERROR(__xludf.DUMMYFUNCTION("""COMPUTED_VALUE"""),"Porcentaje de NNA integrados en familias, en 2023")</f>
        <v>Porcentaje de NNA integrados en familias, en 2023</v>
      </c>
      <c r="H321" s="89" t="str">
        <f ca="1">IFERROR(__xludf.DUMMYFUNCTION("""COMPUTED_VALUE"""),"AMH Abril")</f>
        <v>AMH Abril</v>
      </c>
      <c r="I321" s="89" t="str">
        <f ca="1">IFERROR(__xludf.DUMMYFUNCTION("""COMPUTED_VALUE"""),"Abril")</f>
        <v>Abril</v>
      </c>
      <c r="J321" s="89" t="str">
        <f ca="1">IFERROR(__xludf.DUMMYFUNCTION("""COMPUTED_VALUE"""),"AMH")</f>
        <v>AMH</v>
      </c>
      <c r="K321" s="92"/>
      <c r="L321" s="89" t="str">
        <f ca="1">IFERROR(__xludf.DUMMYFUNCTION("""COMPUTED_VALUE"""),"TRIMESTRE 2")</f>
        <v>TRIMESTRE 2</v>
      </c>
      <c r="M321" s="89" t="str">
        <f ca="1">IFERROR(__xludf.DUMMYFUNCTION("""COMPUTED_VALUE"""),"ADULTO MAYOR HOMBRE")</f>
        <v>ADULTO MAYOR HOMBRE</v>
      </c>
    </row>
    <row r="322" spans="1:13">
      <c r="A322" s="89" t="str">
        <f ca="1">IFERROR(__xludf.DUMMYFUNCTION("""COMPUTED_VALUE"""),"4.1.3.0")</f>
        <v>4.1.3.0</v>
      </c>
      <c r="B322" s="89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322" s="89" t="str">
        <f ca="1">IFERROR(__xludf.DUMMYFUNCTION("""COMPUTED_VALUE"""),"4. Programas")</f>
        <v>4. Programas</v>
      </c>
      <c r="D322" s="89" t="str">
        <f ca="1">IFERROR(__xludf.DUMMYFUNCTION("""COMPUTED_VALUE"""),"Guadalajara: Capital de las niñas y los niños")</f>
        <v>Guadalajara: Capital de las niñas y los niños</v>
      </c>
      <c r="E322" s="89" t="str">
        <f ca="1">IFERROR(__xludf.DUMMYFUNCTION("""COMPUTED_VALUE"""),"Custodia, tutela, adopciones y acogimiento familiar")</f>
        <v>Custodia, tutela, adopciones y acogimiento familiar</v>
      </c>
      <c r="F322" s="89" t="str">
        <f ca="1">IFERROR(__xludf.DUMMYFUNCTION("""COMPUTED_VALUE"""),"C3. NNA del municipio de Guadalajara que recibieron servicios para la protección y restitución de sus derechos")</f>
        <v>C3. NNA del municipio de Guadalajara que recibieron servicios para la protección y restitución de sus derechos</v>
      </c>
      <c r="G322" s="89" t="str">
        <f ca="1">IFERROR(__xludf.DUMMYFUNCTION("""COMPUTED_VALUE"""),"Porcentaje de NNA con al menos un derecho protegido y/o restituido por la DIPNNA, en 2023")</f>
        <v>Porcentaje de NNA con al menos un derecho protegido y/o restituido por la DIPNNA, en 2023</v>
      </c>
      <c r="H322" s="89" t="str">
        <f ca="1">IFERROR(__xludf.DUMMYFUNCTION("""COMPUTED_VALUE"""),"NAS Mayo")</f>
        <v>NAS Mayo</v>
      </c>
      <c r="I322" s="89" t="str">
        <f ca="1">IFERROR(__xludf.DUMMYFUNCTION("""COMPUTED_VALUE"""),"Mayo")</f>
        <v>Mayo</v>
      </c>
      <c r="J322" s="89" t="str">
        <f ca="1">IFERROR(__xludf.DUMMYFUNCTION("""COMPUTED_VALUE"""),"NAS")</f>
        <v>NAS</v>
      </c>
      <c r="K322" s="92">
        <f ca="1">IFERROR(__xludf.DUMMYFUNCTION("""COMPUTED_VALUE"""),60)</f>
        <v>60</v>
      </c>
      <c r="L322" s="89" t="str">
        <f ca="1">IFERROR(__xludf.DUMMYFUNCTION("""COMPUTED_VALUE"""),"TRIMESTRE 2")</f>
        <v>TRIMESTRE 2</v>
      </c>
      <c r="M322" s="89" t="str">
        <f ca="1">IFERROR(__xludf.DUMMYFUNCTION("""COMPUTED_VALUE"""),"NIÑAS")</f>
        <v>NIÑAS</v>
      </c>
    </row>
    <row r="323" spans="1:13">
      <c r="A323" s="89" t="str">
        <f ca="1">IFERROR(__xludf.DUMMYFUNCTION("""COMPUTED_VALUE"""),"4.1.3.0")</f>
        <v>4.1.3.0</v>
      </c>
      <c r="B323" s="89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323" s="89" t="str">
        <f ca="1">IFERROR(__xludf.DUMMYFUNCTION("""COMPUTED_VALUE"""),"4. Programas")</f>
        <v>4. Programas</v>
      </c>
      <c r="D323" s="89" t="str">
        <f ca="1">IFERROR(__xludf.DUMMYFUNCTION("""COMPUTED_VALUE"""),"Guadalajara: Capital de las niñas y los niños")</f>
        <v>Guadalajara: Capital de las niñas y los niños</v>
      </c>
      <c r="E323" s="89" t="str">
        <f ca="1">IFERROR(__xludf.DUMMYFUNCTION("""COMPUTED_VALUE"""),"Custodia, tutela, adopciones y acogimiento familiar")</f>
        <v>Custodia, tutela, adopciones y acogimiento familiar</v>
      </c>
      <c r="F323" s="89" t="str">
        <f ca="1">IFERROR(__xludf.DUMMYFUNCTION("""COMPUTED_VALUE"""),"C3. NNA del municipio de Guadalajara que recibieron servicios para la protección y restitución de sus derechos")</f>
        <v>C3. NNA del municipio de Guadalajara que recibieron servicios para la protección y restitución de sus derechos</v>
      </c>
      <c r="G323" s="89" t="str">
        <f ca="1">IFERROR(__xludf.DUMMYFUNCTION("""COMPUTED_VALUE"""),"Porcentaje de NNA con al menos un derecho protegido y/o restituido por la DIPNNA, en 2023")</f>
        <v>Porcentaje de NNA con al menos un derecho protegido y/o restituido por la DIPNNA, en 2023</v>
      </c>
      <c r="H323" s="89" t="str">
        <f ca="1">IFERROR(__xludf.DUMMYFUNCTION("""COMPUTED_VALUE"""),"NOS Mayo")</f>
        <v>NOS Mayo</v>
      </c>
      <c r="I323" s="89" t="str">
        <f ca="1">IFERROR(__xludf.DUMMYFUNCTION("""COMPUTED_VALUE"""),"Mayo")</f>
        <v>Mayo</v>
      </c>
      <c r="J323" s="89" t="str">
        <f ca="1">IFERROR(__xludf.DUMMYFUNCTION("""COMPUTED_VALUE"""),"NOS")</f>
        <v>NOS</v>
      </c>
      <c r="K323" s="92">
        <f ca="1">IFERROR(__xludf.DUMMYFUNCTION("""COMPUTED_VALUE"""),50)</f>
        <v>50</v>
      </c>
      <c r="L323" s="89" t="str">
        <f ca="1">IFERROR(__xludf.DUMMYFUNCTION("""COMPUTED_VALUE"""),"TRIMESTRE 2")</f>
        <v>TRIMESTRE 2</v>
      </c>
      <c r="M323" s="89" t="str">
        <f ca="1">IFERROR(__xludf.DUMMYFUNCTION("""COMPUTED_VALUE"""),"NIÑOS")</f>
        <v>NIÑOS</v>
      </c>
    </row>
    <row r="324" spans="1:13">
      <c r="A324" s="89" t="str">
        <f ca="1">IFERROR(__xludf.DUMMYFUNCTION("""COMPUTED_VALUE"""),"4.1.3.0")</f>
        <v>4.1.3.0</v>
      </c>
      <c r="B324" s="89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324" s="89" t="str">
        <f ca="1">IFERROR(__xludf.DUMMYFUNCTION("""COMPUTED_VALUE"""),"4. Programas")</f>
        <v>4. Programas</v>
      </c>
      <c r="D324" s="89" t="str">
        <f ca="1">IFERROR(__xludf.DUMMYFUNCTION("""COMPUTED_VALUE"""),"Guadalajara: Capital de las niñas y los niños")</f>
        <v>Guadalajara: Capital de las niñas y los niños</v>
      </c>
      <c r="E324" s="89" t="str">
        <f ca="1">IFERROR(__xludf.DUMMYFUNCTION("""COMPUTED_VALUE"""),"Custodia, tutela, adopciones y acogimiento familiar")</f>
        <v>Custodia, tutela, adopciones y acogimiento familiar</v>
      </c>
      <c r="F324" s="89" t="str">
        <f ca="1">IFERROR(__xludf.DUMMYFUNCTION("""COMPUTED_VALUE"""),"C3. NNA del municipio de Guadalajara que recibieron servicios para la protección y restitución de sus derechos")</f>
        <v>C3. NNA del municipio de Guadalajara que recibieron servicios para la protección y restitución de sus derechos</v>
      </c>
      <c r="G324" s="89" t="str">
        <f ca="1">IFERROR(__xludf.DUMMYFUNCTION("""COMPUTED_VALUE"""),"Porcentaje de NNA con al menos un derecho protegido y/o restituido por la DIPNNA, en 2023")</f>
        <v>Porcentaje de NNA con al menos un derecho protegido y/o restituido por la DIPNNA, en 2023</v>
      </c>
      <c r="H324" s="89" t="str">
        <f ca="1">IFERROR(__xludf.DUMMYFUNCTION("""COMPUTED_VALUE"""),"AM MAYO")</f>
        <v>AM MAYO</v>
      </c>
      <c r="I324" s="89" t="str">
        <f ca="1">IFERROR(__xludf.DUMMYFUNCTION("""COMPUTED_VALUE"""),"Mayo")</f>
        <v>Mayo</v>
      </c>
      <c r="J324" s="89" t="str">
        <f ca="1">IFERROR(__xludf.DUMMYFUNCTION("""COMPUTED_VALUE"""),"AM")</f>
        <v>AM</v>
      </c>
      <c r="K324" s="92">
        <f ca="1">IFERROR(__xludf.DUMMYFUNCTION("""COMPUTED_VALUE"""),28)</f>
        <v>28</v>
      </c>
      <c r="L324" s="89" t="str">
        <f ca="1">IFERROR(__xludf.DUMMYFUNCTION("""COMPUTED_VALUE"""),"TRIMESTRE 2")</f>
        <v>TRIMESTRE 2</v>
      </c>
      <c r="M324" s="89" t="str">
        <f ca="1">IFERROR(__xludf.DUMMYFUNCTION("""COMPUTED_VALUE"""),"ADOLESCENTES MUJERES")</f>
        <v>ADOLESCENTES MUJERES</v>
      </c>
    </row>
    <row r="325" spans="1:13">
      <c r="A325" s="89" t="str">
        <f ca="1">IFERROR(__xludf.DUMMYFUNCTION("""COMPUTED_VALUE"""),"4.1.3.0")</f>
        <v>4.1.3.0</v>
      </c>
      <c r="B325" s="89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325" s="89" t="str">
        <f ca="1">IFERROR(__xludf.DUMMYFUNCTION("""COMPUTED_VALUE"""),"4. Programas")</f>
        <v>4. Programas</v>
      </c>
      <c r="D325" s="89" t="str">
        <f ca="1">IFERROR(__xludf.DUMMYFUNCTION("""COMPUTED_VALUE"""),"Guadalajara: Capital de las niñas y los niños")</f>
        <v>Guadalajara: Capital de las niñas y los niños</v>
      </c>
      <c r="E325" s="89" t="str">
        <f ca="1">IFERROR(__xludf.DUMMYFUNCTION("""COMPUTED_VALUE"""),"Custodia, tutela, adopciones y acogimiento familiar")</f>
        <v>Custodia, tutela, adopciones y acogimiento familiar</v>
      </c>
      <c r="F325" s="89" t="str">
        <f ca="1">IFERROR(__xludf.DUMMYFUNCTION("""COMPUTED_VALUE"""),"C3. NNA del municipio de Guadalajara que recibieron servicios para la protección y restitución de sus derechos")</f>
        <v>C3. NNA del municipio de Guadalajara que recibieron servicios para la protección y restitución de sus derechos</v>
      </c>
      <c r="G325" s="89" t="str">
        <f ca="1">IFERROR(__xludf.DUMMYFUNCTION("""COMPUTED_VALUE"""),"Porcentaje de NNA con al menos un derecho protegido y/o restituido por la DIPNNA, en 2023")</f>
        <v>Porcentaje de NNA con al menos un derecho protegido y/o restituido por la DIPNNA, en 2023</v>
      </c>
      <c r="H325" s="89" t="str">
        <f ca="1">IFERROR(__xludf.DUMMYFUNCTION("""COMPUTED_VALUE"""),"AH MAYO")</f>
        <v>AH MAYO</v>
      </c>
      <c r="I325" s="89" t="str">
        <f ca="1">IFERROR(__xludf.DUMMYFUNCTION("""COMPUTED_VALUE"""),"Mayo")</f>
        <v>Mayo</v>
      </c>
      <c r="J325" s="89" t="str">
        <f ca="1">IFERROR(__xludf.DUMMYFUNCTION("""COMPUTED_VALUE"""),"AH")</f>
        <v>AH</v>
      </c>
      <c r="K325" s="92">
        <f ca="1">IFERROR(__xludf.DUMMYFUNCTION("""COMPUTED_VALUE"""),15)</f>
        <v>15</v>
      </c>
      <c r="L325" s="89" t="str">
        <f ca="1">IFERROR(__xludf.DUMMYFUNCTION("""COMPUTED_VALUE"""),"TRIMESTRE 2")</f>
        <v>TRIMESTRE 2</v>
      </c>
      <c r="M325" s="89" t="str">
        <f ca="1">IFERROR(__xludf.DUMMYFUNCTION("""COMPUTED_VALUE"""),"ADOLESCENTES HOMBRES")</f>
        <v>ADOLESCENTES HOMBRES</v>
      </c>
    </row>
    <row r="326" spans="1:13">
      <c r="A326" s="89" t="str">
        <f ca="1">IFERROR(__xludf.DUMMYFUNCTION("""COMPUTED_VALUE"""),"4.1.3.0")</f>
        <v>4.1.3.0</v>
      </c>
      <c r="B326" s="89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326" s="89" t="str">
        <f ca="1">IFERROR(__xludf.DUMMYFUNCTION("""COMPUTED_VALUE"""),"4. Programas")</f>
        <v>4. Programas</v>
      </c>
      <c r="D326" s="89" t="str">
        <f ca="1">IFERROR(__xludf.DUMMYFUNCTION("""COMPUTED_VALUE"""),"Guadalajara: Capital de las niñas y los niños")</f>
        <v>Guadalajara: Capital de las niñas y los niños</v>
      </c>
      <c r="E326" s="89" t="str">
        <f ca="1">IFERROR(__xludf.DUMMYFUNCTION("""COMPUTED_VALUE"""),"Custodia, tutela, adopciones y acogimiento familiar")</f>
        <v>Custodia, tutela, adopciones y acogimiento familiar</v>
      </c>
      <c r="F326" s="89" t="str">
        <f ca="1">IFERROR(__xludf.DUMMYFUNCTION("""COMPUTED_VALUE"""),"C3. NNA del municipio de Guadalajara que recibieron servicios para la protección y restitución de sus derechos")</f>
        <v>C3. NNA del municipio de Guadalajara que recibieron servicios para la protección y restitución de sus derechos</v>
      </c>
      <c r="G326" s="89" t="str">
        <f ca="1">IFERROR(__xludf.DUMMYFUNCTION("""COMPUTED_VALUE"""),"Porcentaje de NNA con al menos un derecho protegido y/o restituido por la DIPNNA, en 2023")</f>
        <v>Porcentaje de NNA con al menos un derecho protegido y/o restituido por la DIPNNA, en 2023</v>
      </c>
      <c r="H326" s="89" t="str">
        <f ca="1">IFERROR(__xludf.DUMMYFUNCTION("""COMPUTED_VALUE"""),"MUJ Mayo")</f>
        <v>MUJ Mayo</v>
      </c>
      <c r="I326" s="89" t="str">
        <f ca="1">IFERROR(__xludf.DUMMYFUNCTION("""COMPUTED_VALUE"""),"Mayo")</f>
        <v>Mayo</v>
      </c>
      <c r="J326" s="89" t="str">
        <f ca="1">IFERROR(__xludf.DUMMYFUNCTION("""COMPUTED_VALUE"""),"MUJ")</f>
        <v>MUJ</v>
      </c>
      <c r="K326" s="92"/>
      <c r="L326" s="89" t="str">
        <f ca="1">IFERROR(__xludf.DUMMYFUNCTION("""COMPUTED_VALUE"""),"TRIMESTRE 2")</f>
        <v>TRIMESTRE 2</v>
      </c>
      <c r="M326" s="89" t="str">
        <f ca="1">IFERROR(__xludf.DUMMYFUNCTION("""COMPUTED_VALUE"""),"MUJERES ADULTAS")</f>
        <v>MUJERES ADULTAS</v>
      </c>
    </row>
    <row r="327" spans="1:13">
      <c r="A327" s="89" t="str">
        <f ca="1">IFERROR(__xludf.DUMMYFUNCTION("""COMPUTED_VALUE"""),"4.1.3.0")</f>
        <v>4.1.3.0</v>
      </c>
      <c r="B327" s="89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327" s="89" t="str">
        <f ca="1">IFERROR(__xludf.DUMMYFUNCTION("""COMPUTED_VALUE"""),"4. Programas")</f>
        <v>4. Programas</v>
      </c>
      <c r="D327" s="89" t="str">
        <f ca="1">IFERROR(__xludf.DUMMYFUNCTION("""COMPUTED_VALUE"""),"Guadalajara: Capital de las niñas y los niños")</f>
        <v>Guadalajara: Capital de las niñas y los niños</v>
      </c>
      <c r="E327" s="89" t="str">
        <f ca="1">IFERROR(__xludf.DUMMYFUNCTION("""COMPUTED_VALUE"""),"Custodia, tutela, adopciones y acogimiento familiar")</f>
        <v>Custodia, tutela, adopciones y acogimiento familiar</v>
      </c>
      <c r="F327" s="89" t="str">
        <f ca="1">IFERROR(__xludf.DUMMYFUNCTION("""COMPUTED_VALUE"""),"C3. NNA del municipio de Guadalajara que recibieron servicios para la protección y restitución de sus derechos")</f>
        <v>C3. NNA del municipio de Guadalajara que recibieron servicios para la protección y restitución de sus derechos</v>
      </c>
      <c r="G327" s="89" t="str">
        <f ca="1">IFERROR(__xludf.DUMMYFUNCTION("""COMPUTED_VALUE"""),"Porcentaje de NNA con al menos un derecho protegido y/o restituido por la DIPNNA, en 2023")</f>
        <v>Porcentaje de NNA con al menos un derecho protegido y/o restituido por la DIPNNA, en 2023</v>
      </c>
      <c r="H327" s="89" t="str">
        <f ca="1">IFERROR(__xludf.DUMMYFUNCTION("""COMPUTED_VALUE"""),"HOM Mayo")</f>
        <v>HOM Mayo</v>
      </c>
      <c r="I327" s="89" t="str">
        <f ca="1">IFERROR(__xludf.DUMMYFUNCTION("""COMPUTED_VALUE"""),"Mayo")</f>
        <v>Mayo</v>
      </c>
      <c r="J327" s="89" t="str">
        <f ca="1">IFERROR(__xludf.DUMMYFUNCTION("""COMPUTED_VALUE"""),"HOM")</f>
        <v>HOM</v>
      </c>
      <c r="K327" s="92"/>
      <c r="L327" s="89" t="str">
        <f ca="1">IFERROR(__xludf.DUMMYFUNCTION("""COMPUTED_VALUE"""),"TRIMESTRE 2")</f>
        <v>TRIMESTRE 2</v>
      </c>
      <c r="M327" s="89" t="str">
        <f ca="1">IFERROR(__xludf.DUMMYFUNCTION("""COMPUTED_VALUE"""),"HOMBRES ADULTOS")</f>
        <v>HOMBRES ADULTOS</v>
      </c>
    </row>
    <row r="328" spans="1:13">
      <c r="A328" s="89" t="str">
        <f ca="1">IFERROR(__xludf.DUMMYFUNCTION("""COMPUTED_VALUE"""),"4.1.3.0")</f>
        <v>4.1.3.0</v>
      </c>
      <c r="B328" s="89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328" s="89" t="str">
        <f ca="1">IFERROR(__xludf.DUMMYFUNCTION("""COMPUTED_VALUE"""),"4. Programas")</f>
        <v>4. Programas</v>
      </c>
      <c r="D328" s="89" t="str">
        <f ca="1">IFERROR(__xludf.DUMMYFUNCTION("""COMPUTED_VALUE"""),"Guadalajara: Capital de las niñas y los niños")</f>
        <v>Guadalajara: Capital de las niñas y los niños</v>
      </c>
      <c r="E328" s="89" t="str">
        <f ca="1">IFERROR(__xludf.DUMMYFUNCTION("""COMPUTED_VALUE"""),"Custodia, tutela, adopciones y acogimiento familiar")</f>
        <v>Custodia, tutela, adopciones y acogimiento familiar</v>
      </c>
      <c r="F328" s="89" t="str">
        <f ca="1">IFERROR(__xludf.DUMMYFUNCTION("""COMPUTED_VALUE"""),"C3. NNA del municipio de Guadalajara que recibieron servicios para la protección y restitución de sus derechos")</f>
        <v>C3. NNA del municipio de Guadalajara que recibieron servicios para la protección y restitución de sus derechos</v>
      </c>
      <c r="G328" s="89" t="str">
        <f ca="1">IFERROR(__xludf.DUMMYFUNCTION("""COMPUTED_VALUE"""),"Porcentaje de NNA con al menos un derecho protegido y/o restituido por la DIPNNA, en 2023")</f>
        <v>Porcentaje de NNA con al menos un derecho protegido y/o restituido por la DIPNNA, en 2023</v>
      </c>
      <c r="H328" s="89" t="str">
        <f ca="1">IFERROR(__xludf.DUMMYFUNCTION("""COMPUTED_VALUE"""),"AMM Mayo")</f>
        <v>AMM Mayo</v>
      </c>
      <c r="I328" s="89" t="str">
        <f ca="1">IFERROR(__xludf.DUMMYFUNCTION("""COMPUTED_VALUE"""),"Mayo")</f>
        <v>Mayo</v>
      </c>
      <c r="J328" s="89" t="str">
        <f ca="1">IFERROR(__xludf.DUMMYFUNCTION("""COMPUTED_VALUE"""),"AMM")</f>
        <v>AMM</v>
      </c>
      <c r="K328" s="92"/>
      <c r="L328" s="89" t="str">
        <f ca="1">IFERROR(__xludf.DUMMYFUNCTION("""COMPUTED_VALUE"""),"TRIMESTRE 2")</f>
        <v>TRIMESTRE 2</v>
      </c>
      <c r="M328" s="89" t="str">
        <f ca="1">IFERROR(__xludf.DUMMYFUNCTION("""COMPUTED_VALUE"""),"ADULTA MAYOR MUJER")</f>
        <v>ADULTA MAYOR MUJER</v>
      </c>
    </row>
    <row r="329" spans="1:13">
      <c r="A329" s="89" t="str">
        <f ca="1">IFERROR(__xludf.DUMMYFUNCTION("""COMPUTED_VALUE"""),"4.1.3.0")</f>
        <v>4.1.3.0</v>
      </c>
      <c r="B329" s="89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329" s="89" t="str">
        <f ca="1">IFERROR(__xludf.DUMMYFUNCTION("""COMPUTED_VALUE"""),"4. Programas")</f>
        <v>4. Programas</v>
      </c>
      <c r="D329" s="89" t="str">
        <f ca="1">IFERROR(__xludf.DUMMYFUNCTION("""COMPUTED_VALUE"""),"Guadalajara: Capital de las niñas y los niños")</f>
        <v>Guadalajara: Capital de las niñas y los niños</v>
      </c>
      <c r="E329" s="89" t="str">
        <f ca="1">IFERROR(__xludf.DUMMYFUNCTION("""COMPUTED_VALUE"""),"Custodia, tutela, adopciones y acogimiento familiar")</f>
        <v>Custodia, tutela, adopciones y acogimiento familiar</v>
      </c>
      <c r="F329" s="89" t="str">
        <f ca="1">IFERROR(__xludf.DUMMYFUNCTION("""COMPUTED_VALUE"""),"C3. NNA del municipio de Guadalajara que recibieron servicios para la protección y restitución de sus derechos")</f>
        <v>C3. NNA del municipio de Guadalajara que recibieron servicios para la protección y restitución de sus derechos</v>
      </c>
      <c r="G329" s="89" t="str">
        <f ca="1">IFERROR(__xludf.DUMMYFUNCTION("""COMPUTED_VALUE"""),"Porcentaje de NNA con al menos un derecho protegido y/o restituido por la DIPNNA, en 2023")</f>
        <v>Porcentaje de NNA con al menos un derecho protegido y/o restituido por la DIPNNA, en 2023</v>
      </c>
      <c r="H329" s="89" t="str">
        <f ca="1">IFERROR(__xludf.DUMMYFUNCTION("""COMPUTED_VALUE"""),"AMH Mayo")</f>
        <v>AMH Mayo</v>
      </c>
      <c r="I329" s="89" t="str">
        <f ca="1">IFERROR(__xludf.DUMMYFUNCTION("""COMPUTED_VALUE"""),"Mayo")</f>
        <v>Mayo</v>
      </c>
      <c r="J329" s="89" t="str">
        <f ca="1">IFERROR(__xludf.DUMMYFUNCTION("""COMPUTED_VALUE"""),"AMH")</f>
        <v>AMH</v>
      </c>
      <c r="K329" s="92"/>
      <c r="L329" s="89" t="str">
        <f ca="1">IFERROR(__xludf.DUMMYFUNCTION("""COMPUTED_VALUE"""),"TRIMESTRE 2")</f>
        <v>TRIMESTRE 2</v>
      </c>
      <c r="M329" s="89" t="str">
        <f ca="1">IFERROR(__xludf.DUMMYFUNCTION("""COMPUTED_VALUE"""),"ADULTO MAYOR HOMBRE")</f>
        <v>ADULTO MAYOR HOMBRE</v>
      </c>
    </row>
    <row r="330" spans="1:13">
      <c r="A330" s="89" t="str">
        <f ca="1">IFERROR(__xludf.DUMMYFUNCTION("""COMPUTED_VALUE"""),"4.1.3.1")</f>
        <v>4.1.3.1</v>
      </c>
      <c r="B330" s="89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330" s="89" t="str">
        <f ca="1">IFERROR(__xludf.DUMMYFUNCTION("""COMPUTED_VALUE"""),"4. Programas")</f>
        <v>4. Programas</v>
      </c>
      <c r="D330" s="89" t="str">
        <f ca="1">IFERROR(__xludf.DUMMYFUNCTION("""COMPUTED_VALUE"""),"Guadalajara: Capital de las niñas y los niños")</f>
        <v>Guadalajara: Capital de las niñas y los niños</v>
      </c>
      <c r="E330" s="89" t="str">
        <f ca="1">IFERROR(__xludf.DUMMYFUNCTION("""COMPUTED_VALUE"""),"Custodia, tutela, adopciones y acogimiento familiar")</f>
        <v>Custodia, tutela, adopciones y acogimiento familiar</v>
      </c>
      <c r="F330" s="89" t="str">
        <f ca="1">IFERROR(__xludf.DUMMYFUNCTION("""COMPUTED_VALUE"""),"A1C3, Nuevas medidas de protección dictadas atendidas")</f>
        <v>A1C3, Nuevas medidas de protección dictadas atendidas</v>
      </c>
      <c r="G330" s="89" t="str">
        <f ca="1">IFERROR(__xludf.DUMMYFUNCTION("""COMPUTED_VALUE"""),"Porcentaje de NNA a los que se les dio seguimientos en las nuevas medidas de protección dictadas en 2023")</f>
        <v>Porcentaje de NNA a los que se les dio seguimientos en las nuevas medidas de protección dictadas en 2023</v>
      </c>
      <c r="H330" s="89" t="str">
        <f ca="1">IFERROR(__xludf.DUMMYFUNCTION("""COMPUTED_VALUE"""),"NAS Mayo")</f>
        <v>NAS Mayo</v>
      </c>
      <c r="I330" s="89" t="str">
        <f ca="1">IFERROR(__xludf.DUMMYFUNCTION("""COMPUTED_VALUE"""),"Mayo")</f>
        <v>Mayo</v>
      </c>
      <c r="J330" s="89" t="str">
        <f ca="1">IFERROR(__xludf.DUMMYFUNCTION("""COMPUTED_VALUE"""),"NAS")</f>
        <v>NAS</v>
      </c>
      <c r="K330" s="92">
        <f ca="1">IFERROR(__xludf.DUMMYFUNCTION("""COMPUTED_VALUE"""),18)</f>
        <v>18</v>
      </c>
      <c r="L330" s="89" t="str">
        <f ca="1">IFERROR(__xludf.DUMMYFUNCTION("""COMPUTED_VALUE"""),"TRIMESTRE 2")</f>
        <v>TRIMESTRE 2</v>
      </c>
      <c r="M330" s="89" t="str">
        <f ca="1">IFERROR(__xludf.DUMMYFUNCTION("""COMPUTED_VALUE"""),"NIÑAS")</f>
        <v>NIÑAS</v>
      </c>
    </row>
    <row r="331" spans="1:13">
      <c r="A331" s="89" t="str">
        <f ca="1">IFERROR(__xludf.DUMMYFUNCTION("""COMPUTED_VALUE"""),"4.1.3.1")</f>
        <v>4.1.3.1</v>
      </c>
      <c r="B331" s="89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331" s="89" t="str">
        <f ca="1">IFERROR(__xludf.DUMMYFUNCTION("""COMPUTED_VALUE"""),"4. Programas")</f>
        <v>4. Programas</v>
      </c>
      <c r="D331" s="89" t="str">
        <f ca="1">IFERROR(__xludf.DUMMYFUNCTION("""COMPUTED_VALUE"""),"Guadalajara: Capital de las niñas y los niños")</f>
        <v>Guadalajara: Capital de las niñas y los niños</v>
      </c>
      <c r="E331" s="89" t="str">
        <f ca="1">IFERROR(__xludf.DUMMYFUNCTION("""COMPUTED_VALUE"""),"Custodia, tutela, adopciones y acogimiento familiar")</f>
        <v>Custodia, tutela, adopciones y acogimiento familiar</v>
      </c>
      <c r="F331" s="89" t="str">
        <f ca="1">IFERROR(__xludf.DUMMYFUNCTION("""COMPUTED_VALUE"""),"A1C3, Nuevas medidas de protección dictadas atendidas")</f>
        <v>A1C3, Nuevas medidas de protección dictadas atendidas</v>
      </c>
      <c r="G331" s="89" t="str">
        <f ca="1">IFERROR(__xludf.DUMMYFUNCTION("""COMPUTED_VALUE"""),"Porcentaje de NNA a los que se les dio seguimientos en las nuevas medidas de protección dictadas en 2023")</f>
        <v>Porcentaje de NNA a los que se les dio seguimientos en las nuevas medidas de protección dictadas en 2023</v>
      </c>
      <c r="H331" s="89" t="str">
        <f ca="1">IFERROR(__xludf.DUMMYFUNCTION("""COMPUTED_VALUE"""),"NOS Mayo")</f>
        <v>NOS Mayo</v>
      </c>
      <c r="I331" s="89" t="str">
        <f ca="1">IFERROR(__xludf.DUMMYFUNCTION("""COMPUTED_VALUE"""),"Mayo")</f>
        <v>Mayo</v>
      </c>
      <c r="J331" s="89" t="str">
        <f ca="1">IFERROR(__xludf.DUMMYFUNCTION("""COMPUTED_VALUE"""),"NOS")</f>
        <v>NOS</v>
      </c>
      <c r="K331" s="92">
        <f ca="1">IFERROR(__xludf.DUMMYFUNCTION("""COMPUTED_VALUE"""),15)</f>
        <v>15</v>
      </c>
      <c r="L331" s="89" t="str">
        <f ca="1">IFERROR(__xludf.DUMMYFUNCTION("""COMPUTED_VALUE"""),"TRIMESTRE 2")</f>
        <v>TRIMESTRE 2</v>
      </c>
      <c r="M331" s="89" t="str">
        <f ca="1">IFERROR(__xludf.DUMMYFUNCTION("""COMPUTED_VALUE"""),"NIÑOS")</f>
        <v>NIÑOS</v>
      </c>
    </row>
    <row r="332" spans="1:13">
      <c r="A332" s="89" t="str">
        <f ca="1">IFERROR(__xludf.DUMMYFUNCTION("""COMPUTED_VALUE"""),"4.1.3.1")</f>
        <v>4.1.3.1</v>
      </c>
      <c r="B332" s="89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332" s="89" t="str">
        <f ca="1">IFERROR(__xludf.DUMMYFUNCTION("""COMPUTED_VALUE"""),"4. Programas")</f>
        <v>4. Programas</v>
      </c>
      <c r="D332" s="89" t="str">
        <f ca="1">IFERROR(__xludf.DUMMYFUNCTION("""COMPUTED_VALUE"""),"Guadalajara: Capital de las niñas y los niños")</f>
        <v>Guadalajara: Capital de las niñas y los niños</v>
      </c>
      <c r="E332" s="89" t="str">
        <f ca="1">IFERROR(__xludf.DUMMYFUNCTION("""COMPUTED_VALUE"""),"Custodia, tutela, adopciones y acogimiento familiar")</f>
        <v>Custodia, tutela, adopciones y acogimiento familiar</v>
      </c>
      <c r="F332" s="89" t="str">
        <f ca="1">IFERROR(__xludf.DUMMYFUNCTION("""COMPUTED_VALUE"""),"A1C3, Nuevas medidas de protección dictadas atendidas")</f>
        <v>A1C3, Nuevas medidas de protección dictadas atendidas</v>
      </c>
      <c r="G332" s="89" t="str">
        <f ca="1">IFERROR(__xludf.DUMMYFUNCTION("""COMPUTED_VALUE"""),"Porcentaje de NNA a los que se les dio seguimientos en las nuevas medidas de protección dictadas en 2023")</f>
        <v>Porcentaje de NNA a los que se les dio seguimientos en las nuevas medidas de protección dictadas en 2023</v>
      </c>
      <c r="H332" s="89" t="str">
        <f ca="1">IFERROR(__xludf.DUMMYFUNCTION("""COMPUTED_VALUE"""),"AM MAYO")</f>
        <v>AM MAYO</v>
      </c>
      <c r="I332" s="89" t="str">
        <f ca="1">IFERROR(__xludf.DUMMYFUNCTION("""COMPUTED_VALUE"""),"Mayo")</f>
        <v>Mayo</v>
      </c>
      <c r="J332" s="89" t="str">
        <f ca="1">IFERROR(__xludf.DUMMYFUNCTION("""COMPUTED_VALUE"""),"AM")</f>
        <v>AM</v>
      </c>
      <c r="K332" s="92">
        <f ca="1">IFERROR(__xludf.DUMMYFUNCTION("""COMPUTED_VALUE"""),7)</f>
        <v>7</v>
      </c>
      <c r="L332" s="89" t="str">
        <f ca="1">IFERROR(__xludf.DUMMYFUNCTION("""COMPUTED_VALUE"""),"TRIMESTRE 2")</f>
        <v>TRIMESTRE 2</v>
      </c>
      <c r="M332" s="89" t="str">
        <f ca="1">IFERROR(__xludf.DUMMYFUNCTION("""COMPUTED_VALUE"""),"ADOLESCENTES MUJERES")</f>
        <v>ADOLESCENTES MUJERES</v>
      </c>
    </row>
    <row r="333" spans="1:13">
      <c r="A333" s="89" t="str">
        <f ca="1">IFERROR(__xludf.DUMMYFUNCTION("""COMPUTED_VALUE"""),"4.1.3.1")</f>
        <v>4.1.3.1</v>
      </c>
      <c r="B333" s="89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333" s="89" t="str">
        <f ca="1">IFERROR(__xludf.DUMMYFUNCTION("""COMPUTED_VALUE"""),"4. Programas")</f>
        <v>4. Programas</v>
      </c>
      <c r="D333" s="89" t="str">
        <f ca="1">IFERROR(__xludf.DUMMYFUNCTION("""COMPUTED_VALUE"""),"Guadalajara: Capital de las niñas y los niños")</f>
        <v>Guadalajara: Capital de las niñas y los niños</v>
      </c>
      <c r="E333" s="89" t="str">
        <f ca="1">IFERROR(__xludf.DUMMYFUNCTION("""COMPUTED_VALUE"""),"Custodia, tutela, adopciones y acogimiento familiar")</f>
        <v>Custodia, tutela, adopciones y acogimiento familiar</v>
      </c>
      <c r="F333" s="89" t="str">
        <f ca="1">IFERROR(__xludf.DUMMYFUNCTION("""COMPUTED_VALUE"""),"A1C3, Nuevas medidas de protección dictadas atendidas")</f>
        <v>A1C3, Nuevas medidas de protección dictadas atendidas</v>
      </c>
      <c r="G333" s="89" t="str">
        <f ca="1">IFERROR(__xludf.DUMMYFUNCTION("""COMPUTED_VALUE"""),"Porcentaje de NNA a los que se les dio seguimientos en las nuevas medidas de protección dictadas en 2023")</f>
        <v>Porcentaje de NNA a los que se les dio seguimientos en las nuevas medidas de protección dictadas en 2023</v>
      </c>
      <c r="H333" s="89" t="str">
        <f ca="1">IFERROR(__xludf.DUMMYFUNCTION("""COMPUTED_VALUE"""),"AH MAYO")</f>
        <v>AH MAYO</v>
      </c>
      <c r="I333" s="89" t="str">
        <f ca="1">IFERROR(__xludf.DUMMYFUNCTION("""COMPUTED_VALUE"""),"Mayo")</f>
        <v>Mayo</v>
      </c>
      <c r="J333" s="89" t="str">
        <f ca="1">IFERROR(__xludf.DUMMYFUNCTION("""COMPUTED_VALUE"""),"AH")</f>
        <v>AH</v>
      </c>
      <c r="K333" s="92">
        <f ca="1">IFERROR(__xludf.DUMMYFUNCTION("""COMPUTED_VALUE"""),12)</f>
        <v>12</v>
      </c>
      <c r="L333" s="89" t="str">
        <f ca="1">IFERROR(__xludf.DUMMYFUNCTION("""COMPUTED_VALUE"""),"TRIMESTRE 2")</f>
        <v>TRIMESTRE 2</v>
      </c>
      <c r="M333" s="89" t="str">
        <f ca="1">IFERROR(__xludf.DUMMYFUNCTION("""COMPUTED_VALUE"""),"ADOLESCENTES HOMBRES")</f>
        <v>ADOLESCENTES HOMBRES</v>
      </c>
    </row>
    <row r="334" spans="1:13">
      <c r="A334" s="89" t="str">
        <f ca="1">IFERROR(__xludf.DUMMYFUNCTION("""COMPUTED_VALUE"""),"4.1.3.1")</f>
        <v>4.1.3.1</v>
      </c>
      <c r="B334" s="89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334" s="89" t="str">
        <f ca="1">IFERROR(__xludf.DUMMYFUNCTION("""COMPUTED_VALUE"""),"4. Programas")</f>
        <v>4. Programas</v>
      </c>
      <c r="D334" s="89" t="str">
        <f ca="1">IFERROR(__xludf.DUMMYFUNCTION("""COMPUTED_VALUE"""),"Guadalajara: Capital de las niñas y los niños")</f>
        <v>Guadalajara: Capital de las niñas y los niños</v>
      </c>
      <c r="E334" s="89" t="str">
        <f ca="1">IFERROR(__xludf.DUMMYFUNCTION("""COMPUTED_VALUE"""),"Custodia, tutela, adopciones y acogimiento familiar")</f>
        <v>Custodia, tutela, adopciones y acogimiento familiar</v>
      </c>
      <c r="F334" s="89" t="str">
        <f ca="1">IFERROR(__xludf.DUMMYFUNCTION("""COMPUTED_VALUE"""),"A1C3, Nuevas medidas de protección dictadas atendidas")</f>
        <v>A1C3, Nuevas medidas de protección dictadas atendidas</v>
      </c>
      <c r="G334" s="89" t="str">
        <f ca="1">IFERROR(__xludf.DUMMYFUNCTION("""COMPUTED_VALUE"""),"Porcentaje de NNA a los que se les dio seguimientos en las nuevas medidas de protección dictadas en 2023")</f>
        <v>Porcentaje de NNA a los que se les dio seguimientos en las nuevas medidas de protección dictadas en 2023</v>
      </c>
      <c r="H334" s="89" t="str">
        <f ca="1">IFERROR(__xludf.DUMMYFUNCTION("""COMPUTED_VALUE"""),"MUJ Mayo")</f>
        <v>MUJ Mayo</v>
      </c>
      <c r="I334" s="89" t="str">
        <f ca="1">IFERROR(__xludf.DUMMYFUNCTION("""COMPUTED_VALUE"""),"Mayo")</f>
        <v>Mayo</v>
      </c>
      <c r="J334" s="89" t="str">
        <f ca="1">IFERROR(__xludf.DUMMYFUNCTION("""COMPUTED_VALUE"""),"MUJ")</f>
        <v>MUJ</v>
      </c>
      <c r="K334" s="92"/>
      <c r="L334" s="89" t="str">
        <f ca="1">IFERROR(__xludf.DUMMYFUNCTION("""COMPUTED_VALUE"""),"TRIMESTRE 2")</f>
        <v>TRIMESTRE 2</v>
      </c>
      <c r="M334" s="89" t="str">
        <f ca="1">IFERROR(__xludf.DUMMYFUNCTION("""COMPUTED_VALUE"""),"MUJERES ADULTAS")</f>
        <v>MUJERES ADULTAS</v>
      </c>
    </row>
    <row r="335" spans="1:13">
      <c r="A335" s="89" t="str">
        <f ca="1">IFERROR(__xludf.DUMMYFUNCTION("""COMPUTED_VALUE"""),"4.1.3.1")</f>
        <v>4.1.3.1</v>
      </c>
      <c r="B335" s="89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335" s="89" t="str">
        <f ca="1">IFERROR(__xludf.DUMMYFUNCTION("""COMPUTED_VALUE"""),"4. Programas")</f>
        <v>4. Programas</v>
      </c>
      <c r="D335" s="89" t="str">
        <f ca="1">IFERROR(__xludf.DUMMYFUNCTION("""COMPUTED_VALUE"""),"Guadalajara: Capital de las niñas y los niños")</f>
        <v>Guadalajara: Capital de las niñas y los niños</v>
      </c>
      <c r="E335" s="89" t="str">
        <f ca="1">IFERROR(__xludf.DUMMYFUNCTION("""COMPUTED_VALUE"""),"Custodia, tutela, adopciones y acogimiento familiar")</f>
        <v>Custodia, tutela, adopciones y acogimiento familiar</v>
      </c>
      <c r="F335" s="89" t="str">
        <f ca="1">IFERROR(__xludf.DUMMYFUNCTION("""COMPUTED_VALUE"""),"A1C3, Nuevas medidas de protección dictadas atendidas")</f>
        <v>A1C3, Nuevas medidas de protección dictadas atendidas</v>
      </c>
      <c r="G335" s="89" t="str">
        <f ca="1">IFERROR(__xludf.DUMMYFUNCTION("""COMPUTED_VALUE"""),"Porcentaje de NNA a los que se les dio seguimientos en las nuevas medidas de protección dictadas en 2023")</f>
        <v>Porcentaje de NNA a los que se les dio seguimientos en las nuevas medidas de protección dictadas en 2023</v>
      </c>
      <c r="H335" s="89" t="str">
        <f ca="1">IFERROR(__xludf.DUMMYFUNCTION("""COMPUTED_VALUE"""),"HOM Mayo")</f>
        <v>HOM Mayo</v>
      </c>
      <c r="I335" s="89" t="str">
        <f ca="1">IFERROR(__xludf.DUMMYFUNCTION("""COMPUTED_VALUE"""),"Mayo")</f>
        <v>Mayo</v>
      </c>
      <c r="J335" s="89" t="str">
        <f ca="1">IFERROR(__xludf.DUMMYFUNCTION("""COMPUTED_VALUE"""),"HOM")</f>
        <v>HOM</v>
      </c>
      <c r="K335" s="92"/>
      <c r="L335" s="89" t="str">
        <f ca="1">IFERROR(__xludf.DUMMYFUNCTION("""COMPUTED_VALUE"""),"TRIMESTRE 2")</f>
        <v>TRIMESTRE 2</v>
      </c>
      <c r="M335" s="89" t="str">
        <f ca="1">IFERROR(__xludf.DUMMYFUNCTION("""COMPUTED_VALUE"""),"HOMBRES ADULTOS")</f>
        <v>HOMBRES ADULTOS</v>
      </c>
    </row>
    <row r="336" spans="1:13">
      <c r="A336" s="89" t="str">
        <f ca="1">IFERROR(__xludf.DUMMYFUNCTION("""COMPUTED_VALUE"""),"4.1.3.1")</f>
        <v>4.1.3.1</v>
      </c>
      <c r="B336" s="89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336" s="89" t="str">
        <f ca="1">IFERROR(__xludf.DUMMYFUNCTION("""COMPUTED_VALUE"""),"4. Programas")</f>
        <v>4. Programas</v>
      </c>
      <c r="D336" s="89" t="str">
        <f ca="1">IFERROR(__xludf.DUMMYFUNCTION("""COMPUTED_VALUE"""),"Guadalajara: Capital de las niñas y los niños")</f>
        <v>Guadalajara: Capital de las niñas y los niños</v>
      </c>
      <c r="E336" s="89" t="str">
        <f ca="1">IFERROR(__xludf.DUMMYFUNCTION("""COMPUTED_VALUE"""),"Custodia, tutela, adopciones y acogimiento familiar")</f>
        <v>Custodia, tutela, adopciones y acogimiento familiar</v>
      </c>
      <c r="F336" s="89" t="str">
        <f ca="1">IFERROR(__xludf.DUMMYFUNCTION("""COMPUTED_VALUE"""),"A1C3, Nuevas medidas de protección dictadas atendidas")</f>
        <v>A1C3, Nuevas medidas de protección dictadas atendidas</v>
      </c>
      <c r="G336" s="89" t="str">
        <f ca="1">IFERROR(__xludf.DUMMYFUNCTION("""COMPUTED_VALUE"""),"Porcentaje de NNA a los que se les dio seguimientos en las nuevas medidas de protección dictadas en 2023")</f>
        <v>Porcentaje de NNA a los que se les dio seguimientos en las nuevas medidas de protección dictadas en 2023</v>
      </c>
      <c r="H336" s="89" t="str">
        <f ca="1">IFERROR(__xludf.DUMMYFUNCTION("""COMPUTED_VALUE"""),"AMM Mayo")</f>
        <v>AMM Mayo</v>
      </c>
      <c r="I336" s="89" t="str">
        <f ca="1">IFERROR(__xludf.DUMMYFUNCTION("""COMPUTED_VALUE"""),"Mayo")</f>
        <v>Mayo</v>
      </c>
      <c r="J336" s="89" t="str">
        <f ca="1">IFERROR(__xludf.DUMMYFUNCTION("""COMPUTED_VALUE"""),"AMM")</f>
        <v>AMM</v>
      </c>
      <c r="K336" s="92"/>
      <c r="L336" s="89" t="str">
        <f ca="1">IFERROR(__xludf.DUMMYFUNCTION("""COMPUTED_VALUE"""),"TRIMESTRE 2")</f>
        <v>TRIMESTRE 2</v>
      </c>
      <c r="M336" s="89" t="str">
        <f ca="1">IFERROR(__xludf.DUMMYFUNCTION("""COMPUTED_VALUE"""),"ADULTA MAYOR MUJER")</f>
        <v>ADULTA MAYOR MUJER</v>
      </c>
    </row>
    <row r="337" spans="1:13">
      <c r="A337" s="89" t="str">
        <f ca="1">IFERROR(__xludf.DUMMYFUNCTION("""COMPUTED_VALUE"""),"4.1.3.1")</f>
        <v>4.1.3.1</v>
      </c>
      <c r="B337" s="89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337" s="89" t="str">
        <f ca="1">IFERROR(__xludf.DUMMYFUNCTION("""COMPUTED_VALUE"""),"4. Programas")</f>
        <v>4. Programas</v>
      </c>
      <c r="D337" s="89" t="str">
        <f ca="1">IFERROR(__xludf.DUMMYFUNCTION("""COMPUTED_VALUE"""),"Guadalajara: Capital de las niñas y los niños")</f>
        <v>Guadalajara: Capital de las niñas y los niños</v>
      </c>
      <c r="E337" s="89" t="str">
        <f ca="1">IFERROR(__xludf.DUMMYFUNCTION("""COMPUTED_VALUE"""),"Custodia, tutela, adopciones y acogimiento familiar")</f>
        <v>Custodia, tutela, adopciones y acogimiento familiar</v>
      </c>
      <c r="F337" s="89" t="str">
        <f ca="1">IFERROR(__xludf.DUMMYFUNCTION("""COMPUTED_VALUE"""),"A1C3, Nuevas medidas de protección dictadas atendidas")</f>
        <v>A1C3, Nuevas medidas de protección dictadas atendidas</v>
      </c>
      <c r="G337" s="89" t="str">
        <f ca="1">IFERROR(__xludf.DUMMYFUNCTION("""COMPUTED_VALUE"""),"Porcentaje de NNA a los que se les dio seguimientos en las nuevas medidas de protección dictadas en 2023")</f>
        <v>Porcentaje de NNA a los que se les dio seguimientos en las nuevas medidas de protección dictadas en 2023</v>
      </c>
      <c r="H337" s="89" t="str">
        <f ca="1">IFERROR(__xludf.DUMMYFUNCTION("""COMPUTED_VALUE"""),"AMH Mayo")</f>
        <v>AMH Mayo</v>
      </c>
      <c r="I337" s="89" t="str">
        <f ca="1">IFERROR(__xludf.DUMMYFUNCTION("""COMPUTED_VALUE"""),"Mayo")</f>
        <v>Mayo</v>
      </c>
      <c r="J337" s="89" t="str">
        <f ca="1">IFERROR(__xludf.DUMMYFUNCTION("""COMPUTED_VALUE"""),"AMH")</f>
        <v>AMH</v>
      </c>
      <c r="K337" s="92"/>
      <c r="L337" s="89" t="str">
        <f ca="1">IFERROR(__xludf.DUMMYFUNCTION("""COMPUTED_VALUE"""),"TRIMESTRE 2")</f>
        <v>TRIMESTRE 2</v>
      </c>
      <c r="M337" s="89" t="str">
        <f ca="1">IFERROR(__xludf.DUMMYFUNCTION("""COMPUTED_VALUE"""),"ADULTO MAYOR HOMBRE")</f>
        <v>ADULTO MAYOR HOMBRE</v>
      </c>
    </row>
    <row r="338" spans="1:13">
      <c r="A338" s="89" t="str">
        <f ca="1">IFERROR(__xludf.DUMMYFUNCTION("""COMPUTED_VALUE"""),"4.1.3.2")</f>
        <v>4.1.3.2</v>
      </c>
      <c r="B338" s="89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338" s="89" t="str">
        <f ca="1">IFERROR(__xludf.DUMMYFUNCTION("""COMPUTED_VALUE"""),"4. Programas")</f>
        <v>4. Programas</v>
      </c>
      <c r="D338" s="89" t="str">
        <f ca="1">IFERROR(__xludf.DUMMYFUNCTION("""COMPUTED_VALUE"""),"Guadalajara: Capital de las niñas y los niños")</f>
        <v>Guadalajara: Capital de las niñas y los niños</v>
      </c>
      <c r="E338" s="89" t="str">
        <f ca="1">IFERROR(__xludf.DUMMYFUNCTION("""COMPUTED_VALUE"""),"Custodia, tutela, adopciones y acogimiento familiar")</f>
        <v>Custodia, tutela, adopciones y acogimiento familiar</v>
      </c>
      <c r="F338" s="89" t="str">
        <f ca="1">IFERROR(__xludf.DUMMYFUNCTION("""COMPUTED_VALUE"""),"A2C3. Medidas de protección dictadas que se les dio seguimiento")</f>
        <v>A2C3. Medidas de protección dictadas que se les dio seguimiento</v>
      </c>
      <c r="G338" s="89" t="str">
        <f ca="1">IFERROR(__xludf.DUMMYFUNCTION("""COMPUTED_VALUE"""),"Porcentaje de NNA a los que se les dio seguimientos en las medidas de protección dictadas, en 2023")</f>
        <v>Porcentaje de NNA a los que se les dio seguimientos en las medidas de protección dictadas, en 2023</v>
      </c>
      <c r="H338" s="89" t="str">
        <f ca="1">IFERROR(__xludf.DUMMYFUNCTION("""COMPUTED_VALUE"""),"NAS Mayo")</f>
        <v>NAS Mayo</v>
      </c>
      <c r="I338" s="89" t="str">
        <f ca="1">IFERROR(__xludf.DUMMYFUNCTION("""COMPUTED_VALUE"""),"Mayo")</f>
        <v>Mayo</v>
      </c>
      <c r="J338" s="89" t="str">
        <f ca="1">IFERROR(__xludf.DUMMYFUNCTION("""COMPUTED_VALUE"""),"NAS")</f>
        <v>NAS</v>
      </c>
      <c r="K338" s="92">
        <f ca="1">IFERROR(__xludf.DUMMYFUNCTION("""COMPUTED_VALUE"""),37)</f>
        <v>37</v>
      </c>
      <c r="L338" s="89" t="str">
        <f ca="1">IFERROR(__xludf.DUMMYFUNCTION("""COMPUTED_VALUE"""),"TRIMESTRE 2")</f>
        <v>TRIMESTRE 2</v>
      </c>
      <c r="M338" s="89" t="str">
        <f ca="1">IFERROR(__xludf.DUMMYFUNCTION("""COMPUTED_VALUE"""),"NIÑAS")</f>
        <v>NIÑAS</v>
      </c>
    </row>
    <row r="339" spans="1:13">
      <c r="A339" s="89" t="str">
        <f ca="1">IFERROR(__xludf.DUMMYFUNCTION("""COMPUTED_VALUE"""),"4.1.3.2")</f>
        <v>4.1.3.2</v>
      </c>
      <c r="B339" s="89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339" s="89" t="str">
        <f ca="1">IFERROR(__xludf.DUMMYFUNCTION("""COMPUTED_VALUE"""),"4. Programas")</f>
        <v>4. Programas</v>
      </c>
      <c r="D339" s="89" t="str">
        <f ca="1">IFERROR(__xludf.DUMMYFUNCTION("""COMPUTED_VALUE"""),"Guadalajara: Capital de las niñas y los niños")</f>
        <v>Guadalajara: Capital de las niñas y los niños</v>
      </c>
      <c r="E339" s="89" t="str">
        <f ca="1">IFERROR(__xludf.DUMMYFUNCTION("""COMPUTED_VALUE"""),"Custodia, tutela, adopciones y acogimiento familiar")</f>
        <v>Custodia, tutela, adopciones y acogimiento familiar</v>
      </c>
      <c r="F339" s="89" t="str">
        <f ca="1">IFERROR(__xludf.DUMMYFUNCTION("""COMPUTED_VALUE"""),"A2C3. Medidas de protección dictadas que se les dio seguimiento")</f>
        <v>A2C3. Medidas de protección dictadas que se les dio seguimiento</v>
      </c>
      <c r="G339" s="89" t="str">
        <f ca="1">IFERROR(__xludf.DUMMYFUNCTION("""COMPUTED_VALUE"""),"Porcentaje de NNA a los que se les dio seguimientos en las medidas de protección dictadas, en 2023")</f>
        <v>Porcentaje de NNA a los que se les dio seguimientos en las medidas de protección dictadas, en 2023</v>
      </c>
      <c r="H339" s="89" t="str">
        <f ca="1">IFERROR(__xludf.DUMMYFUNCTION("""COMPUTED_VALUE"""),"NOS Mayo")</f>
        <v>NOS Mayo</v>
      </c>
      <c r="I339" s="89" t="str">
        <f ca="1">IFERROR(__xludf.DUMMYFUNCTION("""COMPUTED_VALUE"""),"Mayo")</f>
        <v>Mayo</v>
      </c>
      <c r="J339" s="89" t="str">
        <f ca="1">IFERROR(__xludf.DUMMYFUNCTION("""COMPUTED_VALUE"""),"NOS")</f>
        <v>NOS</v>
      </c>
      <c r="K339" s="92">
        <f ca="1">IFERROR(__xludf.DUMMYFUNCTION("""COMPUTED_VALUE"""),36)</f>
        <v>36</v>
      </c>
      <c r="L339" s="89" t="str">
        <f ca="1">IFERROR(__xludf.DUMMYFUNCTION("""COMPUTED_VALUE"""),"TRIMESTRE 2")</f>
        <v>TRIMESTRE 2</v>
      </c>
      <c r="M339" s="89" t="str">
        <f ca="1">IFERROR(__xludf.DUMMYFUNCTION("""COMPUTED_VALUE"""),"NIÑOS")</f>
        <v>NIÑOS</v>
      </c>
    </row>
    <row r="340" spans="1:13">
      <c r="A340" s="89" t="str">
        <f ca="1">IFERROR(__xludf.DUMMYFUNCTION("""COMPUTED_VALUE"""),"4.1.3.2")</f>
        <v>4.1.3.2</v>
      </c>
      <c r="B340" s="89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340" s="89" t="str">
        <f ca="1">IFERROR(__xludf.DUMMYFUNCTION("""COMPUTED_VALUE"""),"4. Programas")</f>
        <v>4. Programas</v>
      </c>
      <c r="D340" s="89" t="str">
        <f ca="1">IFERROR(__xludf.DUMMYFUNCTION("""COMPUTED_VALUE"""),"Guadalajara: Capital de las niñas y los niños")</f>
        <v>Guadalajara: Capital de las niñas y los niños</v>
      </c>
      <c r="E340" s="89" t="str">
        <f ca="1">IFERROR(__xludf.DUMMYFUNCTION("""COMPUTED_VALUE"""),"Custodia, tutela, adopciones y acogimiento familiar")</f>
        <v>Custodia, tutela, adopciones y acogimiento familiar</v>
      </c>
      <c r="F340" s="89" t="str">
        <f ca="1">IFERROR(__xludf.DUMMYFUNCTION("""COMPUTED_VALUE"""),"A2C3. Medidas de protección dictadas que se les dio seguimiento")</f>
        <v>A2C3. Medidas de protección dictadas que se les dio seguimiento</v>
      </c>
      <c r="G340" s="89" t="str">
        <f ca="1">IFERROR(__xludf.DUMMYFUNCTION("""COMPUTED_VALUE"""),"Porcentaje de NNA a los que se les dio seguimientos en las medidas de protección dictadas, en 2023")</f>
        <v>Porcentaje de NNA a los que se les dio seguimientos en las medidas de protección dictadas, en 2023</v>
      </c>
      <c r="H340" s="89" t="str">
        <f ca="1">IFERROR(__xludf.DUMMYFUNCTION("""COMPUTED_VALUE"""),"AM MAYO")</f>
        <v>AM MAYO</v>
      </c>
      <c r="I340" s="89" t="str">
        <f ca="1">IFERROR(__xludf.DUMMYFUNCTION("""COMPUTED_VALUE"""),"Mayo")</f>
        <v>Mayo</v>
      </c>
      <c r="J340" s="89" t="str">
        <f ca="1">IFERROR(__xludf.DUMMYFUNCTION("""COMPUTED_VALUE"""),"AM")</f>
        <v>AM</v>
      </c>
      <c r="K340" s="92">
        <f ca="1">IFERROR(__xludf.DUMMYFUNCTION("""COMPUTED_VALUE"""),2)</f>
        <v>2</v>
      </c>
      <c r="L340" s="89" t="str">
        <f ca="1">IFERROR(__xludf.DUMMYFUNCTION("""COMPUTED_VALUE"""),"TRIMESTRE 2")</f>
        <v>TRIMESTRE 2</v>
      </c>
      <c r="M340" s="89" t="str">
        <f ca="1">IFERROR(__xludf.DUMMYFUNCTION("""COMPUTED_VALUE"""),"ADOLESCENTES MUJERES")</f>
        <v>ADOLESCENTES MUJERES</v>
      </c>
    </row>
    <row r="341" spans="1:13">
      <c r="A341" s="89" t="str">
        <f ca="1">IFERROR(__xludf.DUMMYFUNCTION("""COMPUTED_VALUE"""),"4.1.3.2")</f>
        <v>4.1.3.2</v>
      </c>
      <c r="B341" s="89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341" s="89" t="str">
        <f ca="1">IFERROR(__xludf.DUMMYFUNCTION("""COMPUTED_VALUE"""),"4. Programas")</f>
        <v>4. Programas</v>
      </c>
      <c r="D341" s="89" t="str">
        <f ca="1">IFERROR(__xludf.DUMMYFUNCTION("""COMPUTED_VALUE"""),"Guadalajara: Capital de las niñas y los niños")</f>
        <v>Guadalajara: Capital de las niñas y los niños</v>
      </c>
      <c r="E341" s="89" t="str">
        <f ca="1">IFERROR(__xludf.DUMMYFUNCTION("""COMPUTED_VALUE"""),"Custodia, tutela, adopciones y acogimiento familiar")</f>
        <v>Custodia, tutela, adopciones y acogimiento familiar</v>
      </c>
      <c r="F341" s="89" t="str">
        <f ca="1">IFERROR(__xludf.DUMMYFUNCTION("""COMPUTED_VALUE"""),"A2C3. Medidas de protección dictadas que se les dio seguimiento")</f>
        <v>A2C3. Medidas de protección dictadas que se les dio seguimiento</v>
      </c>
      <c r="G341" s="89" t="str">
        <f ca="1">IFERROR(__xludf.DUMMYFUNCTION("""COMPUTED_VALUE"""),"Porcentaje de NNA a los que se les dio seguimientos en las medidas de protección dictadas, en 2023")</f>
        <v>Porcentaje de NNA a los que se les dio seguimientos en las medidas de protección dictadas, en 2023</v>
      </c>
      <c r="H341" s="89" t="str">
        <f ca="1">IFERROR(__xludf.DUMMYFUNCTION("""COMPUTED_VALUE"""),"AH MAYO")</f>
        <v>AH MAYO</v>
      </c>
      <c r="I341" s="89" t="str">
        <f ca="1">IFERROR(__xludf.DUMMYFUNCTION("""COMPUTED_VALUE"""),"Mayo")</f>
        <v>Mayo</v>
      </c>
      <c r="J341" s="89" t="str">
        <f ca="1">IFERROR(__xludf.DUMMYFUNCTION("""COMPUTED_VALUE"""),"AH")</f>
        <v>AH</v>
      </c>
      <c r="K341" s="92">
        <f ca="1">IFERROR(__xludf.DUMMYFUNCTION("""COMPUTED_VALUE"""),6)</f>
        <v>6</v>
      </c>
      <c r="L341" s="89" t="str">
        <f ca="1">IFERROR(__xludf.DUMMYFUNCTION("""COMPUTED_VALUE"""),"TRIMESTRE 2")</f>
        <v>TRIMESTRE 2</v>
      </c>
      <c r="M341" s="89" t="str">
        <f ca="1">IFERROR(__xludf.DUMMYFUNCTION("""COMPUTED_VALUE"""),"ADOLESCENTES HOMBRES")</f>
        <v>ADOLESCENTES HOMBRES</v>
      </c>
    </row>
    <row r="342" spans="1:13">
      <c r="A342" s="89" t="str">
        <f ca="1">IFERROR(__xludf.DUMMYFUNCTION("""COMPUTED_VALUE"""),"4.1.3.2")</f>
        <v>4.1.3.2</v>
      </c>
      <c r="B342" s="89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342" s="89" t="str">
        <f ca="1">IFERROR(__xludf.DUMMYFUNCTION("""COMPUTED_VALUE"""),"4. Programas")</f>
        <v>4. Programas</v>
      </c>
      <c r="D342" s="89" t="str">
        <f ca="1">IFERROR(__xludf.DUMMYFUNCTION("""COMPUTED_VALUE"""),"Guadalajara: Capital de las niñas y los niños")</f>
        <v>Guadalajara: Capital de las niñas y los niños</v>
      </c>
      <c r="E342" s="89" t="str">
        <f ca="1">IFERROR(__xludf.DUMMYFUNCTION("""COMPUTED_VALUE"""),"Custodia, tutela, adopciones y acogimiento familiar")</f>
        <v>Custodia, tutela, adopciones y acogimiento familiar</v>
      </c>
      <c r="F342" s="89" t="str">
        <f ca="1">IFERROR(__xludf.DUMMYFUNCTION("""COMPUTED_VALUE"""),"A2C3. Medidas de protección dictadas que se les dio seguimiento")</f>
        <v>A2C3. Medidas de protección dictadas que se les dio seguimiento</v>
      </c>
      <c r="G342" s="89" t="str">
        <f ca="1">IFERROR(__xludf.DUMMYFUNCTION("""COMPUTED_VALUE"""),"Porcentaje de NNA a los que se les dio seguimientos en las medidas de protección dictadas, en 2023")</f>
        <v>Porcentaje de NNA a los que se les dio seguimientos en las medidas de protección dictadas, en 2023</v>
      </c>
      <c r="H342" s="89" t="str">
        <f ca="1">IFERROR(__xludf.DUMMYFUNCTION("""COMPUTED_VALUE"""),"MUJ Mayo")</f>
        <v>MUJ Mayo</v>
      </c>
      <c r="I342" s="89" t="str">
        <f ca="1">IFERROR(__xludf.DUMMYFUNCTION("""COMPUTED_VALUE"""),"Mayo")</f>
        <v>Mayo</v>
      </c>
      <c r="J342" s="89" t="str">
        <f ca="1">IFERROR(__xludf.DUMMYFUNCTION("""COMPUTED_VALUE"""),"MUJ")</f>
        <v>MUJ</v>
      </c>
      <c r="K342" s="92"/>
      <c r="L342" s="89" t="str">
        <f ca="1">IFERROR(__xludf.DUMMYFUNCTION("""COMPUTED_VALUE"""),"TRIMESTRE 2")</f>
        <v>TRIMESTRE 2</v>
      </c>
      <c r="M342" s="89" t="str">
        <f ca="1">IFERROR(__xludf.DUMMYFUNCTION("""COMPUTED_VALUE"""),"MUJERES ADULTAS")</f>
        <v>MUJERES ADULTAS</v>
      </c>
    </row>
    <row r="343" spans="1:13">
      <c r="A343" s="89" t="str">
        <f ca="1">IFERROR(__xludf.DUMMYFUNCTION("""COMPUTED_VALUE"""),"4.1.3.2")</f>
        <v>4.1.3.2</v>
      </c>
      <c r="B343" s="89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343" s="89" t="str">
        <f ca="1">IFERROR(__xludf.DUMMYFUNCTION("""COMPUTED_VALUE"""),"4. Programas")</f>
        <v>4. Programas</v>
      </c>
      <c r="D343" s="89" t="str">
        <f ca="1">IFERROR(__xludf.DUMMYFUNCTION("""COMPUTED_VALUE"""),"Guadalajara: Capital de las niñas y los niños")</f>
        <v>Guadalajara: Capital de las niñas y los niños</v>
      </c>
      <c r="E343" s="89" t="str">
        <f ca="1">IFERROR(__xludf.DUMMYFUNCTION("""COMPUTED_VALUE"""),"Custodia, tutela, adopciones y acogimiento familiar")</f>
        <v>Custodia, tutela, adopciones y acogimiento familiar</v>
      </c>
      <c r="F343" s="89" t="str">
        <f ca="1">IFERROR(__xludf.DUMMYFUNCTION("""COMPUTED_VALUE"""),"A2C3. Medidas de protección dictadas que se les dio seguimiento")</f>
        <v>A2C3. Medidas de protección dictadas que se les dio seguimiento</v>
      </c>
      <c r="G343" s="89" t="str">
        <f ca="1">IFERROR(__xludf.DUMMYFUNCTION("""COMPUTED_VALUE"""),"Porcentaje de NNA a los que se les dio seguimientos en las medidas de protección dictadas, en 2023")</f>
        <v>Porcentaje de NNA a los que se les dio seguimientos en las medidas de protección dictadas, en 2023</v>
      </c>
      <c r="H343" s="89" t="str">
        <f ca="1">IFERROR(__xludf.DUMMYFUNCTION("""COMPUTED_VALUE"""),"HOM Mayo")</f>
        <v>HOM Mayo</v>
      </c>
      <c r="I343" s="89" t="str">
        <f ca="1">IFERROR(__xludf.DUMMYFUNCTION("""COMPUTED_VALUE"""),"Mayo")</f>
        <v>Mayo</v>
      </c>
      <c r="J343" s="89" t="str">
        <f ca="1">IFERROR(__xludf.DUMMYFUNCTION("""COMPUTED_VALUE"""),"HOM")</f>
        <v>HOM</v>
      </c>
      <c r="K343" s="92"/>
      <c r="L343" s="89" t="str">
        <f ca="1">IFERROR(__xludf.DUMMYFUNCTION("""COMPUTED_VALUE"""),"TRIMESTRE 2")</f>
        <v>TRIMESTRE 2</v>
      </c>
      <c r="M343" s="89" t="str">
        <f ca="1">IFERROR(__xludf.DUMMYFUNCTION("""COMPUTED_VALUE"""),"HOMBRES ADULTOS")</f>
        <v>HOMBRES ADULTOS</v>
      </c>
    </row>
    <row r="344" spans="1:13">
      <c r="A344" s="89" t="str">
        <f ca="1">IFERROR(__xludf.DUMMYFUNCTION("""COMPUTED_VALUE"""),"4.1.3.2")</f>
        <v>4.1.3.2</v>
      </c>
      <c r="B344" s="89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344" s="89" t="str">
        <f ca="1">IFERROR(__xludf.DUMMYFUNCTION("""COMPUTED_VALUE"""),"4. Programas")</f>
        <v>4. Programas</v>
      </c>
      <c r="D344" s="89" t="str">
        <f ca="1">IFERROR(__xludf.DUMMYFUNCTION("""COMPUTED_VALUE"""),"Guadalajara: Capital de las niñas y los niños")</f>
        <v>Guadalajara: Capital de las niñas y los niños</v>
      </c>
      <c r="E344" s="89" t="str">
        <f ca="1">IFERROR(__xludf.DUMMYFUNCTION("""COMPUTED_VALUE"""),"Custodia, tutela, adopciones y acogimiento familiar")</f>
        <v>Custodia, tutela, adopciones y acogimiento familiar</v>
      </c>
      <c r="F344" s="89" t="str">
        <f ca="1">IFERROR(__xludf.DUMMYFUNCTION("""COMPUTED_VALUE"""),"A2C3. Medidas de protección dictadas que se les dio seguimiento")</f>
        <v>A2C3. Medidas de protección dictadas que se les dio seguimiento</v>
      </c>
      <c r="G344" s="89" t="str">
        <f ca="1">IFERROR(__xludf.DUMMYFUNCTION("""COMPUTED_VALUE"""),"Porcentaje de NNA a los que se les dio seguimientos en las medidas de protección dictadas, en 2023")</f>
        <v>Porcentaje de NNA a los que se les dio seguimientos en las medidas de protección dictadas, en 2023</v>
      </c>
      <c r="H344" s="89" t="str">
        <f ca="1">IFERROR(__xludf.DUMMYFUNCTION("""COMPUTED_VALUE"""),"AMM Mayo")</f>
        <v>AMM Mayo</v>
      </c>
      <c r="I344" s="89" t="str">
        <f ca="1">IFERROR(__xludf.DUMMYFUNCTION("""COMPUTED_VALUE"""),"Mayo")</f>
        <v>Mayo</v>
      </c>
      <c r="J344" s="89" t="str">
        <f ca="1">IFERROR(__xludf.DUMMYFUNCTION("""COMPUTED_VALUE"""),"AMM")</f>
        <v>AMM</v>
      </c>
      <c r="K344" s="92"/>
      <c r="L344" s="89" t="str">
        <f ca="1">IFERROR(__xludf.DUMMYFUNCTION("""COMPUTED_VALUE"""),"TRIMESTRE 2")</f>
        <v>TRIMESTRE 2</v>
      </c>
      <c r="M344" s="89" t="str">
        <f ca="1">IFERROR(__xludf.DUMMYFUNCTION("""COMPUTED_VALUE"""),"ADULTA MAYOR MUJER")</f>
        <v>ADULTA MAYOR MUJER</v>
      </c>
    </row>
    <row r="345" spans="1:13">
      <c r="A345" s="89" t="str">
        <f ca="1">IFERROR(__xludf.DUMMYFUNCTION("""COMPUTED_VALUE"""),"4.1.3.2")</f>
        <v>4.1.3.2</v>
      </c>
      <c r="B345" s="89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345" s="89" t="str">
        <f ca="1">IFERROR(__xludf.DUMMYFUNCTION("""COMPUTED_VALUE"""),"4. Programas")</f>
        <v>4. Programas</v>
      </c>
      <c r="D345" s="89" t="str">
        <f ca="1">IFERROR(__xludf.DUMMYFUNCTION("""COMPUTED_VALUE"""),"Guadalajara: Capital de las niñas y los niños")</f>
        <v>Guadalajara: Capital de las niñas y los niños</v>
      </c>
      <c r="E345" s="89" t="str">
        <f ca="1">IFERROR(__xludf.DUMMYFUNCTION("""COMPUTED_VALUE"""),"Custodia, tutela, adopciones y acogimiento familiar")</f>
        <v>Custodia, tutela, adopciones y acogimiento familiar</v>
      </c>
      <c r="F345" s="89" t="str">
        <f ca="1">IFERROR(__xludf.DUMMYFUNCTION("""COMPUTED_VALUE"""),"A2C3. Medidas de protección dictadas que se les dio seguimiento")</f>
        <v>A2C3. Medidas de protección dictadas que se les dio seguimiento</v>
      </c>
      <c r="G345" s="89" t="str">
        <f ca="1">IFERROR(__xludf.DUMMYFUNCTION("""COMPUTED_VALUE"""),"Porcentaje de NNA a los que se les dio seguimientos en las medidas de protección dictadas, en 2023")</f>
        <v>Porcentaje de NNA a los que se les dio seguimientos en las medidas de protección dictadas, en 2023</v>
      </c>
      <c r="H345" s="89" t="str">
        <f ca="1">IFERROR(__xludf.DUMMYFUNCTION("""COMPUTED_VALUE"""),"AMH Mayo")</f>
        <v>AMH Mayo</v>
      </c>
      <c r="I345" s="89" t="str">
        <f ca="1">IFERROR(__xludf.DUMMYFUNCTION("""COMPUTED_VALUE"""),"Mayo")</f>
        <v>Mayo</v>
      </c>
      <c r="J345" s="89" t="str">
        <f ca="1">IFERROR(__xludf.DUMMYFUNCTION("""COMPUTED_VALUE"""),"AMH")</f>
        <v>AMH</v>
      </c>
      <c r="K345" s="92"/>
      <c r="L345" s="89" t="str">
        <f ca="1">IFERROR(__xludf.DUMMYFUNCTION("""COMPUTED_VALUE"""),"TRIMESTRE 2")</f>
        <v>TRIMESTRE 2</v>
      </c>
      <c r="M345" s="89" t="str">
        <f ca="1">IFERROR(__xludf.DUMMYFUNCTION("""COMPUTED_VALUE"""),"ADULTO MAYOR HOMBRE")</f>
        <v>ADULTO MAYOR HOMBRE</v>
      </c>
    </row>
    <row r="346" spans="1:13">
      <c r="A346" s="89" t="str">
        <f ca="1">IFERROR(__xludf.DUMMYFUNCTION("""COMPUTED_VALUE"""),"4.1.3.4")</f>
        <v>4.1.3.4</v>
      </c>
      <c r="B346" s="89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346" s="89" t="str">
        <f ca="1">IFERROR(__xludf.DUMMYFUNCTION("""COMPUTED_VALUE"""),"4. Programas")</f>
        <v>4. Programas</v>
      </c>
      <c r="D346" s="89" t="str">
        <f ca="1">IFERROR(__xludf.DUMMYFUNCTION("""COMPUTED_VALUE"""),"Guadalajara: Capital de las niñas y los niños")</f>
        <v>Guadalajara: Capital de las niñas y los niños</v>
      </c>
      <c r="E346" s="89" t="str">
        <f ca="1">IFERROR(__xludf.DUMMYFUNCTION("""COMPUTED_VALUE"""),"Custodia, tutela, adopciones y acogimiento familiar")</f>
        <v>Custodia, tutela, adopciones y acogimiento familiar</v>
      </c>
      <c r="F346" s="89" t="str">
        <f ca="1">IFERROR(__xludf.DUMMYFUNCTION("""COMPUTED_VALUE"""),"A4C3. NNA integrados en familias.")</f>
        <v>A4C3. NNA integrados en familias.</v>
      </c>
      <c r="G346" s="89" t="str">
        <f ca="1">IFERROR(__xludf.DUMMYFUNCTION("""COMPUTED_VALUE"""),"Porcentaje de NNA integrados en familias, en 2023")</f>
        <v>Porcentaje de NNA integrados en familias, en 2023</v>
      </c>
      <c r="H346" s="89" t="str">
        <f ca="1">IFERROR(__xludf.DUMMYFUNCTION("""COMPUTED_VALUE"""),"NAS Mayo")</f>
        <v>NAS Mayo</v>
      </c>
      <c r="I346" s="89" t="str">
        <f ca="1">IFERROR(__xludf.DUMMYFUNCTION("""COMPUTED_VALUE"""),"Mayo")</f>
        <v>Mayo</v>
      </c>
      <c r="J346" s="89" t="str">
        <f ca="1">IFERROR(__xludf.DUMMYFUNCTION("""COMPUTED_VALUE"""),"NAS")</f>
        <v>NAS</v>
      </c>
      <c r="K346" s="92">
        <f ca="1">IFERROR(__xludf.DUMMYFUNCTION("""COMPUTED_VALUE"""),16)</f>
        <v>16</v>
      </c>
      <c r="L346" s="89" t="str">
        <f ca="1">IFERROR(__xludf.DUMMYFUNCTION("""COMPUTED_VALUE"""),"TRIMESTRE 2")</f>
        <v>TRIMESTRE 2</v>
      </c>
      <c r="M346" s="89" t="str">
        <f ca="1">IFERROR(__xludf.DUMMYFUNCTION("""COMPUTED_VALUE"""),"NIÑAS")</f>
        <v>NIÑAS</v>
      </c>
    </row>
    <row r="347" spans="1:13">
      <c r="A347" s="89" t="str">
        <f ca="1">IFERROR(__xludf.DUMMYFUNCTION("""COMPUTED_VALUE"""),"4.1.3.4")</f>
        <v>4.1.3.4</v>
      </c>
      <c r="B347" s="89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347" s="89" t="str">
        <f ca="1">IFERROR(__xludf.DUMMYFUNCTION("""COMPUTED_VALUE"""),"4. Programas")</f>
        <v>4. Programas</v>
      </c>
      <c r="D347" s="89" t="str">
        <f ca="1">IFERROR(__xludf.DUMMYFUNCTION("""COMPUTED_VALUE"""),"Guadalajara: Capital de las niñas y los niños")</f>
        <v>Guadalajara: Capital de las niñas y los niños</v>
      </c>
      <c r="E347" s="89" t="str">
        <f ca="1">IFERROR(__xludf.DUMMYFUNCTION("""COMPUTED_VALUE"""),"Custodia, tutela, adopciones y acogimiento familiar")</f>
        <v>Custodia, tutela, adopciones y acogimiento familiar</v>
      </c>
      <c r="F347" s="89" t="str">
        <f ca="1">IFERROR(__xludf.DUMMYFUNCTION("""COMPUTED_VALUE"""),"A4C3. NNA integrados en familias.")</f>
        <v>A4C3. NNA integrados en familias.</v>
      </c>
      <c r="G347" s="89" t="str">
        <f ca="1">IFERROR(__xludf.DUMMYFUNCTION("""COMPUTED_VALUE"""),"Porcentaje de NNA integrados en familias, en 2023")</f>
        <v>Porcentaje de NNA integrados en familias, en 2023</v>
      </c>
      <c r="H347" s="89" t="str">
        <f ca="1">IFERROR(__xludf.DUMMYFUNCTION("""COMPUTED_VALUE"""),"NOS Mayo")</f>
        <v>NOS Mayo</v>
      </c>
      <c r="I347" s="89" t="str">
        <f ca="1">IFERROR(__xludf.DUMMYFUNCTION("""COMPUTED_VALUE"""),"Mayo")</f>
        <v>Mayo</v>
      </c>
      <c r="J347" s="89" t="str">
        <f ca="1">IFERROR(__xludf.DUMMYFUNCTION("""COMPUTED_VALUE"""),"NOS")</f>
        <v>NOS</v>
      </c>
      <c r="K347" s="92">
        <f ca="1">IFERROR(__xludf.DUMMYFUNCTION("""COMPUTED_VALUE"""),6)</f>
        <v>6</v>
      </c>
      <c r="L347" s="89" t="str">
        <f ca="1">IFERROR(__xludf.DUMMYFUNCTION("""COMPUTED_VALUE"""),"TRIMESTRE 2")</f>
        <v>TRIMESTRE 2</v>
      </c>
      <c r="M347" s="89" t="str">
        <f ca="1">IFERROR(__xludf.DUMMYFUNCTION("""COMPUTED_VALUE"""),"NIÑOS")</f>
        <v>NIÑOS</v>
      </c>
    </row>
    <row r="348" spans="1:13">
      <c r="A348" s="89" t="str">
        <f ca="1">IFERROR(__xludf.DUMMYFUNCTION("""COMPUTED_VALUE"""),"4.1.3.4")</f>
        <v>4.1.3.4</v>
      </c>
      <c r="B348" s="89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348" s="89" t="str">
        <f ca="1">IFERROR(__xludf.DUMMYFUNCTION("""COMPUTED_VALUE"""),"4. Programas")</f>
        <v>4. Programas</v>
      </c>
      <c r="D348" s="89" t="str">
        <f ca="1">IFERROR(__xludf.DUMMYFUNCTION("""COMPUTED_VALUE"""),"Guadalajara: Capital de las niñas y los niños")</f>
        <v>Guadalajara: Capital de las niñas y los niños</v>
      </c>
      <c r="E348" s="89" t="str">
        <f ca="1">IFERROR(__xludf.DUMMYFUNCTION("""COMPUTED_VALUE"""),"Custodia, tutela, adopciones y acogimiento familiar")</f>
        <v>Custodia, tutela, adopciones y acogimiento familiar</v>
      </c>
      <c r="F348" s="89" t="str">
        <f ca="1">IFERROR(__xludf.DUMMYFUNCTION("""COMPUTED_VALUE"""),"A4C3. NNA integrados en familias.")</f>
        <v>A4C3. NNA integrados en familias.</v>
      </c>
      <c r="G348" s="89" t="str">
        <f ca="1">IFERROR(__xludf.DUMMYFUNCTION("""COMPUTED_VALUE"""),"Porcentaje de NNA integrados en familias, en 2023")</f>
        <v>Porcentaje de NNA integrados en familias, en 2023</v>
      </c>
      <c r="H348" s="89" t="str">
        <f ca="1">IFERROR(__xludf.DUMMYFUNCTION("""COMPUTED_VALUE"""),"AM MAYO")</f>
        <v>AM MAYO</v>
      </c>
      <c r="I348" s="89" t="str">
        <f ca="1">IFERROR(__xludf.DUMMYFUNCTION("""COMPUTED_VALUE"""),"Mayo")</f>
        <v>Mayo</v>
      </c>
      <c r="J348" s="89" t="str">
        <f ca="1">IFERROR(__xludf.DUMMYFUNCTION("""COMPUTED_VALUE"""),"AM")</f>
        <v>AM</v>
      </c>
      <c r="K348" s="92">
        <f ca="1">IFERROR(__xludf.DUMMYFUNCTION("""COMPUTED_VALUE"""),3)</f>
        <v>3</v>
      </c>
      <c r="L348" s="89" t="str">
        <f ca="1">IFERROR(__xludf.DUMMYFUNCTION("""COMPUTED_VALUE"""),"TRIMESTRE 2")</f>
        <v>TRIMESTRE 2</v>
      </c>
      <c r="M348" s="89" t="str">
        <f ca="1">IFERROR(__xludf.DUMMYFUNCTION("""COMPUTED_VALUE"""),"ADOLESCENTES MUJERES")</f>
        <v>ADOLESCENTES MUJERES</v>
      </c>
    </row>
    <row r="349" spans="1:13">
      <c r="A349" s="89" t="str">
        <f ca="1">IFERROR(__xludf.DUMMYFUNCTION("""COMPUTED_VALUE"""),"4.1.3.4")</f>
        <v>4.1.3.4</v>
      </c>
      <c r="B349" s="89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349" s="89" t="str">
        <f ca="1">IFERROR(__xludf.DUMMYFUNCTION("""COMPUTED_VALUE"""),"4. Programas")</f>
        <v>4. Programas</v>
      </c>
      <c r="D349" s="89" t="str">
        <f ca="1">IFERROR(__xludf.DUMMYFUNCTION("""COMPUTED_VALUE"""),"Guadalajara: Capital de las niñas y los niños")</f>
        <v>Guadalajara: Capital de las niñas y los niños</v>
      </c>
      <c r="E349" s="89" t="str">
        <f ca="1">IFERROR(__xludf.DUMMYFUNCTION("""COMPUTED_VALUE"""),"Custodia, tutela, adopciones y acogimiento familiar")</f>
        <v>Custodia, tutela, adopciones y acogimiento familiar</v>
      </c>
      <c r="F349" s="89" t="str">
        <f ca="1">IFERROR(__xludf.DUMMYFUNCTION("""COMPUTED_VALUE"""),"A4C3. NNA integrados en familias.")</f>
        <v>A4C3. NNA integrados en familias.</v>
      </c>
      <c r="G349" s="89" t="str">
        <f ca="1">IFERROR(__xludf.DUMMYFUNCTION("""COMPUTED_VALUE"""),"Porcentaje de NNA integrados en familias, en 2023")</f>
        <v>Porcentaje de NNA integrados en familias, en 2023</v>
      </c>
      <c r="H349" s="89" t="str">
        <f ca="1">IFERROR(__xludf.DUMMYFUNCTION("""COMPUTED_VALUE"""),"AH MAYO")</f>
        <v>AH MAYO</v>
      </c>
      <c r="I349" s="89" t="str">
        <f ca="1">IFERROR(__xludf.DUMMYFUNCTION("""COMPUTED_VALUE"""),"Mayo")</f>
        <v>Mayo</v>
      </c>
      <c r="J349" s="89" t="str">
        <f ca="1">IFERROR(__xludf.DUMMYFUNCTION("""COMPUTED_VALUE"""),"AH")</f>
        <v>AH</v>
      </c>
      <c r="K349" s="92"/>
      <c r="L349" s="89" t="str">
        <f ca="1">IFERROR(__xludf.DUMMYFUNCTION("""COMPUTED_VALUE"""),"TRIMESTRE 2")</f>
        <v>TRIMESTRE 2</v>
      </c>
      <c r="M349" s="89" t="str">
        <f ca="1">IFERROR(__xludf.DUMMYFUNCTION("""COMPUTED_VALUE"""),"ADOLESCENTES HOMBRES")</f>
        <v>ADOLESCENTES HOMBRES</v>
      </c>
    </row>
    <row r="350" spans="1:13">
      <c r="A350" s="89" t="str">
        <f ca="1">IFERROR(__xludf.DUMMYFUNCTION("""COMPUTED_VALUE"""),"4.1.3.4")</f>
        <v>4.1.3.4</v>
      </c>
      <c r="B350" s="89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350" s="89" t="str">
        <f ca="1">IFERROR(__xludf.DUMMYFUNCTION("""COMPUTED_VALUE"""),"4. Programas")</f>
        <v>4. Programas</v>
      </c>
      <c r="D350" s="89" t="str">
        <f ca="1">IFERROR(__xludf.DUMMYFUNCTION("""COMPUTED_VALUE"""),"Guadalajara: Capital de las niñas y los niños")</f>
        <v>Guadalajara: Capital de las niñas y los niños</v>
      </c>
      <c r="E350" s="89" t="str">
        <f ca="1">IFERROR(__xludf.DUMMYFUNCTION("""COMPUTED_VALUE"""),"Custodia, tutela, adopciones y acogimiento familiar")</f>
        <v>Custodia, tutela, adopciones y acogimiento familiar</v>
      </c>
      <c r="F350" s="89" t="str">
        <f ca="1">IFERROR(__xludf.DUMMYFUNCTION("""COMPUTED_VALUE"""),"A4C3. NNA integrados en familias.")</f>
        <v>A4C3. NNA integrados en familias.</v>
      </c>
      <c r="G350" s="89" t="str">
        <f ca="1">IFERROR(__xludf.DUMMYFUNCTION("""COMPUTED_VALUE"""),"Porcentaje de NNA integrados en familias, en 2023")</f>
        <v>Porcentaje de NNA integrados en familias, en 2023</v>
      </c>
      <c r="H350" s="89" t="str">
        <f ca="1">IFERROR(__xludf.DUMMYFUNCTION("""COMPUTED_VALUE"""),"MUJ Mayo")</f>
        <v>MUJ Mayo</v>
      </c>
      <c r="I350" s="89" t="str">
        <f ca="1">IFERROR(__xludf.DUMMYFUNCTION("""COMPUTED_VALUE"""),"Mayo")</f>
        <v>Mayo</v>
      </c>
      <c r="J350" s="89" t="str">
        <f ca="1">IFERROR(__xludf.DUMMYFUNCTION("""COMPUTED_VALUE"""),"MUJ")</f>
        <v>MUJ</v>
      </c>
      <c r="K350" s="92"/>
      <c r="L350" s="89" t="str">
        <f ca="1">IFERROR(__xludf.DUMMYFUNCTION("""COMPUTED_VALUE"""),"TRIMESTRE 2")</f>
        <v>TRIMESTRE 2</v>
      </c>
      <c r="M350" s="89" t="str">
        <f ca="1">IFERROR(__xludf.DUMMYFUNCTION("""COMPUTED_VALUE"""),"MUJERES ADULTAS")</f>
        <v>MUJERES ADULTAS</v>
      </c>
    </row>
    <row r="351" spans="1:13">
      <c r="A351" s="89" t="str">
        <f ca="1">IFERROR(__xludf.DUMMYFUNCTION("""COMPUTED_VALUE"""),"4.1.3.4")</f>
        <v>4.1.3.4</v>
      </c>
      <c r="B351" s="89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351" s="89" t="str">
        <f ca="1">IFERROR(__xludf.DUMMYFUNCTION("""COMPUTED_VALUE"""),"4. Programas")</f>
        <v>4. Programas</v>
      </c>
      <c r="D351" s="89" t="str">
        <f ca="1">IFERROR(__xludf.DUMMYFUNCTION("""COMPUTED_VALUE"""),"Guadalajara: Capital de las niñas y los niños")</f>
        <v>Guadalajara: Capital de las niñas y los niños</v>
      </c>
      <c r="E351" s="89" t="str">
        <f ca="1">IFERROR(__xludf.DUMMYFUNCTION("""COMPUTED_VALUE"""),"Custodia, tutela, adopciones y acogimiento familiar")</f>
        <v>Custodia, tutela, adopciones y acogimiento familiar</v>
      </c>
      <c r="F351" s="89" t="str">
        <f ca="1">IFERROR(__xludf.DUMMYFUNCTION("""COMPUTED_VALUE"""),"A4C3. NNA integrados en familias.")</f>
        <v>A4C3. NNA integrados en familias.</v>
      </c>
      <c r="G351" s="89" t="str">
        <f ca="1">IFERROR(__xludf.DUMMYFUNCTION("""COMPUTED_VALUE"""),"Porcentaje de NNA integrados en familias, en 2023")</f>
        <v>Porcentaje de NNA integrados en familias, en 2023</v>
      </c>
      <c r="H351" s="89" t="str">
        <f ca="1">IFERROR(__xludf.DUMMYFUNCTION("""COMPUTED_VALUE"""),"HOM Mayo")</f>
        <v>HOM Mayo</v>
      </c>
      <c r="I351" s="89" t="str">
        <f ca="1">IFERROR(__xludf.DUMMYFUNCTION("""COMPUTED_VALUE"""),"Mayo")</f>
        <v>Mayo</v>
      </c>
      <c r="J351" s="89" t="str">
        <f ca="1">IFERROR(__xludf.DUMMYFUNCTION("""COMPUTED_VALUE"""),"HOM")</f>
        <v>HOM</v>
      </c>
      <c r="K351" s="92"/>
      <c r="L351" s="89" t="str">
        <f ca="1">IFERROR(__xludf.DUMMYFUNCTION("""COMPUTED_VALUE"""),"TRIMESTRE 2")</f>
        <v>TRIMESTRE 2</v>
      </c>
      <c r="M351" s="89" t="str">
        <f ca="1">IFERROR(__xludf.DUMMYFUNCTION("""COMPUTED_VALUE"""),"HOMBRES ADULTOS")</f>
        <v>HOMBRES ADULTOS</v>
      </c>
    </row>
    <row r="352" spans="1:13">
      <c r="A352" s="89" t="str">
        <f ca="1">IFERROR(__xludf.DUMMYFUNCTION("""COMPUTED_VALUE"""),"4.1.3.4")</f>
        <v>4.1.3.4</v>
      </c>
      <c r="B352" s="89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352" s="89" t="str">
        <f ca="1">IFERROR(__xludf.DUMMYFUNCTION("""COMPUTED_VALUE"""),"4. Programas")</f>
        <v>4. Programas</v>
      </c>
      <c r="D352" s="89" t="str">
        <f ca="1">IFERROR(__xludf.DUMMYFUNCTION("""COMPUTED_VALUE"""),"Guadalajara: Capital de las niñas y los niños")</f>
        <v>Guadalajara: Capital de las niñas y los niños</v>
      </c>
      <c r="E352" s="89" t="str">
        <f ca="1">IFERROR(__xludf.DUMMYFUNCTION("""COMPUTED_VALUE"""),"Custodia, tutela, adopciones y acogimiento familiar")</f>
        <v>Custodia, tutela, adopciones y acogimiento familiar</v>
      </c>
      <c r="F352" s="89" t="str">
        <f ca="1">IFERROR(__xludf.DUMMYFUNCTION("""COMPUTED_VALUE"""),"A4C3. NNA integrados en familias.")</f>
        <v>A4C3. NNA integrados en familias.</v>
      </c>
      <c r="G352" s="89" t="str">
        <f ca="1">IFERROR(__xludf.DUMMYFUNCTION("""COMPUTED_VALUE"""),"Porcentaje de NNA integrados en familias, en 2023")</f>
        <v>Porcentaje de NNA integrados en familias, en 2023</v>
      </c>
      <c r="H352" s="89" t="str">
        <f ca="1">IFERROR(__xludf.DUMMYFUNCTION("""COMPUTED_VALUE"""),"AMM Mayo")</f>
        <v>AMM Mayo</v>
      </c>
      <c r="I352" s="89" t="str">
        <f ca="1">IFERROR(__xludf.DUMMYFUNCTION("""COMPUTED_VALUE"""),"Mayo")</f>
        <v>Mayo</v>
      </c>
      <c r="J352" s="89" t="str">
        <f ca="1">IFERROR(__xludf.DUMMYFUNCTION("""COMPUTED_VALUE"""),"AMM")</f>
        <v>AMM</v>
      </c>
      <c r="K352" s="92"/>
      <c r="L352" s="89" t="str">
        <f ca="1">IFERROR(__xludf.DUMMYFUNCTION("""COMPUTED_VALUE"""),"TRIMESTRE 2")</f>
        <v>TRIMESTRE 2</v>
      </c>
      <c r="M352" s="89" t="str">
        <f ca="1">IFERROR(__xludf.DUMMYFUNCTION("""COMPUTED_VALUE"""),"ADULTA MAYOR MUJER")</f>
        <v>ADULTA MAYOR MUJER</v>
      </c>
    </row>
    <row r="353" spans="1:13">
      <c r="A353" s="89" t="str">
        <f ca="1">IFERROR(__xludf.DUMMYFUNCTION("""COMPUTED_VALUE"""),"4.1.3.4")</f>
        <v>4.1.3.4</v>
      </c>
      <c r="B353" s="89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353" s="89" t="str">
        <f ca="1">IFERROR(__xludf.DUMMYFUNCTION("""COMPUTED_VALUE"""),"4. Programas")</f>
        <v>4. Programas</v>
      </c>
      <c r="D353" s="89" t="str">
        <f ca="1">IFERROR(__xludf.DUMMYFUNCTION("""COMPUTED_VALUE"""),"Guadalajara: Capital de las niñas y los niños")</f>
        <v>Guadalajara: Capital de las niñas y los niños</v>
      </c>
      <c r="E353" s="89" t="str">
        <f ca="1">IFERROR(__xludf.DUMMYFUNCTION("""COMPUTED_VALUE"""),"Custodia, tutela, adopciones y acogimiento familiar")</f>
        <v>Custodia, tutela, adopciones y acogimiento familiar</v>
      </c>
      <c r="F353" s="89" t="str">
        <f ca="1">IFERROR(__xludf.DUMMYFUNCTION("""COMPUTED_VALUE"""),"A4C3. NNA integrados en familias.")</f>
        <v>A4C3. NNA integrados en familias.</v>
      </c>
      <c r="G353" s="89" t="str">
        <f ca="1">IFERROR(__xludf.DUMMYFUNCTION("""COMPUTED_VALUE"""),"Porcentaje de NNA integrados en familias, en 2023")</f>
        <v>Porcentaje de NNA integrados en familias, en 2023</v>
      </c>
      <c r="H353" s="89" t="str">
        <f ca="1">IFERROR(__xludf.DUMMYFUNCTION("""COMPUTED_VALUE"""),"AMH Mayo")</f>
        <v>AMH Mayo</v>
      </c>
      <c r="I353" s="89" t="str">
        <f ca="1">IFERROR(__xludf.DUMMYFUNCTION("""COMPUTED_VALUE"""),"Mayo")</f>
        <v>Mayo</v>
      </c>
      <c r="J353" s="89" t="str">
        <f ca="1">IFERROR(__xludf.DUMMYFUNCTION("""COMPUTED_VALUE"""),"AMH")</f>
        <v>AMH</v>
      </c>
      <c r="K353" s="92"/>
      <c r="L353" s="89" t="str">
        <f ca="1">IFERROR(__xludf.DUMMYFUNCTION("""COMPUTED_VALUE"""),"TRIMESTRE 2")</f>
        <v>TRIMESTRE 2</v>
      </c>
      <c r="M353" s="89" t="str">
        <f ca="1">IFERROR(__xludf.DUMMYFUNCTION("""COMPUTED_VALUE"""),"ADULTO MAYOR HOMBRE")</f>
        <v>ADULTO MAYOR HOMBRE</v>
      </c>
    </row>
    <row r="354" spans="1:13">
      <c r="A354" s="89" t="str">
        <f ca="1">IFERROR(__xludf.DUMMYFUNCTION("""COMPUTED_VALUE"""),"4.1.3.0")</f>
        <v>4.1.3.0</v>
      </c>
      <c r="B354" s="89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354" s="89" t="str">
        <f ca="1">IFERROR(__xludf.DUMMYFUNCTION("""COMPUTED_VALUE"""),"4. Programas")</f>
        <v>4. Programas</v>
      </c>
      <c r="D354" s="89" t="str">
        <f ca="1">IFERROR(__xludf.DUMMYFUNCTION("""COMPUTED_VALUE"""),"Guadalajara: Capital de las niñas y los niños")</f>
        <v>Guadalajara: Capital de las niñas y los niños</v>
      </c>
      <c r="E354" s="89" t="str">
        <f ca="1">IFERROR(__xludf.DUMMYFUNCTION("""COMPUTED_VALUE"""),"Custodia, tutela, adopciones y acogimiento familiar")</f>
        <v>Custodia, tutela, adopciones y acogimiento familiar</v>
      </c>
      <c r="F354" s="89" t="str">
        <f ca="1">IFERROR(__xludf.DUMMYFUNCTION("""COMPUTED_VALUE"""),"C3. NNA del municipio de Guadalajara que recibieron servicios para la protección y restitución de sus derechos")</f>
        <v>C3. NNA del municipio de Guadalajara que recibieron servicios para la protección y restitución de sus derechos</v>
      </c>
      <c r="G354" s="89" t="str">
        <f ca="1">IFERROR(__xludf.DUMMYFUNCTION("""COMPUTED_VALUE"""),"Porcentaje de NNA con al menos un derecho protegido y/o restituido por la DIPNNA, en 2023")</f>
        <v>Porcentaje de NNA con al menos un derecho protegido y/o restituido por la DIPNNA, en 2023</v>
      </c>
      <c r="H354" s="89" t="str">
        <f ca="1">IFERROR(__xludf.DUMMYFUNCTION("""COMPUTED_VALUE"""),"NAS Junio")</f>
        <v>NAS Junio</v>
      </c>
      <c r="I354" s="89" t="str">
        <f ca="1">IFERROR(__xludf.DUMMYFUNCTION("""COMPUTED_VALUE"""),"Junio")</f>
        <v>Junio</v>
      </c>
      <c r="J354" s="89" t="str">
        <f ca="1">IFERROR(__xludf.DUMMYFUNCTION("""COMPUTED_VALUE"""),"NAS")</f>
        <v>NAS</v>
      </c>
      <c r="K354" s="92">
        <f ca="1">IFERROR(__xludf.DUMMYFUNCTION("""COMPUTED_VALUE"""),27)</f>
        <v>27</v>
      </c>
      <c r="L354" s="89" t="str">
        <f ca="1">IFERROR(__xludf.DUMMYFUNCTION("""COMPUTED_VALUE"""),"TRIMESTRE 2")</f>
        <v>TRIMESTRE 2</v>
      </c>
      <c r="M354" s="89" t="str">
        <f ca="1">IFERROR(__xludf.DUMMYFUNCTION("""COMPUTED_VALUE"""),"NIÑAS")</f>
        <v>NIÑAS</v>
      </c>
    </row>
    <row r="355" spans="1:13">
      <c r="A355" s="89" t="str">
        <f ca="1">IFERROR(__xludf.DUMMYFUNCTION("""COMPUTED_VALUE"""),"4.1.3.0")</f>
        <v>4.1.3.0</v>
      </c>
      <c r="B355" s="89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355" s="89" t="str">
        <f ca="1">IFERROR(__xludf.DUMMYFUNCTION("""COMPUTED_VALUE"""),"4. Programas")</f>
        <v>4. Programas</v>
      </c>
      <c r="D355" s="89" t="str">
        <f ca="1">IFERROR(__xludf.DUMMYFUNCTION("""COMPUTED_VALUE"""),"Guadalajara: Capital de las niñas y los niños")</f>
        <v>Guadalajara: Capital de las niñas y los niños</v>
      </c>
      <c r="E355" s="89" t="str">
        <f ca="1">IFERROR(__xludf.DUMMYFUNCTION("""COMPUTED_VALUE"""),"Custodia, tutela, adopciones y acogimiento familiar")</f>
        <v>Custodia, tutela, adopciones y acogimiento familiar</v>
      </c>
      <c r="F355" s="89" t="str">
        <f ca="1">IFERROR(__xludf.DUMMYFUNCTION("""COMPUTED_VALUE"""),"C3. NNA del municipio de Guadalajara que recibieron servicios para la protección y restitución de sus derechos")</f>
        <v>C3. NNA del municipio de Guadalajara que recibieron servicios para la protección y restitución de sus derechos</v>
      </c>
      <c r="G355" s="89" t="str">
        <f ca="1">IFERROR(__xludf.DUMMYFUNCTION("""COMPUTED_VALUE"""),"Porcentaje de NNA con al menos un derecho protegido y/o restituido por la DIPNNA, en 2023")</f>
        <v>Porcentaje de NNA con al menos un derecho protegido y/o restituido por la DIPNNA, en 2023</v>
      </c>
      <c r="H355" s="89" t="str">
        <f ca="1">IFERROR(__xludf.DUMMYFUNCTION("""COMPUTED_VALUE"""),"NOS Junio")</f>
        <v>NOS Junio</v>
      </c>
      <c r="I355" s="89" t="str">
        <f ca="1">IFERROR(__xludf.DUMMYFUNCTION("""COMPUTED_VALUE"""),"Junio")</f>
        <v>Junio</v>
      </c>
      <c r="J355" s="89" t="str">
        <f ca="1">IFERROR(__xludf.DUMMYFUNCTION("""COMPUTED_VALUE"""),"NOS")</f>
        <v>NOS</v>
      </c>
      <c r="K355" s="92">
        <f ca="1">IFERROR(__xludf.DUMMYFUNCTION("""COMPUTED_VALUE"""),44)</f>
        <v>44</v>
      </c>
      <c r="L355" s="89" t="str">
        <f ca="1">IFERROR(__xludf.DUMMYFUNCTION("""COMPUTED_VALUE"""),"TRIMESTRE 2")</f>
        <v>TRIMESTRE 2</v>
      </c>
      <c r="M355" s="89" t="str">
        <f ca="1">IFERROR(__xludf.DUMMYFUNCTION("""COMPUTED_VALUE"""),"NIÑOS")</f>
        <v>NIÑOS</v>
      </c>
    </row>
    <row r="356" spans="1:13">
      <c r="A356" s="89" t="str">
        <f ca="1">IFERROR(__xludf.DUMMYFUNCTION("""COMPUTED_VALUE"""),"4.1.3.0")</f>
        <v>4.1.3.0</v>
      </c>
      <c r="B356" s="89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356" s="89" t="str">
        <f ca="1">IFERROR(__xludf.DUMMYFUNCTION("""COMPUTED_VALUE"""),"4. Programas")</f>
        <v>4. Programas</v>
      </c>
      <c r="D356" s="89" t="str">
        <f ca="1">IFERROR(__xludf.DUMMYFUNCTION("""COMPUTED_VALUE"""),"Guadalajara: Capital de las niñas y los niños")</f>
        <v>Guadalajara: Capital de las niñas y los niños</v>
      </c>
      <c r="E356" s="89" t="str">
        <f ca="1">IFERROR(__xludf.DUMMYFUNCTION("""COMPUTED_VALUE"""),"Custodia, tutela, adopciones y acogimiento familiar")</f>
        <v>Custodia, tutela, adopciones y acogimiento familiar</v>
      </c>
      <c r="F356" s="89" t="str">
        <f ca="1">IFERROR(__xludf.DUMMYFUNCTION("""COMPUTED_VALUE"""),"C3. NNA del municipio de Guadalajara que recibieron servicios para la protección y restitución de sus derechos")</f>
        <v>C3. NNA del municipio de Guadalajara que recibieron servicios para la protección y restitución de sus derechos</v>
      </c>
      <c r="G356" s="89" t="str">
        <f ca="1">IFERROR(__xludf.DUMMYFUNCTION("""COMPUTED_VALUE"""),"Porcentaje de NNA con al menos un derecho protegido y/o restituido por la DIPNNA, en 2023")</f>
        <v>Porcentaje de NNA con al menos un derecho protegido y/o restituido por la DIPNNA, en 2023</v>
      </c>
      <c r="H356" s="89" t="str">
        <f ca="1">IFERROR(__xludf.DUMMYFUNCTION("""COMPUTED_VALUE"""),"AM JUNIO")</f>
        <v>AM JUNIO</v>
      </c>
      <c r="I356" s="89" t="str">
        <f ca="1">IFERROR(__xludf.DUMMYFUNCTION("""COMPUTED_VALUE"""),"Junio")</f>
        <v>Junio</v>
      </c>
      <c r="J356" s="89" t="str">
        <f ca="1">IFERROR(__xludf.DUMMYFUNCTION("""COMPUTED_VALUE"""),"AM")</f>
        <v>AM</v>
      </c>
      <c r="K356" s="92">
        <f ca="1">IFERROR(__xludf.DUMMYFUNCTION("""COMPUTED_VALUE"""),14)</f>
        <v>14</v>
      </c>
      <c r="L356" s="89" t="str">
        <f ca="1">IFERROR(__xludf.DUMMYFUNCTION("""COMPUTED_VALUE"""),"TRIMESTRE 2")</f>
        <v>TRIMESTRE 2</v>
      </c>
      <c r="M356" s="89" t="str">
        <f ca="1">IFERROR(__xludf.DUMMYFUNCTION("""COMPUTED_VALUE"""),"ADOLESCENTES MUJERES")</f>
        <v>ADOLESCENTES MUJERES</v>
      </c>
    </row>
    <row r="357" spans="1:13">
      <c r="A357" s="89" t="str">
        <f ca="1">IFERROR(__xludf.DUMMYFUNCTION("""COMPUTED_VALUE"""),"4.1.3.0")</f>
        <v>4.1.3.0</v>
      </c>
      <c r="B357" s="89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357" s="89" t="str">
        <f ca="1">IFERROR(__xludf.DUMMYFUNCTION("""COMPUTED_VALUE"""),"4. Programas")</f>
        <v>4. Programas</v>
      </c>
      <c r="D357" s="89" t="str">
        <f ca="1">IFERROR(__xludf.DUMMYFUNCTION("""COMPUTED_VALUE"""),"Guadalajara: Capital de las niñas y los niños")</f>
        <v>Guadalajara: Capital de las niñas y los niños</v>
      </c>
      <c r="E357" s="89" t="str">
        <f ca="1">IFERROR(__xludf.DUMMYFUNCTION("""COMPUTED_VALUE"""),"Custodia, tutela, adopciones y acogimiento familiar")</f>
        <v>Custodia, tutela, adopciones y acogimiento familiar</v>
      </c>
      <c r="F357" s="89" t="str">
        <f ca="1">IFERROR(__xludf.DUMMYFUNCTION("""COMPUTED_VALUE"""),"C3. NNA del municipio de Guadalajara que recibieron servicios para la protección y restitución de sus derechos")</f>
        <v>C3. NNA del municipio de Guadalajara que recibieron servicios para la protección y restitución de sus derechos</v>
      </c>
      <c r="G357" s="89" t="str">
        <f ca="1">IFERROR(__xludf.DUMMYFUNCTION("""COMPUTED_VALUE"""),"Porcentaje de NNA con al menos un derecho protegido y/o restituido por la DIPNNA, en 2023")</f>
        <v>Porcentaje de NNA con al menos un derecho protegido y/o restituido por la DIPNNA, en 2023</v>
      </c>
      <c r="H357" s="89" t="str">
        <f ca="1">IFERROR(__xludf.DUMMYFUNCTION("""COMPUTED_VALUE"""),"AH JUNIO")</f>
        <v>AH JUNIO</v>
      </c>
      <c r="I357" s="89" t="str">
        <f ca="1">IFERROR(__xludf.DUMMYFUNCTION("""COMPUTED_VALUE"""),"Junio")</f>
        <v>Junio</v>
      </c>
      <c r="J357" s="89" t="str">
        <f ca="1">IFERROR(__xludf.DUMMYFUNCTION("""COMPUTED_VALUE"""),"AH")</f>
        <v>AH</v>
      </c>
      <c r="K357" s="92">
        <f ca="1">IFERROR(__xludf.DUMMYFUNCTION("""COMPUTED_VALUE"""),5)</f>
        <v>5</v>
      </c>
      <c r="L357" s="89" t="str">
        <f ca="1">IFERROR(__xludf.DUMMYFUNCTION("""COMPUTED_VALUE"""),"TRIMESTRE 2")</f>
        <v>TRIMESTRE 2</v>
      </c>
      <c r="M357" s="89" t="str">
        <f ca="1">IFERROR(__xludf.DUMMYFUNCTION("""COMPUTED_VALUE"""),"ADOLESCENTES HOMBRES")</f>
        <v>ADOLESCENTES HOMBRES</v>
      </c>
    </row>
    <row r="358" spans="1:13">
      <c r="A358" s="89" t="str">
        <f ca="1">IFERROR(__xludf.DUMMYFUNCTION("""COMPUTED_VALUE"""),"4.1.3.0")</f>
        <v>4.1.3.0</v>
      </c>
      <c r="B358" s="89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358" s="89" t="str">
        <f ca="1">IFERROR(__xludf.DUMMYFUNCTION("""COMPUTED_VALUE"""),"4. Programas")</f>
        <v>4. Programas</v>
      </c>
      <c r="D358" s="89" t="str">
        <f ca="1">IFERROR(__xludf.DUMMYFUNCTION("""COMPUTED_VALUE"""),"Guadalajara: Capital de las niñas y los niños")</f>
        <v>Guadalajara: Capital de las niñas y los niños</v>
      </c>
      <c r="E358" s="89" t="str">
        <f ca="1">IFERROR(__xludf.DUMMYFUNCTION("""COMPUTED_VALUE"""),"Custodia, tutela, adopciones y acogimiento familiar")</f>
        <v>Custodia, tutela, adopciones y acogimiento familiar</v>
      </c>
      <c r="F358" s="89" t="str">
        <f ca="1">IFERROR(__xludf.DUMMYFUNCTION("""COMPUTED_VALUE"""),"C3. NNA del municipio de Guadalajara que recibieron servicios para la protección y restitución de sus derechos")</f>
        <v>C3. NNA del municipio de Guadalajara que recibieron servicios para la protección y restitución de sus derechos</v>
      </c>
      <c r="G358" s="89" t="str">
        <f ca="1">IFERROR(__xludf.DUMMYFUNCTION("""COMPUTED_VALUE"""),"Porcentaje de NNA con al menos un derecho protegido y/o restituido por la DIPNNA, en 2023")</f>
        <v>Porcentaje de NNA con al menos un derecho protegido y/o restituido por la DIPNNA, en 2023</v>
      </c>
      <c r="H358" s="89" t="str">
        <f ca="1">IFERROR(__xludf.DUMMYFUNCTION("""COMPUTED_VALUE"""),"MUJ Junio")</f>
        <v>MUJ Junio</v>
      </c>
      <c r="I358" s="89" t="str">
        <f ca="1">IFERROR(__xludf.DUMMYFUNCTION("""COMPUTED_VALUE"""),"Junio")</f>
        <v>Junio</v>
      </c>
      <c r="J358" s="89" t="str">
        <f ca="1">IFERROR(__xludf.DUMMYFUNCTION("""COMPUTED_VALUE"""),"MUJ")</f>
        <v>MUJ</v>
      </c>
      <c r="K358" s="92"/>
      <c r="L358" s="89" t="str">
        <f ca="1">IFERROR(__xludf.DUMMYFUNCTION("""COMPUTED_VALUE"""),"TRIMESTRE 2")</f>
        <v>TRIMESTRE 2</v>
      </c>
      <c r="M358" s="89" t="str">
        <f ca="1">IFERROR(__xludf.DUMMYFUNCTION("""COMPUTED_VALUE"""),"MUJERES ADULTAS")</f>
        <v>MUJERES ADULTAS</v>
      </c>
    </row>
    <row r="359" spans="1:13">
      <c r="A359" s="89" t="str">
        <f ca="1">IFERROR(__xludf.DUMMYFUNCTION("""COMPUTED_VALUE"""),"4.1.3.0")</f>
        <v>4.1.3.0</v>
      </c>
      <c r="B359" s="89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359" s="89" t="str">
        <f ca="1">IFERROR(__xludf.DUMMYFUNCTION("""COMPUTED_VALUE"""),"4. Programas")</f>
        <v>4. Programas</v>
      </c>
      <c r="D359" s="89" t="str">
        <f ca="1">IFERROR(__xludf.DUMMYFUNCTION("""COMPUTED_VALUE"""),"Guadalajara: Capital de las niñas y los niños")</f>
        <v>Guadalajara: Capital de las niñas y los niños</v>
      </c>
      <c r="E359" s="89" t="str">
        <f ca="1">IFERROR(__xludf.DUMMYFUNCTION("""COMPUTED_VALUE"""),"Custodia, tutela, adopciones y acogimiento familiar")</f>
        <v>Custodia, tutela, adopciones y acogimiento familiar</v>
      </c>
      <c r="F359" s="89" t="str">
        <f ca="1">IFERROR(__xludf.DUMMYFUNCTION("""COMPUTED_VALUE"""),"C3. NNA del municipio de Guadalajara que recibieron servicios para la protección y restitución de sus derechos")</f>
        <v>C3. NNA del municipio de Guadalajara que recibieron servicios para la protección y restitución de sus derechos</v>
      </c>
      <c r="G359" s="89" t="str">
        <f ca="1">IFERROR(__xludf.DUMMYFUNCTION("""COMPUTED_VALUE"""),"Porcentaje de NNA con al menos un derecho protegido y/o restituido por la DIPNNA, en 2023")</f>
        <v>Porcentaje de NNA con al menos un derecho protegido y/o restituido por la DIPNNA, en 2023</v>
      </c>
      <c r="H359" s="89" t="str">
        <f ca="1">IFERROR(__xludf.DUMMYFUNCTION("""COMPUTED_VALUE"""),"HOM Junio")</f>
        <v>HOM Junio</v>
      </c>
      <c r="I359" s="89" t="str">
        <f ca="1">IFERROR(__xludf.DUMMYFUNCTION("""COMPUTED_VALUE"""),"Junio")</f>
        <v>Junio</v>
      </c>
      <c r="J359" s="89" t="str">
        <f ca="1">IFERROR(__xludf.DUMMYFUNCTION("""COMPUTED_VALUE"""),"HOM")</f>
        <v>HOM</v>
      </c>
      <c r="K359" s="92"/>
      <c r="L359" s="89" t="str">
        <f ca="1">IFERROR(__xludf.DUMMYFUNCTION("""COMPUTED_VALUE"""),"TRIMESTRE 2")</f>
        <v>TRIMESTRE 2</v>
      </c>
      <c r="M359" s="89" t="str">
        <f ca="1">IFERROR(__xludf.DUMMYFUNCTION("""COMPUTED_VALUE"""),"HOMBRES ADULTOS")</f>
        <v>HOMBRES ADULTOS</v>
      </c>
    </row>
    <row r="360" spans="1:13">
      <c r="A360" s="89" t="str">
        <f ca="1">IFERROR(__xludf.DUMMYFUNCTION("""COMPUTED_VALUE"""),"4.1.3.0")</f>
        <v>4.1.3.0</v>
      </c>
      <c r="B360" s="89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360" s="89" t="str">
        <f ca="1">IFERROR(__xludf.DUMMYFUNCTION("""COMPUTED_VALUE"""),"4. Programas")</f>
        <v>4. Programas</v>
      </c>
      <c r="D360" s="89" t="str">
        <f ca="1">IFERROR(__xludf.DUMMYFUNCTION("""COMPUTED_VALUE"""),"Guadalajara: Capital de las niñas y los niños")</f>
        <v>Guadalajara: Capital de las niñas y los niños</v>
      </c>
      <c r="E360" s="89" t="str">
        <f ca="1">IFERROR(__xludf.DUMMYFUNCTION("""COMPUTED_VALUE"""),"Custodia, tutela, adopciones y acogimiento familiar")</f>
        <v>Custodia, tutela, adopciones y acogimiento familiar</v>
      </c>
      <c r="F360" s="89" t="str">
        <f ca="1">IFERROR(__xludf.DUMMYFUNCTION("""COMPUTED_VALUE"""),"C3. NNA del municipio de Guadalajara que recibieron servicios para la protección y restitución de sus derechos")</f>
        <v>C3. NNA del municipio de Guadalajara que recibieron servicios para la protección y restitución de sus derechos</v>
      </c>
      <c r="G360" s="89" t="str">
        <f ca="1">IFERROR(__xludf.DUMMYFUNCTION("""COMPUTED_VALUE"""),"Porcentaje de NNA con al menos un derecho protegido y/o restituido por la DIPNNA, en 2023")</f>
        <v>Porcentaje de NNA con al menos un derecho protegido y/o restituido por la DIPNNA, en 2023</v>
      </c>
      <c r="H360" s="89" t="str">
        <f ca="1">IFERROR(__xludf.DUMMYFUNCTION("""COMPUTED_VALUE"""),"AMM Junio")</f>
        <v>AMM Junio</v>
      </c>
      <c r="I360" s="89" t="str">
        <f ca="1">IFERROR(__xludf.DUMMYFUNCTION("""COMPUTED_VALUE"""),"Junio")</f>
        <v>Junio</v>
      </c>
      <c r="J360" s="89" t="str">
        <f ca="1">IFERROR(__xludf.DUMMYFUNCTION("""COMPUTED_VALUE"""),"AMM")</f>
        <v>AMM</v>
      </c>
      <c r="K360" s="92"/>
      <c r="L360" s="89" t="str">
        <f ca="1">IFERROR(__xludf.DUMMYFUNCTION("""COMPUTED_VALUE"""),"TRIMESTRE 2")</f>
        <v>TRIMESTRE 2</v>
      </c>
      <c r="M360" s="89" t="str">
        <f ca="1">IFERROR(__xludf.DUMMYFUNCTION("""COMPUTED_VALUE"""),"ADULTA MAYOR MUJER")</f>
        <v>ADULTA MAYOR MUJER</v>
      </c>
    </row>
    <row r="361" spans="1:13">
      <c r="A361" s="89" t="str">
        <f ca="1">IFERROR(__xludf.DUMMYFUNCTION("""COMPUTED_VALUE"""),"4.1.3.0")</f>
        <v>4.1.3.0</v>
      </c>
      <c r="B361" s="89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361" s="89" t="str">
        <f ca="1">IFERROR(__xludf.DUMMYFUNCTION("""COMPUTED_VALUE"""),"4. Programas")</f>
        <v>4. Programas</v>
      </c>
      <c r="D361" s="89" t="str">
        <f ca="1">IFERROR(__xludf.DUMMYFUNCTION("""COMPUTED_VALUE"""),"Guadalajara: Capital de las niñas y los niños")</f>
        <v>Guadalajara: Capital de las niñas y los niños</v>
      </c>
      <c r="E361" s="89" t="str">
        <f ca="1">IFERROR(__xludf.DUMMYFUNCTION("""COMPUTED_VALUE"""),"Custodia, tutela, adopciones y acogimiento familiar")</f>
        <v>Custodia, tutela, adopciones y acogimiento familiar</v>
      </c>
      <c r="F361" s="89" t="str">
        <f ca="1">IFERROR(__xludf.DUMMYFUNCTION("""COMPUTED_VALUE"""),"C3. NNA del municipio de Guadalajara que recibieron servicios para la protección y restitución de sus derechos")</f>
        <v>C3. NNA del municipio de Guadalajara que recibieron servicios para la protección y restitución de sus derechos</v>
      </c>
      <c r="G361" s="89" t="str">
        <f ca="1">IFERROR(__xludf.DUMMYFUNCTION("""COMPUTED_VALUE"""),"Porcentaje de NNA con al menos un derecho protegido y/o restituido por la DIPNNA, en 2023")</f>
        <v>Porcentaje de NNA con al menos un derecho protegido y/o restituido por la DIPNNA, en 2023</v>
      </c>
      <c r="H361" s="89" t="str">
        <f ca="1">IFERROR(__xludf.DUMMYFUNCTION("""COMPUTED_VALUE"""),"AMH Junio")</f>
        <v>AMH Junio</v>
      </c>
      <c r="I361" s="89" t="str">
        <f ca="1">IFERROR(__xludf.DUMMYFUNCTION("""COMPUTED_VALUE"""),"Junio")</f>
        <v>Junio</v>
      </c>
      <c r="J361" s="89" t="str">
        <f ca="1">IFERROR(__xludf.DUMMYFUNCTION("""COMPUTED_VALUE"""),"AMH")</f>
        <v>AMH</v>
      </c>
      <c r="K361" s="92"/>
      <c r="L361" s="89" t="str">
        <f ca="1">IFERROR(__xludf.DUMMYFUNCTION("""COMPUTED_VALUE"""),"TRIMESTRE 2")</f>
        <v>TRIMESTRE 2</v>
      </c>
      <c r="M361" s="89" t="str">
        <f ca="1">IFERROR(__xludf.DUMMYFUNCTION("""COMPUTED_VALUE"""),"ADULTO MAYOR HOMBRE")</f>
        <v>ADULTO MAYOR HOMBRE</v>
      </c>
    </row>
    <row r="362" spans="1:13">
      <c r="A362" s="89" t="str">
        <f ca="1">IFERROR(__xludf.DUMMYFUNCTION("""COMPUTED_VALUE"""),"4.1.3.1")</f>
        <v>4.1.3.1</v>
      </c>
      <c r="B362" s="89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362" s="89" t="str">
        <f ca="1">IFERROR(__xludf.DUMMYFUNCTION("""COMPUTED_VALUE"""),"4. Programas")</f>
        <v>4. Programas</v>
      </c>
      <c r="D362" s="89" t="str">
        <f ca="1">IFERROR(__xludf.DUMMYFUNCTION("""COMPUTED_VALUE"""),"Guadalajara: Capital de las niñas y los niños")</f>
        <v>Guadalajara: Capital de las niñas y los niños</v>
      </c>
      <c r="E362" s="89" t="str">
        <f ca="1">IFERROR(__xludf.DUMMYFUNCTION("""COMPUTED_VALUE"""),"Custodia, tutela, adopciones y acogimiento familiar")</f>
        <v>Custodia, tutela, adopciones y acogimiento familiar</v>
      </c>
      <c r="F362" s="89" t="str">
        <f ca="1">IFERROR(__xludf.DUMMYFUNCTION("""COMPUTED_VALUE"""),"A1C3, Nuevas medidas de protección dictadas atendidas")</f>
        <v>A1C3, Nuevas medidas de protección dictadas atendidas</v>
      </c>
      <c r="G362" s="89" t="str">
        <f ca="1">IFERROR(__xludf.DUMMYFUNCTION("""COMPUTED_VALUE"""),"Porcentaje de NNA a los que se les dio seguimientos en las nuevas medidas de protección dictadas en 2023")</f>
        <v>Porcentaje de NNA a los que se les dio seguimientos en las nuevas medidas de protección dictadas en 2023</v>
      </c>
      <c r="H362" s="89" t="str">
        <f ca="1">IFERROR(__xludf.DUMMYFUNCTION("""COMPUTED_VALUE"""),"NAS Junio")</f>
        <v>NAS Junio</v>
      </c>
      <c r="I362" s="89" t="str">
        <f ca="1">IFERROR(__xludf.DUMMYFUNCTION("""COMPUTED_VALUE"""),"Junio")</f>
        <v>Junio</v>
      </c>
      <c r="J362" s="89" t="str">
        <f ca="1">IFERROR(__xludf.DUMMYFUNCTION("""COMPUTED_VALUE"""),"NAS")</f>
        <v>NAS</v>
      </c>
      <c r="K362" s="92">
        <f ca="1">IFERROR(__xludf.DUMMYFUNCTION("""COMPUTED_VALUE"""),9)</f>
        <v>9</v>
      </c>
      <c r="L362" s="89" t="str">
        <f ca="1">IFERROR(__xludf.DUMMYFUNCTION("""COMPUTED_VALUE"""),"TRIMESTRE 2")</f>
        <v>TRIMESTRE 2</v>
      </c>
      <c r="M362" s="89" t="str">
        <f ca="1">IFERROR(__xludf.DUMMYFUNCTION("""COMPUTED_VALUE"""),"NIÑAS")</f>
        <v>NIÑAS</v>
      </c>
    </row>
    <row r="363" spans="1:13">
      <c r="A363" s="89" t="str">
        <f ca="1">IFERROR(__xludf.DUMMYFUNCTION("""COMPUTED_VALUE"""),"4.1.3.1")</f>
        <v>4.1.3.1</v>
      </c>
      <c r="B363" s="89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363" s="89" t="str">
        <f ca="1">IFERROR(__xludf.DUMMYFUNCTION("""COMPUTED_VALUE"""),"4. Programas")</f>
        <v>4. Programas</v>
      </c>
      <c r="D363" s="89" t="str">
        <f ca="1">IFERROR(__xludf.DUMMYFUNCTION("""COMPUTED_VALUE"""),"Guadalajara: Capital de las niñas y los niños")</f>
        <v>Guadalajara: Capital de las niñas y los niños</v>
      </c>
      <c r="E363" s="89" t="str">
        <f ca="1">IFERROR(__xludf.DUMMYFUNCTION("""COMPUTED_VALUE"""),"Custodia, tutela, adopciones y acogimiento familiar")</f>
        <v>Custodia, tutela, adopciones y acogimiento familiar</v>
      </c>
      <c r="F363" s="89" t="str">
        <f ca="1">IFERROR(__xludf.DUMMYFUNCTION("""COMPUTED_VALUE"""),"A1C3, Nuevas medidas de protección dictadas atendidas")</f>
        <v>A1C3, Nuevas medidas de protección dictadas atendidas</v>
      </c>
      <c r="G363" s="89" t="str">
        <f ca="1">IFERROR(__xludf.DUMMYFUNCTION("""COMPUTED_VALUE"""),"Porcentaje de NNA a los que se les dio seguimientos en las nuevas medidas de protección dictadas en 2023")</f>
        <v>Porcentaje de NNA a los que se les dio seguimientos en las nuevas medidas de protección dictadas en 2023</v>
      </c>
      <c r="H363" s="89" t="str">
        <f ca="1">IFERROR(__xludf.DUMMYFUNCTION("""COMPUTED_VALUE"""),"NOS Junio")</f>
        <v>NOS Junio</v>
      </c>
      <c r="I363" s="89" t="str">
        <f ca="1">IFERROR(__xludf.DUMMYFUNCTION("""COMPUTED_VALUE"""),"Junio")</f>
        <v>Junio</v>
      </c>
      <c r="J363" s="89" t="str">
        <f ca="1">IFERROR(__xludf.DUMMYFUNCTION("""COMPUTED_VALUE"""),"NOS")</f>
        <v>NOS</v>
      </c>
      <c r="K363" s="92">
        <f ca="1">IFERROR(__xludf.DUMMYFUNCTION("""COMPUTED_VALUE"""),4)</f>
        <v>4</v>
      </c>
      <c r="L363" s="89" t="str">
        <f ca="1">IFERROR(__xludf.DUMMYFUNCTION("""COMPUTED_VALUE"""),"TRIMESTRE 2")</f>
        <v>TRIMESTRE 2</v>
      </c>
      <c r="M363" s="89" t="str">
        <f ca="1">IFERROR(__xludf.DUMMYFUNCTION("""COMPUTED_VALUE"""),"NIÑOS")</f>
        <v>NIÑOS</v>
      </c>
    </row>
    <row r="364" spans="1:13">
      <c r="A364" s="89" t="str">
        <f ca="1">IFERROR(__xludf.DUMMYFUNCTION("""COMPUTED_VALUE"""),"4.1.3.1")</f>
        <v>4.1.3.1</v>
      </c>
      <c r="B364" s="89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364" s="89" t="str">
        <f ca="1">IFERROR(__xludf.DUMMYFUNCTION("""COMPUTED_VALUE"""),"4. Programas")</f>
        <v>4. Programas</v>
      </c>
      <c r="D364" s="89" t="str">
        <f ca="1">IFERROR(__xludf.DUMMYFUNCTION("""COMPUTED_VALUE"""),"Guadalajara: Capital de las niñas y los niños")</f>
        <v>Guadalajara: Capital de las niñas y los niños</v>
      </c>
      <c r="E364" s="89" t="str">
        <f ca="1">IFERROR(__xludf.DUMMYFUNCTION("""COMPUTED_VALUE"""),"Custodia, tutela, adopciones y acogimiento familiar")</f>
        <v>Custodia, tutela, adopciones y acogimiento familiar</v>
      </c>
      <c r="F364" s="89" t="str">
        <f ca="1">IFERROR(__xludf.DUMMYFUNCTION("""COMPUTED_VALUE"""),"A1C3, Nuevas medidas de protección dictadas atendidas")</f>
        <v>A1C3, Nuevas medidas de protección dictadas atendidas</v>
      </c>
      <c r="G364" s="89" t="str">
        <f ca="1">IFERROR(__xludf.DUMMYFUNCTION("""COMPUTED_VALUE"""),"Porcentaje de NNA a los que se les dio seguimientos en las nuevas medidas de protección dictadas en 2023")</f>
        <v>Porcentaje de NNA a los que se les dio seguimientos en las nuevas medidas de protección dictadas en 2023</v>
      </c>
      <c r="H364" s="89" t="str">
        <f ca="1">IFERROR(__xludf.DUMMYFUNCTION("""COMPUTED_VALUE"""),"AM JUNIO")</f>
        <v>AM JUNIO</v>
      </c>
      <c r="I364" s="89" t="str">
        <f ca="1">IFERROR(__xludf.DUMMYFUNCTION("""COMPUTED_VALUE"""),"Junio")</f>
        <v>Junio</v>
      </c>
      <c r="J364" s="89" t="str">
        <f ca="1">IFERROR(__xludf.DUMMYFUNCTION("""COMPUTED_VALUE"""),"AM")</f>
        <v>AM</v>
      </c>
      <c r="K364" s="92">
        <f ca="1">IFERROR(__xludf.DUMMYFUNCTION("""COMPUTED_VALUE"""),5)</f>
        <v>5</v>
      </c>
      <c r="L364" s="89" t="str">
        <f ca="1">IFERROR(__xludf.DUMMYFUNCTION("""COMPUTED_VALUE"""),"TRIMESTRE 2")</f>
        <v>TRIMESTRE 2</v>
      </c>
      <c r="M364" s="89" t="str">
        <f ca="1">IFERROR(__xludf.DUMMYFUNCTION("""COMPUTED_VALUE"""),"ADOLESCENTES MUJERES")</f>
        <v>ADOLESCENTES MUJERES</v>
      </c>
    </row>
    <row r="365" spans="1:13">
      <c r="A365" s="89" t="str">
        <f ca="1">IFERROR(__xludf.DUMMYFUNCTION("""COMPUTED_VALUE"""),"4.1.3.1")</f>
        <v>4.1.3.1</v>
      </c>
      <c r="B365" s="89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365" s="89" t="str">
        <f ca="1">IFERROR(__xludf.DUMMYFUNCTION("""COMPUTED_VALUE"""),"4. Programas")</f>
        <v>4. Programas</v>
      </c>
      <c r="D365" s="89" t="str">
        <f ca="1">IFERROR(__xludf.DUMMYFUNCTION("""COMPUTED_VALUE"""),"Guadalajara: Capital de las niñas y los niños")</f>
        <v>Guadalajara: Capital de las niñas y los niños</v>
      </c>
      <c r="E365" s="89" t="str">
        <f ca="1">IFERROR(__xludf.DUMMYFUNCTION("""COMPUTED_VALUE"""),"Custodia, tutela, adopciones y acogimiento familiar")</f>
        <v>Custodia, tutela, adopciones y acogimiento familiar</v>
      </c>
      <c r="F365" s="89" t="str">
        <f ca="1">IFERROR(__xludf.DUMMYFUNCTION("""COMPUTED_VALUE"""),"A1C3, Nuevas medidas de protección dictadas atendidas")</f>
        <v>A1C3, Nuevas medidas de protección dictadas atendidas</v>
      </c>
      <c r="G365" s="89" t="str">
        <f ca="1">IFERROR(__xludf.DUMMYFUNCTION("""COMPUTED_VALUE"""),"Porcentaje de NNA a los que se les dio seguimientos en las nuevas medidas de protección dictadas en 2023")</f>
        <v>Porcentaje de NNA a los que se les dio seguimientos en las nuevas medidas de protección dictadas en 2023</v>
      </c>
      <c r="H365" s="89" t="str">
        <f ca="1">IFERROR(__xludf.DUMMYFUNCTION("""COMPUTED_VALUE"""),"AH JUNIO")</f>
        <v>AH JUNIO</v>
      </c>
      <c r="I365" s="89" t="str">
        <f ca="1">IFERROR(__xludf.DUMMYFUNCTION("""COMPUTED_VALUE"""),"Junio")</f>
        <v>Junio</v>
      </c>
      <c r="J365" s="89" t="str">
        <f ca="1">IFERROR(__xludf.DUMMYFUNCTION("""COMPUTED_VALUE"""),"AH")</f>
        <v>AH</v>
      </c>
      <c r="K365" s="92">
        <f ca="1">IFERROR(__xludf.DUMMYFUNCTION("""COMPUTED_VALUE"""),2)</f>
        <v>2</v>
      </c>
      <c r="L365" s="89" t="str">
        <f ca="1">IFERROR(__xludf.DUMMYFUNCTION("""COMPUTED_VALUE"""),"TRIMESTRE 2")</f>
        <v>TRIMESTRE 2</v>
      </c>
      <c r="M365" s="89" t="str">
        <f ca="1">IFERROR(__xludf.DUMMYFUNCTION("""COMPUTED_VALUE"""),"ADOLESCENTES HOMBRES")</f>
        <v>ADOLESCENTES HOMBRES</v>
      </c>
    </row>
    <row r="366" spans="1:13">
      <c r="A366" s="89" t="str">
        <f ca="1">IFERROR(__xludf.DUMMYFUNCTION("""COMPUTED_VALUE"""),"4.1.3.1")</f>
        <v>4.1.3.1</v>
      </c>
      <c r="B366" s="89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366" s="89" t="str">
        <f ca="1">IFERROR(__xludf.DUMMYFUNCTION("""COMPUTED_VALUE"""),"4. Programas")</f>
        <v>4. Programas</v>
      </c>
      <c r="D366" s="89" t="str">
        <f ca="1">IFERROR(__xludf.DUMMYFUNCTION("""COMPUTED_VALUE"""),"Guadalajara: Capital de las niñas y los niños")</f>
        <v>Guadalajara: Capital de las niñas y los niños</v>
      </c>
      <c r="E366" s="89" t="str">
        <f ca="1">IFERROR(__xludf.DUMMYFUNCTION("""COMPUTED_VALUE"""),"Custodia, tutela, adopciones y acogimiento familiar")</f>
        <v>Custodia, tutela, adopciones y acogimiento familiar</v>
      </c>
      <c r="F366" s="89" t="str">
        <f ca="1">IFERROR(__xludf.DUMMYFUNCTION("""COMPUTED_VALUE"""),"A1C3, Nuevas medidas de protección dictadas atendidas")</f>
        <v>A1C3, Nuevas medidas de protección dictadas atendidas</v>
      </c>
      <c r="G366" s="89" t="str">
        <f ca="1">IFERROR(__xludf.DUMMYFUNCTION("""COMPUTED_VALUE"""),"Porcentaje de NNA a los que se les dio seguimientos en las nuevas medidas de protección dictadas en 2023")</f>
        <v>Porcentaje de NNA a los que se les dio seguimientos en las nuevas medidas de protección dictadas en 2023</v>
      </c>
      <c r="H366" s="89" t="str">
        <f ca="1">IFERROR(__xludf.DUMMYFUNCTION("""COMPUTED_VALUE"""),"MUJ Junio")</f>
        <v>MUJ Junio</v>
      </c>
      <c r="I366" s="89" t="str">
        <f ca="1">IFERROR(__xludf.DUMMYFUNCTION("""COMPUTED_VALUE"""),"Junio")</f>
        <v>Junio</v>
      </c>
      <c r="J366" s="89" t="str">
        <f ca="1">IFERROR(__xludf.DUMMYFUNCTION("""COMPUTED_VALUE"""),"MUJ")</f>
        <v>MUJ</v>
      </c>
      <c r="K366" s="92"/>
      <c r="L366" s="89" t="str">
        <f ca="1">IFERROR(__xludf.DUMMYFUNCTION("""COMPUTED_VALUE"""),"TRIMESTRE 2")</f>
        <v>TRIMESTRE 2</v>
      </c>
      <c r="M366" s="89" t="str">
        <f ca="1">IFERROR(__xludf.DUMMYFUNCTION("""COMPUTED_VALUE"""),"MUJERES ADULTAS")</f>
        <v>MUJERES ADULTAS</v>
      </c>
    </row>
    <row r="367" spans="1:13">
      <c r="A367" s="89" t="str">
        <f ca="1">IFERROR(__xludf.DUMMYFUNCTION("""COMPUTED_VALUE"""),"4.1.3.1")</f>
        <v>4.1.3.1</v>
      </c>
      <c r="B367" s="89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367" s="89" t="str">
        <f ca="1">IFERROR(__xludf.DUMMYFUNCTION("""COMPUTED_VALUE"""),"4. Programas")</f>
        <v>4. Programas</v>
      </c>
      <c r="D367" s="89" t="str">
        <f ca="1">IFERROR(__xludf.DUMMYFUNCTION("""COMPUTED_VALUE"""),"Guadalajara: Capital de las niñas y los niños")</f>
        <v>Guadalajara: Capital de las niñas y los niños</v>
      </c>
      <c r="E367" s="89" t="str">
        <f ca="1">IFERROR(__xludf.DUMMYFUNCTION("""COMPUTED_VALUE"""),"Custodia, tutela, adopciones y acogimiento familiar")</f>
        <v>Custodia, tutela, adopciones y acogimiento familiar</v>
      </c>
      <c r="F367" s="89" t="str">
        <f ca="1">IFERROR(__xludf.DUMMYFUNCTION("""COMPUTED_VALUE"""),"A1C3, Nuevas medidas de protección dictadas atendidas")</f>
        <v>A1C3, Nuevas medidas de protección dictadas atendidas</v>
      </c>
      <c r="G367" s="89" t="str">
        <f ca="1">IFERROR(__xludf.DUMMYFUNCTION("""COMPUTED_VALUE"""),"Porcentaje de NNA a los que se les dio seguimientos en las nuevas medidas de protección dictadas en 2023")</f>
        <v>Porcentaje de NNA a los que se les dio seguimientos en las nuevas medidas de protección dictadas en 2023</v>
      </c>
      <c r="H367" s="89" t="str">
        <f ca="1">IFERROR(__xludf.DUMMYFUNCTION("""COMPUTED_VALUE"""),"HOM Junio")</f>
        <v>HOM Junio</v>
      </c>
      <c r="I367" s="89" t="str">
        <f ca="1">IFERROR(__xludf.DUMMYFUNCTION("""COMPUTED_VALUE"""),"Junio")</f>
        <v>Junio</v>
      </c>
      <c r="J367" s="89" t="str">
        <f ca="1">IFERROR(__xludf.DUMMYFUNCTION("""COMPUTED_VALUE"""),"HOM")</f>
        <v>HOM</v>
      </c>
      <c r="K367" s="92"/>
      <c r="L367" s="89" t="str">
        <f ca="1">IFERROR(__xludf.DUMMYFUNCTION("""COMPUTED_VALUE"""),"TRIMESTRE 2")</f>
        <v>TRIMESTRE 2</v>
      </c>
      <c r="M367" s="89" t="str">
        <f ca="1">IFERROR(__xludf.DUMMYFUNCTION("""COMPUTED_VALUE"""),"HOMBRES ADULTOS")</f>
        <v>HOMBRES ADULTOS</v>
      </c>
    </row>
    <row r="368" spans="1:13">
      <c r="A368" s="89" t="str">
        <f ca="1">IFERROR(__xludf.DUMMYFUNCTION("""COMPUTED_VALUE"""),"4.1.3.1")</f>
        <v>4.1.3.1</v>
      </c>
      <c r="B368" s="89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368" s="89" t="str">
        <f ca="1">IFERROR(__xludf.DUMMYFUNCTION("""COMPUTED_VALUE"""),"4. Programas")</f>
        <v>4. Programas</v>
      </c>
      <c r="D368" s="89" t="str">
        <f ca="1">IFERROR(__xludf.DUMMYFUNCTION("""COMPUTED_VALUE"""),"Guadalajara: Capital de las niñas y los niños")</f>
        <v>Guadalajara: Capital de las niñas y los niños</v>
      </c>
      <c r="E368" s="89" t="str">
        <f ca="1">IFERROR(__xludf.DUMMYFUNCTION("""COMPUTED_VALUE"""),"Custodia, tutela, adopciones y acogimiento familiar")</f>
        <v>Custodia, tutela, adopciones y acogimiento familiar</v>
      </c>
      <c r="F368" s="89" t="str">
        <f ca="1">IFERROR(__xludf.DUMMYFUNCTION("""COMPUTED_VALUE"""),"A1C3, Nuevas medidas de protección dictadas atendidas")</f>
        <v>A1C3, Nuevas medidas de protección dictadas atendidas</v>
      </c>
      <c r="G368" s="89" t="str">
        <f ca="1">IFERROR(__xludf.DUMMYFUNCTION("""COMPUTED_VALUE"""),"Porcentaje de NNA a los que se les dio seguimientos en las nuevas medidas de protección dictadas en 2023")</f>
        <v>Porcentaje de NNA a los que se les dio seguimientos en las nuevas medidas de protección dictadas en 2023</v>
      </c>
      <c r="H368" s="89" t="str">
        <f ca="1">IFERROR(__xludf.DUMMYFUNCTION("""COMPUTED_VALUE"""),"AMM Junio")</f>
        <v>AMM Junio</v>
      </c>
      <c r="I368" s="89" t="str">
        <f ca="1">IFERROR(__xludf.DUMMYFUNCTION("""COMPUTED_VALUE"""),"Junio")</f>
        <v>Junio</v>
      </c>
      <c r="J368" s="89" t="str">
        <f ca="1">IFERROR(__xludf.DUMMYFUNCTION("""COMPUTED_VALUE"""),"AMM")</f>
        <v>AMM</v>
      </c>
      <c r="K368" s="92"/>
      <c r="L368" s="89" t="str">
        <f ca="1">IFERROR(__xludf.DUMMYFUNCTION("""COMPUTED_VALUE"""),"TRIMESTRE 2")</f>
        <v>TRIMESTRE 2</v>
      </c>
      <c r="M368" s="89" t="str">
        <f ca="1">IFERROR(__xludf.DUMMYFUNCTION("""COMPUTED_VALUE"""),"ADULTA MAYOR MUJER")</f>
        <v>ADULTA MAYOR MUJER</v>
      </c>
    </row>
    <row r="369" spans="1:13">
      <c r="A369" s="89" t="str">
        <f ca="1">IFERROR(__xludf.DUMMYFUNCTION("""COMPUTED_VALUE"""),"4.1.3.1")</f>
        <v>4.1.3.1</v>
      </c>
      <c r="B369" s="89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369" s="89" t="str">
        <f ca="1">IFERROR(__xludf.DUMMYFUNCTION("""COMPUTED_VALUE"""),"4. Programas")</f>
        <v>4. Programas</v>
      </c>
      <c r="D369" s="89" t="str">
        <f ca="1">IFERROR(__xludf.DUMMYFUNCTION("""COMPUTED_VALUE"""),"Guadalajara: Capital de las niñas y los niños")</f>
        <v>Guadalajara: Capital de las niñas y los niños</v>
      </c>
      <c r="E369" s="89" t="str">
        <f ca="1">IFERROR(__xludf.DUMMYFUNCTION("""COMPUTED_VALUE"""),"Custodia, tutela, adopciones y acogimiento familiar")</f>
        <v>Custodia, tutela, adopciones y acogimiento familiar</v>
      </c>
      <c r="F369" s="89" t="str">
        <f ca="1">IFERROR(__xludf.DUMMYFUNCTION("""COMPUTED_VALUE"""),"A1C3, Nuevas medidas de protección dictadas atendidas")</f>
        <v>A1C3, Nuevas medidas de protección dictadas atendidas</v>
      </c>
      <c r="G369" s="89" t="str">
        <f ca="1">IFERROR(__xludf.DUMMYFUNCTION("""COMPUTED_VALUE"""),"Porcentaje de NNA a los que se les dio seguimientos en las nuevas medidas de protección dictadas en 2023")</f>
        <v>Porcentaje de NNA a los que se les dio seguimientos en las nuevas medidas de protección dictadas en 2023</v>
      </c>
      <c r="H369" s="89" t="str">
        <f ca="1">IFERROR(__xludf.DUMMYFUNCTION("""COMPUTED_VALUE"""),"AMH Junio")</f>
        <v>AMH Junio</v>
      </c>
      <c r="I369" s="89" t="str">
        <f ca="1">IFERROR(__xludf.DUMMYFUNCTION("""COMPUTED_VALUE"""),"Junio")</f>
        <v>Junio</v>
      </c>
      <c r="J369" s="89" t="str">
        <f ca="1">IFERROR(__xludf.DUMMYFUNCTION("""COMPUTED_VALUE"""),"AMH")</f>
        <v>AMH</v>
      </c>
      <c r="K369" s="92"/>
      <c r="L369" s="89" t="str">
        <f ca="1">IFERROR(__xludf.DUMMYFUNCTION("""COMPUTED_VALUE"""),"TRIMESTRE 2")</f>
        <v>TRIMESTRE 2</v>
      </c>
      <c r="M369" s="89" t="str">
        <f ca="1">IFERROR(__xludf.DUMMYFUNCTION("""COMPUTED_VALUE"""),"ADULTO MAYOR HOMBRE")</f>
        <v>ADULTO MAYOR HOMBRE</v>
      </c>
    </row>
    <row r="370" spans="1:13">
      <c r="A370" s="89" t="str">
        <f ca="1">IFERROR(__xludf.DUMMYFUNCTION("""COMPUTED_VALUE"""),"4.1.3.2")</f>
        <v>4.1.3.2</v>
      </c>
      <c r="B370" s="89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370" s="89" t="str">
        <f ca="1">IFERROR(__xludf.DUMMYFUNCTION("""COMPUTED_VALUE"""),"4. Programas")</f>
        <v>4. Programas</v>
      </c>
      <c r="D370" s="89" t="str">
        <f ca="1">IFERROR(__xludf.DUMMYFUNCTION("""COMPUTED_VALUE"""),"Guadalajara: Capital de las niñas y los niños")</f>
        <v>Guadalajara: Capital de las niñas y los niños</v>
      </c>
      <c r="E370" s="89" t="str">
        <f ca="1">IFERROR(__xludf.DUMMYFUNCTION("""COMPUTED_VALUE"""),"Custodia, tutela, adopciones y acogimiento familiar")</f>
        <v>Custodia, tutela, adopciones y acogimiento familiar</v>
      </c>
      <c r="F370" s="89" t="str">
        <f ca="1">IFERROR(__xludf.DUMMYFUNCTION("""COMPUTED_VALUE"""),"A2C3. Medidas de protección dictadas que se les dio seguimiento")</f>
        <v>A2C3. Medidas de protección dictadas que se les dio seguimiento</v>
      </c>
      <c r="G370" s="89" t="str">
        <f ca="1">IFERROR(__xludf.DUMMYFUNCTION("""COMPUTED_VALUE"""),"Porcentaje de NNA a los que se les dio seguimientos en las medidas de protección dictadas, en 2023")</f>
        <v>Porcentaje de NNA a los que se les dio seguimientos en las medidas de protección dictadas, en 2023</v>
      </c>
      <c r="H370" s="89" t="str">
        <f ca="1">IFERROR(__xludf.DUMMYFUNCTION("""COMPUTED_VALUE"""),"NAS Junio")</f>
        <v>NAS Junio</v>
      </c>
      <c r="I370" s="89" t="str">
        <f ca="1">IFERROR(__xludf.DUMMYFUNCTION("""COMPUTED_VALUE"""),"Junio")</f>
        <v>Junio</v>
      </c>
      <c r="J370" s="89" t="str">
        <f ca="1">IFERROR(__xludf.DUMMYFUNCTION("""COMPUTED_VALUE"""),"NAS")</f>
        <v>NAS</v>
      </c>
      <c r="K370" s="92">
        <f ca="1">IFERROR(__xludf.DUMMYFUNCTION("""COMPUTED_VALUE"""),46)</f>
        <v>46</v>
      </c>
      <c r="L370" s="89" t="str">
        <f ca="1">IFERROR(__xludf.DUMMYFUNCTION("""COMPUTED_VALUE"""),"TRIMESTRE 2")</f>
        <v>TRIMESTRE 2</v>
      </c>
      <c r="M370" s="89" t="str">
        <f ca="1">IFERROR(__xludf.DUMMYFUNCTION("""COMPUTED_VALUE"""),"NIÑAS")</f>
        <v>NIÑAS</v>
      </c>
    </row>
    <row r="371" spans="1:13">
      <c r="A371" s="89" t="str">
        <f ca="1">IFERROR(__xludf.DUMMYFUNCTION("""COMPUTED_VALUE"""),"4.1.3.2")</f>
        <v>4.1.3.2</v>
      </c>
      <c r="B371" s="89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371" s="89" t="str">
        <f ca="1">IFERROR(__xludf.DUMMYFUNCTION("""COMPUTED_VALUE"""),"4. Programas")</f>
        <v>4. Programas</v>
      </c>
      <c r="D371" s="89" t="str">
        <f ca="1">IFERROR(__xludf.DUMMYFUNCTION("""COMPUTED_VALUE"""),"Guadalajara: Capital de las niñas y los niños")</f>
        <v>Guadalajara: Capital de las niñas y los niños</v>
      </c>
      <c r="E371" s="89" t="str">
        <f ca="1">IFERROR(__xludf.DUMMYFUNCTION("""COMPUTED_VALUE"""),"Custodia, tutela, adopciones y acogimiento familiar")</f>
        <v>Custodia, tutela, adopciones y acogimiento familiar</v>
      </c>
      <c r="F371" s="89" t="str">
        <f ca="1">IFERROR(__xludf.DUMMYFUNCTION("""COMPUTED_VALUE"""),"A2C3. Medidas de protección dictadas que se les dio seguimiento")</f>
        <v>A2C3. Medidas de protección dictadas que se les dio seguimiento</v>
      </c>
      <c r="G371" s="89" t="str">
        <f ca="1">IFERROR(__xludf.DUMMYFUNCTION("""COMPUTED_VALUE"""),"Porcentaje de NNA a los que se les dio seguimientos en las medidas de protección dictadas, en 2023")</f>
        <v>Porcentaje de NNA a los que se les dio seguimientos en las medidas de protección dictadas, en 2023</v>
      </c>
      <c r="H371" s="89" t="str">
        <f ca="1">IFERROR(__xludf.DUMMYFUNCTION("""COMPUTED_VALUE"""),"NOS Junio")</f>
        <v>NOS Junio</v>
      </c>
      <c r="I371" s="89" t="str">
        <f ca="1">IFERROR(__xludf.DUMMYFUNCTION("""COMPUTED_VALUE"""),"Junio")</f>
        <v>Junio</v>
      </c>
      <c r="J371" s="89" t="str">
        <f ca="1">IFERROR(__xludf.DUMMYFUNCTION("""COMPUTED_VALUE"""),"NOS")</f>
        <v>NOS</v>
      </c>
      <c r="K371" s="92">
        <f ca="1">IFERROR(__xludf.DUMMYFUNCTION("""COMPUTED_VALUE"""),59)</f>
        <v>59</v>
      </c>
      <c r="L371" s="89" t="str">
        <f ca="1">IFERROR(__xludf.DUMMYFUNCTION("""COMPUTED_VALUE"""),"TRIMESTRE 2")</f>
        <v>TRIMESTRE 2</v>
      </c>
      <c r="M371" s="89" t="str">
        <f ca="1">IFERROR(__xludf.DUMMYFUNCTION("""COMPUTED_VALUE"""),"NIÑOS")</f>
        <v>NIÑOS</v>
      </c>
    </row>
    <row r="372" spans="1:13">
      <c r="A372" s="89" t="str">
        <f ca="1">IFERROR(__xludf.DUMMYFUNCTION("""COMPUTED_VALUE"""),"4.1.3.2")</f>
        <v>4.1.3.2</v>
      </c>
      <c r="B372" s="89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372" s="89" t="str">
        <f ca="1">IFERROR(__xludf.DUMMYFUNCTION("""COMPUTED_VALUE"""),"4. Programas")</f>
        <v>4. Programas</v>
      </c>
      <c r="D372" s="89" t="str">
        <f ca="1">IFERROR(__xludf.DUMMYFUNCTION("""COMPUTED_VALUE"""),"Guadalajara: Capital de las niñas y los niños")</f>
        <v>Guadalajara: Capital de las niñas y los niños</v>
      </c>
      <c r="E372" s="89" t="str">
        <f ca="1">IFERROR(__xludf.DUMMYFUNCTION("""COMPUTED_VALUE"""),"Custodia, tutela, adopciones y acogimiento familiar")</f>
        <v>Custodia, tutela, adopciones y acogimiento familiar</v>
      </c>
      <c r="F372" s="89" t="str">
        <f ca="1">IFERROR(__xludf.DUMMYFUNCTION("""COMPUTED_VALUE"""),"A2C3. Medidas de protección dictadas que se les dio seguimiento")</f>
        <v>A2C3. Medidas de protección dictadas que se les dio seguimiento</v>
      </c>
      <c r="G372" s="89" t="str">
        <f ca="1">IFERROR(__xludf.DUMMYFUNCTION("""COMPUTED_VALUE"""),"Porcentaje de NNA a los que se les dio seguimientos en las medidas de protección dictadas, en 2023")</f>
        <v>Porcentaje de NNA a los que se les dio seguimientos en las medidas de protección dictadas, en 2023</v>
      </c>
      <c r="H372" s="89" t="str">
        <f ca="1">IFERROR(__xludf.DUMMYFUNCTION("""COMPUTED_VALUE"""),"AM JUNIO")</f>
        <v>AM JUNIO</v>
      </c>
      <c r="I372" s="89" t="str">
        <f ca="1">IFERROR(__xludf.DUMMYFUNCTION("""COMPUTED_VALUE"""),"Junio")</f>
        <v>Junio</v>
      </c>
      <c r="J372" s="89" t="str">
        <f ca="1">IFERROR(__xludf.DUMMYFUNCTION("""COMPUTED_VALUE"""),"AM")</f>
        <v>AM</v>
      </c>
      <c r="K372" s="92">
        <f ca="1">IFERROR(__xludf.DUMMYFUNCTION("""COMPUTED_VALUE"""),8)</f>
        <v>8</v>
      </c>
      <c r="L372" s="89" t="str">
        <f ca="1">IFERROR(__xludf.DUMMYFUNCTION("""COMPUTED_VALUE"""),"TRIMESTRE 2")</f>
        <v>TRIMESTRE 2</v>
      </c>
      <c r="M372" s="89" t="str">
        <f ca="1">IFERROR(__xludf.DUMMYFUNCTION("""COMPUTED_VALUE"""),"ADOLESCENTES MUJERES")</f>
        <v>ADOLESCENTES MUJERES</v>
      </c>
    </row>
    <row r="373" spans="1:13">
      <c r="A373" s="89" t="str">
        <f ca="1">IFERROR(__xludf.DUMMYFUNCTION("""COMPUTED_VALUE"""),"4.1.3.2")</f>
        <v>4.1.3.2</v>
      </c>
      <c r="B373" s="89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373" s="89" t="str">
        <f ca="1">IFERROR(__xludf.DUMMYFUNCTION("""COMPUTED_VALUE"""),"4. Programas")</f>
        <v>4. Programas</v>
      </c>
      <c r="D373" s="89" t="str">
        <f ca="1">IFERROR(__xludf.DUMMYFUNCTION("""COMPUTED_VALUE"""),"Guadalajara: Capital de las niñas y los niños")</f>
        <v>Guadalajara: Capital de las niñas y los niños</v>
      </c>
      <c r="E373" s="89" t="str">
        <f ca="1">IFERROR(__xludf.DUMMYFUNCTION("""COMPUTED_VALUE"""),"Custodia, tutela, adopciones y acogimiento familiar")</f>
        <v>Custodia, tutela, adopciones y acogimiento familiar</v>
      </c>
      <c r="F373" s="89" t="str">
        <f ca="1">IFERROR(__xludf.DUMMYFUNCTION("""COMPUTED_VALUE"""),"A2C3. Medidas de protección dictadas que se les dio seguimiento")</f>
        <v>A2C3. Medidas de protección dictadas que se les dio seguimiento</v>
      </c>
      <c r="G373" s="89" t="str">
        <f ca="1">IFERROR(__xludf.DUMMYFUNCTION("""COMPUTED_VALUE"""),"Porcentaje de NNA a los que se les dio seguimientos en las medidas de protección dictadas, en 2023")</f>
        <v>Porcentaje de NNA a los que se les dio seguimientos en las medidas de protección dictadas, en 2023</v>
      </c>
      <c r="H373" s="89" t="str">
        <f ca="1">IFERROR(__xludf.DUMMYFUNCTION("""COMPUTED_VALUE"""),"AH JUNIO")</f>
        <v>AH JUNIO</v>
      </c>
      <c r="I373" s="89" t="str">
        <f ca="1">IFERROR(__xludf.DUMMYFUNCTION("""COMPUTED_VALUE"""),"Junio")</f>
        <v>Junio</v>
      </c>
      <c r="J373" s="89" t="str">
        <f ca="1">IFERROR(__xludf.DUMMYFUNCTION("""COMPUTED_VALUE"""),"AH")</f>
        <v>AH</v>
      </c>
      <c r="K373" s="92">
        <f ca="1">IFERROR(__xludf.DUMMYFUNCTION("""COMPUTED_VALUE"""),9)</f>
        <v>9</v>
      </c>
      <c r="L373" s="89" t="str">
        <f ca="1">IFERROR(__xludf.DUMMYFUNCTION("""COMPUTED_VALUE"""),"TRIMESTRE 2")</f>
        <v>TRIMESTRE 2</v>
      </c>
      <c r="M373" s="89" t="str">
        <f ca="1">IFERROR(__xludf.DUMMYFUNCTION("""COMPUTED_VALUE"""),"ADOLESCENTES HOMBRES")</f>
        <v>ADOLESCENTES HOMBRES</v>
      </c>
    </row>
    <row r="374" spans="1:13">
      <c r="A374" s="89" t="str">
        <f ca="1">IFERROR(__xludf.DUMMYFUNCTION("""COMPUTED_VALUE"""),"4.1.3.2")</f>
        <v>4.1.3.2</v>
      </c>
      <c r="B374" s="89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374" s="89" t="str">
        <f ca="1">IFERROR(__xludf.DUMMYFUNCTION("""COMPUTED_VALUE"""),"4. Programas")</f>
        <v>4. Programas</v>
      </c>
      <c r="D374" s="89" t="str">
        <f ca="1">IFERROR(__xludf.DUMMYFUNCTION("""COMPUTED_VALUE"""),"Guadalajara: Capital de las niñas y los niños")</f>
        <v>Guadalajara: Capital de las niñas y los niños</v>
      </c>
      <c r="E374" s="89" t="str">
        <f ca="1">IFERROR(__xludf.DUMMYFUNCTION("""COMPUTED_VALUE"""),"Custodia, tutela, adopciones y acogimiento familiar")</f>
        <v>Custodia, tutela, adopciones y acogimiento familiar</v>
      </c>
      <c r="F374" s="89" t="str">
        <f ca="1">IFERROR(__xludf.DUMMYFUNCTION("""COMPUTED_VALUE"""),"A2C3. Medidas de protección dictadas que se les dio seguimiento")</f>
        <v>A2C3. Medidas de protección dictadas que se les dio seguimiento</v>
      </c>
      <c r="G374" s="89" t="str">
        <f ca="1">IFERROR(__xludf.DUMMYFUNCTION("""COMPUTED_VALUE"""),"Porcentaje de NNA a los que se les dio seguimientos en las medidas de protección dictadas, en 2023")</f>
        <v>Porcentaje de NNA a los que se les dio seguimientos en las medidas de protección dictadas, en 2023</v>
      </c>
      <c r="H374" s="89" t="str">
        <f ca="1">IFERROR(__xludf.DUMMYFUNCTION("""COMPUTED_VALUE"""),"MUJ Junio")</f>
        <v>MUJ Junio</v>
      </c>
      <c r="I374" s="89" t="str">
        <f ca="1">IFERROR(__xludf.DUMMYFUNCTION("""COMPUTED_VALUE"""),"Junio")</f>
        <v>Junio</v>
      </c>
      <c r="J374" s="89" t="str">
        <f ca="1">IFERROR(__xludf.DUMMYFUNCTION("""COMPUTED_VALUE"""),"MUJ")</f>
        <v>MUJ</v>
      </c>
      <c r="K374" s="92"/>
      <c r="L374" s="89" t="str">
        <f ca="1">IFERROR(__xludf.DUMMYFUNCTION("""COMPUTED_VALUE"""),"TRIMESTRE 2")</f>
        <v>TRIMESTRE 2</v>
      </c>
      <c r="M374" s="89" t="str">
        <f ca="1">IFERROR(__xludf.DUMMYFUNCTION("""COMPUTED_VALUE"""),"MUJERES ADULTAS")</f>
        <v>MUJERES ADULTAS</v>
      </c>
    </row>
    <row r="375" spans="1:13">
      <c r="A375" s="89" t="str">
        <f ca="1">IFERROR(__xludf.DUMMYFUNCTION("""COMPUTED_VALUE"""),"4.1.3.2")</f>
        <v>4.1.3.2</v>
      </c>
      <c r="B375" s="89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375" s="89" t="str">
        <f ca="1">IFERROR(__xludf.DUMMYFUNCTION("""COMPUTED_VALUE"""),"4. Programas")</f>
        <v>4. Programas</v>
      </c>
      <c r="D375" s="89" t="str">
        <f ca="1">IFERROR(__xludf.DUMMYFUNCTION("""COMPUTED_VALUE"""),"Guadalajara: Capital de las niñas y los niños")</f>
        <v>Guadalajara: Capital de las niñas y los niños</v>
      </c>
      <c r="E375" s="89" t="str">
        <f ca="1">IFERROR(__xludf.DUMMYFUNCTION("""COMPUTED_VALUE"""),"Custodia, tutela, adopciones y acogimiento familiar")</f>
        <v>Custodia, tutela, adopciones y acogimiento familiar</v>
      </c>
      <c r="F375" s="89" t="str">
        <f ca="1">IFERROR(__xludf.DUMMYFUNCTION("""COMPUTED_VALUE"""),"A2C3. Medidas de protección dictadas que se les dio seguimiento")</f>
        <v>A2C3. Medidas de protección dictadas que se les dio seguimiento</v>
      </c>
      <c r="G375" s="89" t="str">
        <f ca="1">IFERROR(__xludf.DUMMYFUNCTION("""COMPUTED_VALUE"""),"Porcentaje de NNA a los que se les dio seguimientos en las medidas de protección dictadas, en 2023")</f>
        <v>Porcentaje de NNA a los que se les dio seguimientos en las medidas de protección dictadas, en 2023</v>
      </c>
      <c r="H375" s="89" t="str">
        <f ca="1">IFERROR(__xludf.DUMMYFUNCTION("""COMPUTED_VALUE"""),"HOM Junio")</f>
        <v>HOM Junio</v>
      </c>
      <c r="I375" s="89" t="str">
        <f ca="1">IFERROR(__xludf.DUMMYFUNCTION("""COMPUTED_VALUE"""),"Junio")</f>
        <v>Junio</v>
      </c>
      <c r="J375" s="89" t="str">
        <f ca="1">IFERROR(__xludf.DUMMYFUNCTION("""COMPUTED_VALUE"""),"HOM")</f>
        <v>HOM</v>
      </c>
      <c r="K375" s="92"/>
      <c r="L375" s="89" t="str">
        <f ca="1">IFERROR(__xludf.DUMMYFUNCTION("""COMPUTED_VALUE"""),"TRIMESTRE 2")</f>
        <v>TRIMESTRE 2</v>
      </c>
      <c r="M375" s="89" t="str">
        <f ca="1">IFERROR(__xludf.DUMMYFUNCTION("""COMPUTED_VALUE"""),"HOMBRES ADULTOS")</f>
        <v>HOMBRES ADULTOS</v>
      </c>
    </row>
    <row r="376" spans="1:13">
      <c r="A376" s="89" t="str">
        <f ca="1">IFERROR(__xludf.DUMMYFUNCTION("""COMPUTED_VALUE"""),"4.1.3.2")</f>
        <v>4.1.3.2</v>
      </c>
      <c r="B376" s="89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376" s="89" t="str">
        <f ca="1">IFERROR(__xludf.DUMMYFUNCTION("""COMPUTED_VALUE"""),"4. Programas")</f>
        <v>4. Programas</v>
      </c>
      <c r="D376" s="89" t="str">
        <f ca="1">IFERROR(__xludf.DUMMYFUNCTION("""COMPUTED_VALUE"""),"Guadalajara: Capital de las niñas y los niños")</f>
        <v>Guadalajara: Capital de las niñas y los niños</v>
      </c>
      <c r="E376" s="89" t="str">
        <f ca="1">IFERROR(__xludf.DUMMYFUNCTION("""COMPUTED_VALUE"""),"Custodia, tutela, adopciones y acogimiento familiar")</f>
        <v>Custodia, tutela, adopciones y acogimiento familiar</v>
      </c>
      <c r="F376" s="89" t="str">
        <f ca="1">IFERROR(__xludf.DUMMYFUNCTION("""COMPUTED_VALUE"""),"A2C3. Medidas de protección dictadas que se les dio seguimiento")</f>
        <v>A2C3. Medidas de protección dictadas que se les dio seguimiento</v>
      </c>
      <c r="G376" s="89" t="str">
        <f ca="1">IFERROR(__xludf.DUMMYFUNCTION("""COMPUTED_VALUE"""),"Porcentaje de NNA a los que se les dio seguimientos en las medidas de protección dictadas, en 2023")</f>
        <v>Porcentaje de NNA a los que se les dio seguimientos en las medidas de protección dictadas, en 2023</v>
      </c>
      <c r="H376" s="89" t="str">
        <f ca="1">IFERROR(__xludf.DUMMYFUNCTION("""COMPUTED_VALUE"""),"AMM Junio")</f>
        <v>AMM Junio</v>
      </c>
      <c r="I376" s="89" t="str">
        <f ca="1">IFERROR(__xludf.DUMMYFUNCTION("""COMPUTED_VALUE"""),"Junio")</f>
        <v>Junio</v>
      </c>
      <c r="J376" s="89" t="str">
        <f ca="1">IFERROR(__xludf.DUMMYFUNCTION("""COMPUTED_VALUE"""),"AMM")</f>
        <v>AMM</v>
      </c>
      <c r="K376" s="92"/>
      <c r="L376" s="89" t="str">
        <f ca="1">IFERROR(__xludf.DUMMYFUNCTION("""COMPUTED_VALUE"""),"TRIMESTRE 2")</f>
        <v>TRIMESTRE 2</v>
      </c>
      <c r="M376" s="89" t="str">
        <f ca="1">IFERROR(__xludf.DUMMYFUNCTION("""COMPUTED_VALUE"""),"ADULTA MAYOR MUJER")</f>
        <v>ADULTA MAYOR MUJER</v>
      </c>
    </row>
    <row r="377" spans="1:13">
      <c r="A377" s="89" t="str">
        <f ca="1">IFERROR(__xludf.DUMMYFUNCTION("""COMPUTED_VALUE"""),"4.1.3.2")</f>
        <v>4.1.3.2</v>
      </c>
      <c r="B377" s="89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377" s="89" t="str">
        <f ca="1">IFERROR(__xludf.DUMMYFUNCTION("""COMPUTED_VALUE"""),"4. Programas")</f>
        <v>4. Programas</v>
      </c>
      <c r="D377" s="89" t="str">
        <f ca="1">IFERROR(__xludf.DUMMYFUNCTION("""COMPUTED_VALUE"""),"Guadalajara: Capital de las niñas y los niños")</f>
        <v>Guadalajara: Capital de las niñas y los niños</v>
      </c>
      <c r="E377" s="89" t="str">
        <f ca="1">IFERROR(__xludf.DUMMYFUNCTION("""COMPUTED_VALUE"""),"Custodia, tutela, adopciones y acogimiento familiar")</f>
        <v>Custodia, tutela, adopciones y acogimiento familiar</v>
      </c>
      <c r="F377" s="89" t="str">
        <f ca="1">IFERROR(__xludf.DUMMYFUNCTION("""COMPUTED_VALUE"""),"A2C3. Medidas de protección dictadas que se les dio seguimiento")</f>
        <v>A2C3. Medidas de protección dictadas que se les dio seguimiento</v>
      </c>
      <c r="G377" s="89" t="str">
        <f ca="1">IFERROR(__xludf.DUMMYFUNCTION("""COMPUTED_VALUE"""),"Porcentaje de NNA a los que se les dio seguimientos en las medidas de protección dictadas, en 2023")</f>
        <v>Porcentaje de NNA a los que se les dio seguimientos en las medidas de protección dictadas, en 2023</v>
      </c>
      <c r="H377" s="89" t="str">
        <f ca="1">IFERROR(__xludf.DUMMYFUNCTION("""COMPUTED_VALUE"""),"AMH Junio")</f>
        <v>AMH Junio</v>
      </c>
      <c r="I377" s="89" t="str">
        <f ca="1">IFERROR(__xludf.DUMMYFUNCTION("""COMPUTED_VALUE"""),"Junio")</f>
        <v>Junio</v>
      </c>
      <c r="J377" s="89" t="str">
        <f ca="1">IFERROR(__xludf.DUMMYFUNCTION("""COMPUTED_VALUE"""),"AMH")</f>
        <v>AMH</v>
      </c>
      <c r="K377" s="92"/>
      <c r="L377" s="89" t="str">
        <f ca="1">IFERROR(__xludf.DUMMYFUNCTION("""COMPUTED_VALUE"""),"TRIMESTRE 2")</f>
        <v>TRIMESTRE 2</v>
      </c>
      <c r="M377" s="89" t="str">
        <f ca="1">IFERROR(__xludf.DUMMYFUNCTION("""COMPUTED_VALUE"""),"ADULTO MAYOR HOMBRE")</f>
        <v>ADULTO MAYOR HOMBRE</v>
      </c>
    </row>
    <row r="378" spans="1:13">
      <c r="A378" s="89" t="str">
        <f ca="1">IFERROR(__xludf.DUMMYFUNCTION("""COMPUTED_VALUE"""),"4.1.3.4")</f>
        <v>4.1.3.4</v>
      </c>
      <c r="B378" s="89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378" s="89" t="str">
        <f ca="1">IFERROR(__xludf.DUMMYFUNCTION("""COMPUTED_VALUE"""),"4. Programas")</f>
        <v>4. Programas</v>
      </c>
      <c r="D378" s="89" t="str">
        <f ca="1">IFERROR(__xludf.DUMMYFUNCTION("""COMPUTED_VALUE"""),"Guadalajara: Capital de las niñas y los niños")</f>
        <v>Guadalajara: Capital de las niñas y los niños</v>
      </c>
      <c r="E378" s="89" t="str">
        <f ca="1">IFERROR(__xludf.DUMMYFUNCTION("""COMPUTED_VALUE"""),"Custodia, tutela, adopciones y acogimiento familiar")</f>
        <v>Custodia, tutela, adopciones y acogimiento familiar</v>
      </c>
      <c r="F378" s="89" t="str">
        <f ca="1">IFERROR(__xludf.DUMMYFUNCTION("""COMPUTED_VALUE"""),"A4C3. NNA integrados en familias.")</f>
        <v>A4C3. NNA integrados en familias.</v>
      </c>
      <c r="G378" s="89" t="str">
        <f ca="1">IFERROR(__xludf.DUMMYFUNCTION("""COMPUTED_VALUE"""),"Porcentaje de NNA integrados en familias, en 2023")</f>
        <v>Porcentaje de NNA integrados en familias, en 2023</v>
      </c>
      <c r="H378" s="89" t="str">
        <f ca="1">IFERROR(__xludf.DUMMYFUNCTION("""COMPUTED_VALUE"""),"NAS Junio")</f>
        <v>NAS Junio</v>
      </c>
      <c r="I378" s="89" t="str">
        <f ca="1">IFERROR(__xludf.DUMMYFUNCTION("""COMPUTED_VALUE"""),"Junio")</f>
        <v>Junio</v>
      </c>
      <c r="J378" s="89" t="str">
        <f ca="1">IFERROR(__xludf.DUMMYFUNCTION("""COMPUTED_VALUE"""),"NAS")</f>
        <v>NAS</v>
      </c>
      <c r="K378" s="92">
        <f ca="1">IFERROR(__xludf.DUMMYFUNCTION("""COMPUTED_VALUE"""),4)</f>
        <v>4</v>
      </c>
      <c r="L378" s="89" t="str">
        <f ca="1">IFERROR(__xludf.DUMMYFUNCTION("""COMPUTED_VALUE"""),"TRIMESTRE 2")</f>
        <v>TRIMESTRE 2</v>
      </c>
      <c r="M378" s="89" t="str">
        <f ca="1">IFERROR(__xludf.DUMMYFUNCTION("""COMPUTED_VALUE"""),"NIÑAS")</f>
        <v>NIÑAS</v>
      </c>
    </row>
    <row r="379" spans="1:13">
      <c r="A379" s="89" t="str">
        <f ca="1">IFERROR(__xludf.DUMMYFUNCTION("""COMPUTED_VALUE"""),"4.1.3.4")</f>
        <v>4.1.3.4</v>
      </c>
      <c r="B379" s="89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379" s="89" t="str">
        <f ca="1">IFERROR(__xludf.DUMMYFUNCTION("""COMPUTED_VALUE"""),"4. Programas")</f>
        <v>4. Programas</v>
      </c>
      <c r="D379" s="89" t="str">
        <f ca="1">IFERROR(__xludf.DUMMYFUNCTION("""COMPUTED_VALUE"""),"Guadalajara: Capital de las niñas y los niños")</f>
        <v>Guadalajara: Capital de las niñas y los niños</v>
      </c>
      <c r="E379" s="89" t="str">
        <f ca="1">IFERROR(__xludf.DUMMYFUNCTION("""COMPUTED_VALUE"""),"Custodia, tutela, adopciones y acogimiento familiar")</f>
        <v>Custodia, tutela, adopciones y acogimiento familiar</v>
      </c>
      <c r="F379" s="89" t="str">
        <f ca="1">IFERROR(__xludf.DUMMYFUNCTION("""COMPUTED_VALUE"""),"A4C3. NNA integrados en familias.")</f>
        <v>A4C3. NNA integrados en familias.</v>
      </c>
      <c r="G379" s="89" t="str">
        <f ca="1">IFERROR(__xludf.DUMMYFUNCTION("""COMPUTED_VALUE"""),"Porcentaje de NNA integrados en familias, en 2023")</f>
        <v>Porcentaje de NNA integrados en familias, en 2023</v>
      </c>
      <c r="H379" s="89" t="str">
        <f ca="1">IFERROR(__xludf.DUMMYFUNCTION("""COMPUTED_VALUE"""),"NOS Junio")</f>
        <v>NOS Junio</v>
      </c>
      <c r="I379" s="89" t="str">
        <f ca="1">IFERROR(__xludf.DUMMYFUNCTION("""COMPUTED_VALUE"""),"Junio")</f>
        <v>Junio</v>
      </c>
      <c r="J379" s="89" t="str">
        <f ca="1">IFERROR(__xludf.DUMMYFUNCTION("""COMPUTED_VALUE"""),"NOS")</f>
        <v>NOS</v>
      </c>
      <c r="K379" s="92">
        <f ca="1">IFERROR(__xludf.DUMMYFUNCTION("""COMPUTED_VALUE"""),10)</f>
        <v>10</v>
      </c>
      <c r="L379" s="89" t="str">
        <f ca="1">IFERROR(__xludf.DUMMYFUNCTION("""COMPUTED_VALUE"""),"TRIMESTRE 2")</f>
        <v>TRIMESTRE 2</v>
      </c>
      <c r="M379" s="89" t="str">
        <f ca="1">IFERROR(__xludf.DUMMYFUNCTION("""COMPUTED_VALUE"""),"NIÑOS")</f>
        <v>NIÑOS</v>
      </c>
    </row>
    <row r="380" spans="1:13">
      <c r="A380" s="89" t="str">
        <f ca="1">IFERROR(__xludf.DUMMYFUNCTION("""COMPUTED_VALUE"""),"4.1.3.4")</f>
        <v>4.1.3.4</v>
      </c>
      <c r="B380" s="89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380" s="89" t="str">
        <f ca="1">IFERROR(__xludf.DUMMYFUNCTION("""COMPUTED_VALUE"""),"4. Programas")</f>
        <v>4. Programas</v>
      </c>
      <c r="D380" s="89" t="str">
        <f ca="1">IFERROR(__xludf.DUMMYFUNCTION("""COMPUTED_VALUE"""),"Guadalajara: Capital de las niñas y los niños")</f>
        <v>Guadalajara: Capital de las niñas y los niños</v>
      </c>
      <c r="E380" s="89" t="str">
        <f ca="1">IFERROR(__xludf.DUMMYFUNCTION("""COMPUTED_VALUE"""),"Custodia, tutela, adopciones y acogimiento familiar")</f>
        <v>Custodia, tutela, adopciones y acogimiento familiar</v>
      </c>
      <c r="F380" s="89" t="str">
        <f ca="1">IFERROR(__xludf.DUMMYFUNCTION("""COMPUTED_VALUE"""),"A4C3. NNA integrados en familias.")</f>
        <v>A4C3. NNA integrados en familias.</v>
      </c>
      <c r="G380" s="89" t="str">
        <f ca="1">IFERROR(__xludf.DUMMYFUNCTION("""COMPUTED_VALUE"""),"Porcentaje de NNA integrados en familias, en 2023")</f>
        <v>Porcentaje de NNA integrados en familias, en 2023</v>
      </c>
      <c r="H380" s="89" t="str">
        <f ca="1">IFERROR(__xludf.DUMMYFUNCTION("""COMPUTED_VALUE"""),"AM JUNIO")</f>
        <v>AM JUNIO</v>
      </c>
      <c r="I380" s="89" t="str">
        <f ca="1">IFERROR(__xludf.DUMMYFUNCTION("""COMPUTED_VALUE"""),"Junio")</f>
        <v>Junio</v>
      </c>
      <c r="J380" s="89" t="str">
        <f ca="1">IFERROR(__xludf.DUMMYFUNCTION("""COMPUTED_VALUE"""),"AM")</f>
        <v>AM</v>
      </c>
      <c r="K380" s="92">
        <f ca="1">IFERROR(__xludf.DUMMYFUNCTION("""COMPUTED_VALUE"""),1)</f>
        <v>1</v>
      </c>
      <c r="L380" s="89" t="str">
        <f ca="1">IFERROR(__xludf.DUMMYFUNCTION("""COMPUTED_VALUE"""),"TRIMESTRE 2")</f>
        <v>TRIMESTRE 2</v>
      </c>
      <c r="M380" s="89" t="str">
        <f ca="1">IFERROR(__xludf.DUMMYFUNCTION("""COMPUTED_VALUE"""),"ADOLESCENTES MUJERES")</f>
        <v>ADOLESCENTES MUJERES</v>
      </c>
    </row>
    <row r="381" spans="1:13">
      <c r="A381" s="89" t="str">
        <f ca="1">IFERROR(__xludf.DUMMYFUNCTION("""COMPUTED_VALUE"""),"4.1.3.4")</f>
        <v>4.1.3.4</v>
      </c>
      <c r="B381" s="89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381" s="89" t="str">
        <f ca="1">IFERROR(__xludf.DUMMYFUNCTION("""COMPUTED_VALUE"""),"4. Programas")</f>
        <v>4. Programas</v>
      </c>
      <c r="D381" s="89" t="str">
        <f ca="1">IFERROR(__xludf.DUMMYFUNCTION("""COMPUTED_VALUE"""),"Guadalajara: Capital de las niñas y los niños")</f>
        <v>Guadalajara: Capital de las niñas y los niños</v>
      </c>
      <c r="E381" s="89" t="str">
        <f ca="1">IFERROR(__xludf.DUMMYFUNCTION("""COMPUTED_VALUE"""),"Custodia, tutela, adopciones y acogimiento familiar")</f>
        <v>Custodia, tutela, adopciones y acogimiento familiar</v>
      </c>
      <c r="F381" s="89" t="str">
        <f ca="1">IFERROR(__xludf.DUMMYFUNCTION("""COMPUTED_VALUE"""),"A4C3. NNA integrados en familias.")</f>
        <v>A4C3. NNA integrados en familias.</v>
      </c>
      <c r="G381" s="89" t="str">
        <f ca="1">IFERROR(__xludf.DUMMYFUNCTION("""COMPUTED_VALUE"""),"Porcentaje de NNA integrados en familias, en 2023")</f>
        <v>Porcentaje de NNA integrados en familias, en 2023</v>
      </c>
      <c r="H381" s="89" t="str">
        <f ca="1">IFERROR(__xludf.DUMMYFUNCTION("""COMPUTED_VALUE"""),"AH JUNIO")</f>
        <v>AH JUNIO</v>
      </c>
      <c r="I381" s="89" t="str">
        <f ca="1">IFERROR(__xludf.DUMMYFUNCTION("""COMPUTED_VALUE"""),"Junio")</f>
        <v>Junio</v>
      </c>
      <c r="J381" s="89" t="str">
        <f ca="1">IFERROR(__xludf.DUMMYFUNCTION("""COMPUTED_VALUE"""),"AH")</f>
        <v>AH</v>
      </c>
      <c r="K381" s="92">
        <f ca="1">IFERROR(__xludf.DUMMYFUNCTION("""COMPUTED_VALUE"""),2)</f>
        <v>2</v>
      </c>
      <c r="L381" s="89" t="str">
        <f ca="1">IFERROR(__xludf.DUMMYFUNCTION("""COMPUTED_VALUE"""),"TRIMESTRE 2")</f>
        <v>TRIMESTRE 2</v>
      </c>
      <c r="M381" s="89" t="str">
        <f ca="1">IFERROR(__xludf.DUMMYFUNCTION("""COMPUTED_VALUE"""),"ADOLESCENTES HOMBRES")</f>
        <v>ADOLESCENTES HOMBRES</v>
      </c>
    </row>
    <row r="382" spans="1:13">
      <c r="A382" s="89" t="str">
        <f ca="1">IFERROR(__xludf.DUMMYFUNCTION("""COMPUTED_VALUE"""),"4.1.3.4")</f>
        <v>4.1.3.4</v>
      </c>
      <c r="B382" s="89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382" s="89" t="str">
        <f ca="1">IFERROR(__xludf.DUMMYFUNCTION("""COMPUTED_VALUE"""),"4. Programas")</f>
        <v>4. Programas</v>
      </c>
      <c r="D382" s="89" t="str">
        <f ca="1">IFERROR(__xludf.DUMMYFUNCTION("""COMPUTED_VALUE"""),"Guadalajara: Capital de las niñas y los niños")</f>
        <v>Guadalajara: Capital de las niñas y los niños</v>
      </c>
      <c r="E382" s="89" t="str">
        <f ca="1">IFERROR(__xludf.DUMMYFUNCTION("""COMPUTED_VALUE"""),"Custodia, tutela, adopciones y acogimiento familiar")</f>
        <v>Custodia, tutela, adopciones y acogimiento familiar</v>
      </c>
      <c r="F382" s="89" t="str">
        <f ca="1">IFERROR(__xludf.DUMMYFUNCTION("""COMPUTED_VALUE"""),"A4C3. NNA integrados en familias.")</f>
        <v>A4C3. NNA integrados en familias.</v>
      </c>
      <c r="G382" s="89" t="str">
        <f ca="1">IFERROR(__xludf.DUMMYFUNCTION("""COMPUTED_VALUE"""),"Porcentaje de NNA integrados en familias, en 2023")</f>
        <v>Porcentaje de NNA integrados en familias, en 2023</v>
      </c>
      <c r="H382" s="89" t="str">
        <f ca="1">IFERROR(__xludf.DUMMYFUNCTION("""COMPUTED_VALUE"""),"MUJ Junio")</f>
        <v>MUJ Junio</v>
      </c>
      <c r="I382" s="89" t="str">
        <f ca="1">IFERROR(__xludf.DUMMYFUNCTION("""COMPUTED_VALUE"""),"Junio")</f>
        <v>Junio</v>
      </c>
      <c r="J382" s="89" t="str">
        <f ca="1">IFERROR(__xludf.DUMMYFUNCTION("""COMPUTED_VALUE"""),"MUJ")</f>
        <v>MUJ</v>
      </c>
      <c r="K382" s="92"/>
      <c r="L382" s="89" t="str">
        <f ca="1">IFERROR(__xludf.DUMMYFUNCTION("""COMPUTED_VALUE"""),"TRIMESTRE 2")</f>
        <v>TRIMESTRE 2</v>
      </c>
      <c r="M382" s="89" t="str">
        <f ca="1">IFERROR(__xludf.DUMMYFUNCTION("""COMPUTED_VALUE"""),"MUJERES ADULTAS")</f>
        <v>MUJERES ADULTAS</v>
      </c>
    </row>
    <row r="383" spans="1:13">
      <c r="A383" s="89" t="str">
        <f ca="1">IFERROR(__xludf.DUMMYFUNCTION("""COMPUTED_VALUE"""),"4.1.3.4")</f>
        <v>4.1.3.4</v>
      </c>
      <c r="B383" s="89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383" s="89" t="str">
        <f ca="1">IFERROR(__xludf.DUMMYFUNCTION("""COMPUTED_VALUE"""),"4. Programas")</f>
        <v>4. Programas</v>
      </c>
      <c r="D383" s="89" t="str">
        <f ca="1">IFERROR(__xludf.DUMMYFUNCTION("""COMPUTED_VALUE"""),"Guadalajara: Capital de las niñas y los niños")</f>
        <v>Guadalajara: Capital de las niñas y los niños</v>
      </c>
      <c r="E383" s="89" t="str">
        <f ca="1">IFERROR(__xludf.DUMMYFUNCTION("""COMPUTED_VALUE"""),"Custodia, tutela, adopciones y acogimiento familiar")</f>
        <v>Custodia, tutela, adopciones y acogimiento familiar</v>
      </c>
      <c r="F383" s="89" t="str">
        <f ca="1">IFERROR(__xludf.DUMMYFUNCTION("""COMPUTED_VALUE"""),"A4C3. NNA integrados en familias.")</f>
        <v>A4C3. NNA integrados en familias.</v>
      </c>
      <c r="G383" s="89" t="str">
        <f ca="1">IFERROR(__xludf.DUMMYFUNCTION("""COMPUTED_VALUE"""),"Porcentaje de NNA integrados en familias, en 2023")</f>
        <v>Porcentaje de NNA integrados en familias, en 2023</v>
      </c>
      <c r="H383" s="89" t="str">
        <f ca="1">IFERROR(__xludf.DUMMYFUNCTION("""COMPUTED_VALUE"""),"HOM Junio")</f>
        <v>HOM Junio</v>
      </c>
      <c r="I383" s="89" t="str">
        <f ca="1">IFERROR(__xludf.DUMMYFUNCTION("""COMPUTED_VALUE"""),"Junio")</f>
        <v>Junio</v>
      </c>
      <c r="J383" s="89" t="str">
        <f ca="1">IFERROR(__xludf.DUMMYFUNCTION("""COMPUTED_VALUE"""),"HOM")</f>
        <v>HOM</v>
      </c>
      <c r="K383" s="92"/>
      <c r="L383" s="89" t="str">
        <f ca="1">IFERROR(__xludf.DUMMYFUNCTION("""COMPUTED_VALUE"""),"TRIMESTRE 2")</f>
        <v>TRIMESTRE 2</v>
      </c>
      <c r="M383" s="89" t="str">
        <f ca="1">IFERROR(__xludf.DUMMYFUNCTION("""COMPUTED_VALUE"""),"HOMBRES ADULTOS")</f>
        <v>HOMBRES ADULTOS</v>
      </c>
    </row>
    <row r="384" spans="1:13">
      <c r="A384" s="89" t="str">
        <f ca="1">IFERROR(__xludf.DUMMYFUNCTION("""COMPUTED_VALUE"""),"4.1.3.4")</f>
        <v>4.1.3.4</v>
      </c>
      <c r="B384" s="89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384" s="89" t="str">
        <f ca="1">IFERROR(__xludf.DUMMYFUNCTION("""COMPUTED_VALUE"""),"4. Programas")</f>
        <v>4. Programas</v>
      </c>
      <c r="D384" s="89" t="str">
        <f ca="1">IFERROR(__xludf.DUMMYFUNCTION("""COMPUTED_VALUE"""),"Guadalajara: Capital de las niñas y los niños")</f>
        <v>Guadalajara: Capital de las niñas y los niños</v>
      </c>
      <c r="E384" s="89" t="str">
        <f ca="1">IFERROR(__xludf.DUMMYFUNCTION("""COMPUTED_VALUE"""),"Custodia, tutela, adopciones y acogimiento familiar")</f>
        <v>Custodia, tutela, adopciones y acogimiento familiar</v>
      </c>
      <c r="F384" s="89" t="str">
        <f ca="1">IFERROR(__xludf.DUMMYFUNCTION("""COMPUTED_VALUE"""),"A4C3. NNA integrados en familias.")</f>
        <v>A4C3. NNA integrados en familias.</v>
      </c>
      <c r="G384" s="89" t="str">
        <f ca="1">IFERROR(__xludf.DUMMYFUNCTION("""COMPUTED_VALUE"""),"Porcentaje de NNA integrados en familias, en 2023")</f>
        <v>Porcentaje de NNA integrados en familias, en 2023</v>
      </c>
      <c r="H384" s="89" t="str">
        <f ca="1">IFERROR(__xludf.DUMMYFUNCTION("""COMPUTED_VALUE"""),"AMM Junio")</f>
        <v>AMM Junio</v>
      </c>
      <c r="I384" s="89" t="str">
        <f ca="1">IFERROR(__xludf.DUMMYFUNCTION("""COMPUTED_VALUE"""),"Junio")</f>
        <v>Junio</v>
      </c>
      <c r="J384" s="89" t="str">
        <f ca="1">IFERROR(__xludf.DUMMYFUNCTION("""COMPUTED_VALUE"""),"AMM")</f>
        <v>AMM</v>
      </c>
      <c r="K384" s="92"/>
      <c r="L384" s="89" t="str">
        <f ca="1">IFERROR(__xludf.DUMMYFUNCTION("""COMPUTED_VALUE"""),"TRIMESTRE 2")</f>
        <v>TRIMESTRE 2</v>
      </c>
      <c r="M384" s="89" t="str">
        <f ca="1">IFERROR(__xludf.DUMMYFUNCTION("""COMPUTED_VALUE"""),"ADULTA MAYOR MUJER")</f>
        <v>ADULTA MAYOR MUJER</v>
      </c>
    </row>
    <row r="385" spans="1:13">
      <c r="A385" s="89" t="str">
        <f ca="1">IFERROR(__xludf.DUMMYFUNCTION("""COMPUTED_VALUE"""),"4.1.3.4")</f>
        <v>4.1.3.4</v>
      </c>
      <c r="B385" s="89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385" s="89" t="str">
        <f ca="1">IFERROR(__xludf.DUMMYFUNCTION("""COMPUTED_VALUE"""),"4. Programas")</f>
        <v>4. Programas</v>
      </c>
      <c r="D385" s="89" t="str">
        <f ca="1">IFERROR(__xludf.DUMMYFUNCTION("""COMPUTED_VALUE"""),"Guadalajara: Capital de las niñas y los niños")</f>
        <v>Guadalajara: Capital de las niñas y los niños</v>
      </c>
      <c r="E385" s="89" t="str">
        <f ca="1">IFERROR(__xludf.DUMMYFUNCTION("""COMPUTED_VALUE"""),"Custodia, tutela, adopciones y acogimiento familiar")</f>
        <v>Custodia, tutela, adopciones y acogimiento familiar</v>
      </c>
      <c r="F385" s="89" t="str">
        <f ca="1">IFERROR(__xludf.DUMMYFUNCTION("""COMPUTED_VALUE"""),"A4C3. NNA integrados en familias.")</f>
        <v>A4C3. NNA integrados en familias.</v>
      </c>
      <c r="G385" s="89" t="str">
        <f ca="1">IFERROR(__xludf.DUMMYFUNCTION("""COMPUTED_VALUE"""),"Porcentaje de NNA integrados en familias, en 2023")</f>
        <v>Porcentaje de NNA integrados en familias, en 2023</v>
      </c>
      <c r="H385" s="89" t="str">
        <f ca="1">IFERROR(__xludf.DUMMYFUNCTION("""COMPUTED_VALUE"""),"AMH Junio")</f>
        <v>AMH Junio</v>
      </c>
      <c r="I385" s="89" t="str">
        <f ca="1">IFERROR(__xludf.DUMMYFUNCTION("""COMPUTED_VALUE"""),"Junio")</f>
        <v>Junio</v>
      </c>
      <c r="J385" s="89" t="str">
        <f ca="1">IFERROR(__xludf.DUMMYFUNCTION("""COMPUTED_VALUE"""),"AMH")</f>
        <v>AMH</v>
      </c>
      <c r="K385" s="92"/>
      <c r="L385" s="89" t="str">
        <f ca="1">IFERROR(__xludf.DUMMYFUNCTION("""COMPUTED_VALUE"""),"TRIMESTRE 2")</f>
        <v>TRIMESTRE 2</v>
      </c>
      <c r="M385" s="89" t="str">
        <f ca="1">IFERROR(__xludf.DUMMYFUNCTION("""COMPUTED_VALUE"""),"ADULTO MAYOR HOMBRE")</f>
        <v>ADULTO MAYOR HOMBRE</v>
      </c>
    </row>
    <row r="386" spans="1:13">
      <c r="A386" s="89" t="str">
        <f ca="1">IFERROR(__xludf.DUMMYFUNCTION("""COMPUTED_VALUE"""),"4.1.3.0")</f>
        <v>4.1.3.0</v>
      </c>
      <c r="B386" s="89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386" s="89" t="str">
        <f ca="1">IFERROR(__xludf.DUMMYFUNCTION("""COMPUTED_VALUE"""),"4. Programas")</f>
        <v>4. Programas</v>
      </c>
      <c r="D386" s="89" t="str">
        <f ca="1">IFERROR(__xludf.DUMMYFUNCTION("""COMPUTED_VALUE"""),"Guadalajara: Capital de las niñas y los niños")</f>
        <v>Guadalajara: Capital de las niñas y los niños</v>
      </c>
      <c r="E386" s="89" t="str">
        <f ca="1">IFERROR(__xludf.DUMMYFUNCTION("""COMPUTED_VALUE"""),"Custodia, tutela, adopciones y acogimiento familiar")</f>
        <v>Custodia, tutela, adopciones y acogimiento familiar</v>
      </c>
      <c r="F386" s="89" t="str">
        <f ca="1">IFERROR(__xludf.DUMMYFUNCTION("""COMPUTED_VALUE"""),"C3. NNA del municipio de Guadalajara que recibieron servicios para la protección y restitución de sus derechos")</f>
        <v>C3. NNA del municipio de Guadalajara que recibieron servicios para la protección y restitución de sus derechos</v>
      </c>
      <c r="G386" s="89" t="str">
        <f ca="1">IFERROR(__xludf.DUMMYFUNCTION("""COMPUTED_VALUE"""),"Porcentaje de NNA con al menos un derecho protegido y/o restituido por la DIPNNA, en 2023")</f>
        <v>Porcentaje de NNA con al menos un derecho protegido y/o restituido por la DIPNNA, en 2023</v>
      </c>
      <c r="H386" s="89" t="str">
        <f ca="1">IFERROR(__xludf.DUMMYFUNCTION("""COMPUTED_VALUE"""),"NAS Julio")</f>
        <v>NAS Julio</v>
      </c>
      <c r="I386" s="89" t="str">
        <f ca="1">IFERROR(__xludf.DUMMYFUNCTION("""COMPUTED_VALUE"""),"Julio")</f>
        <v>Julio</v>
      </c>
      <c r="J386" s="89" t="str">
        <f ca="1">IFERROR(__xludf.DUMMYFUNCTION("""COMPUTED_VALUE"""),"NAS")</f>
        <v>NAS</v>
      </c>
      <c r="K386" s="92">
        <f ca="1">IFERROR(__xludf.DUMMYFUNCTION("""COMPUTED_VALUE"""),107)</f>
        <v>107</v>
      </c>
      <c r="L386" s="89" t="str">
        <f ca="1">IFERROR(__xludf.DUMMYFUNCTION("""COMPUTED_VALUE"""),"TRIMESTRE 3")</f>
        <v>TRIMESTRE 3</v>
      </c>
      <c r="M386" s="89" t="str">
        <f ca="1">IFERROR(__xludf.DUMMYFUNCTION("""COMPUTED_VALUE"""),"NIÑAS")</f>
        <v>NIÑAS</v>
      </c>
    </row>
    <row r="387" spans="1:13">
      <c r="A387" s="89" t="str">
        <f ca="1">IFERROR(__xludf.DUMMYFUNCTION("""COMPUTED_VALUE"""),"4.1.3.0")</f>
        <v>4.1.3.0</v>
      </c>
      <c r="B387" s="89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387" s="89" t="str">
        <f ca="1">IFERROR(__xludf.DUMMYFUNCTION("""COMPUTED_VALUE"""),"4. Programas")</f>
        <v>4. Programas</v>
      </c>
      <c r="D387" s="89" t="str">
        <f ca="1">IFERROR(__xludf.DUMMYFUNCTION("""COMPUTED_VALUE"""),"Guadalajara: Capital de las niñas y los niños")</f>
        <v>Guadalajara: Capital de las niñas y los niños</v>
      </c>
      <c r="E387" s="89" t="str">
        <f ca="1">IFERROR(__xludf.DUMMYFUNCTION("""COMPUTED_VALUE"""),"Custodia, tutela, adopciones y acogimiento familiar")</f>
        <v>Custodia, tutela, adopciones y acogimiento familiar</v>
      </c>
      <c r="F387" s="89" t="str">
        <f ca="1">IFERROR(__xludf.DUMMYFUNCTION("""COMPUTED_VALUE"""),"C3. NNA del municipio de Guadalajara que recibieron servicios para la protección y restitución de sus derechos")</f>
        <v>C3. NNA del municipio de Guadalajara que recibieron servicios para la protección y restitución de sus derechos</v>
      </c>
      <c r="G387" s="89" t="str">
        <f ca="1">IFERROR(__xludf.DUMMYFUNCTION("""COMPUTED_VALUE"""),"Porcentaje de NNA con al menos un derecho protegido y/o restituido por la DIPNNA, en 2023")</f>
        <v>Porcentaje de NNA con al menos un derecho protegido y/o restituido por la DIPNNA, en 2023</v>
      </c>
      <c r="H387" s="89" t="str">
        <f ca="1">IFERROR(__xludf.DUMMYFUNCTION("""COMPUTED_VALUE"""),"NOS Julio")</f>
        <v>NOS Julio</v>
      </c>
      <c r="I387" s="89" t="str">
        <f ca="1">IFERROR(__xludf.DUMMYFUNCTION("""COMPUTED_VALUE"""),"Julio")</f>
        <v>Julio</v>
      </c>
      <c r="J387" s="89" t="str">
        <f ca="1">IFERROR(__xludf.DUMMYFUNCTION("""COMPUTED_VALUE"""),"NOS")</f>
        <v>NOS</v>
      </c>
      <c r="K387" s="92">
        <f ca="1">IFERROR(__xludf.DUMMYFUNCTION("""COMPUTED_VALUE"""),81)</f>
        <v>81</v>
      </c>
      <c r="L387" s="89" t="str">
        <f ca="1">IFERROR(__xludf.DUMMYFUNCTION("""COMPUTED_VALUE"""),"TRIMESTRE 3")</f>
        <v>TRIMESTRE 3</v>
      </c>
      <c r="M387" s="89" t="str">
        <f ca="1">IFERROR(__xludf.DUMMYFUNCTION("""COMPUTED_VALUE"""),"NIÑOS")</f>
        <v>NIÑOS</v>
      </c>
    </row>
    <row r="388" spans="1:13">
      <c r="A388" s="89" t="str">
        <f ca="1">IFERROR(__xludf.DUMMYFUNCTION("""COMPUTED_VALUE"""),"4.1.3.0")</f>
        <v>4.1.3.0</v>
      </c>
      <c r="B388" s="89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388" s="89" t="str">
        <f ca="1">IFERROR(__xludf.DUMMYFUNCTION("""COMPUTED_VALUE"""),"4. Programas")</f>
        <v>4. Programas</v>
      </c>
      <c r="D388" s="89" t="str">
        <f ca="1">IFERROR(__xludf.DUMMYFUNCTION("""COMPUTED_VALUE"""),"Guadalajara: Capital de las niñas y los niños")</f>
        <v>Guadalajara: Capital de las niñas y los niños</v>
      </c>
      <c r="E388" s="89" t="str">
        <f ca="1">IFERROR(__xludf.DUMMYFUNCTION("""COMPUTED_VALUE"""),"Custodia, tutela, adopciones y acogimiento familiar")</f>
        <v>Custodia, tutela, adopciones y acogimiento familiar</v>
      </c>
      <c r="F388" s="89" t="str">
        <f ca="1">IFERROR(__xludf.DUMMYFUNCTION("""COMPUTED_VALUE"""),"C3. NNA del municipio de Guadalajara que recibieron servicios para la protección y restitución de sus derechos")</f>
        <v>C3. NNA del municipio de Guadalajara que recibieron servicios para la protección y restitución de sus derechos</v>
      </c>
      <c r="G388" s="89" t="str">
        <f ca="1">IFERROR(__xludf.DUMMYFUNCTION("""COMPUTED_VALUE"""),"Porcentaje de NNA con al menos un derecho protegido y/o restituido por la DIPNNA, en 2023")</f>
        <v>Porcentaje de NNA con al menos un derecho protegido y/o restituido por la DIPNNA, en 2023</v>
      </c>
      <c r="H388" s="89" t="str">
        <f ca="1">IFERROR(__xludf.DUMMYFUNCTION("""COMPUTED_VALUE"""),"AM JULIO")</f>
        <v>AM JULIO</v>
      </c>
      <c r="I388" s="89" t="str">
        <f ca="1">IFERROR(__xludf.DUMMYFUNCTION("""COMPUTED_VALUE"""),"Julio")</f>
        <v>Julio</v>
      </c>
      <c r="J388" s="89" t="str">
        <f ca="1">IFERROR(__xludf.DUMMYFUNCTION("""COMPUTED_VALUE"""),"AM")</f>
        <v>AM</v>
      </c>
      <c r="K388" s="92">
        <f ca="1">IFERROR(__xludf.DUMMYFUNCTION("""COMPUTED_VALUE"""),34)</f>
        <v>34</v>
      </c>
      <c r="L388" s="89" t="str">
        <f ca="1">IFERROR(__xludf.DUMMYFUNCTION("""COMPUTED_VALUE"""),"TRIMESTRE 3")</f>
        <v>TRIMESTRE 3</v>
      </c>
      <c r="M388" s="89" t="str">
        <f ca="1">IFERROR(__xludf.DUMMYFUNCTION("""COMPUTED_VALUE"""),"ADOLESCENTES MUJERES")</f>
        <v>ADOLESCENTES MUJERES</v>
      </c>
    </row>
    <row r="389" spans="1:13">
      <c r="A389" s="89" t="str">
        <f ca="1">IFERROR(__xludf.DUMMYFUNCTION("""COMPUTED_VALUE"""),"4.1.3.0")</f>
        <v>4.1.3.0</v>
      </c>
      <c r="B389" s="89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389" s="89" t="str">
        <f ca="1">IFERROR(__xludf.DUMMYFUNCTION("""COMPUTED_VALUE"""),"4. Programas")</f>
        <v>4. Programas</v>
      </c>
      <c r="D389" s="89" t="str">
        <f ca="1">IFERROR(__xludf.DUMMYFUNCTION("""COMPUTED_VALUE"""),"Guadalajara: Capital de las niñas y los niños")</f>
        <v>Guadalajara: Capital de las niñas y los niños</v>
      </c>
      <c r="E389" s="89" t="str">
        <f ca="1">IFERROR(__xludf.DUMMYFUNCTION("""COMPUTED_VALUE"""),"Custodia, tutela, adopciones y acogimiento familiar")</f>
        <v>Custodia, tutela, adopciones y acogimiento familiar</v>
      </c>
      <c r="F389" s="89" t="str">
        <f ca="1">IFERROR(__xludf.DUMMYFUNCTION("""COMPUTED_VALUE"""),"C3. NNA del municipio de Guadalajara que recibieron servicios para la protección y restitución de sus derechos")</f>
        <v>C3. NNA del municipio de Guadalajara que recibieron servicios para la protección y restitución de sus derechos</v>
      </c>
      <c r="G389" s="89" t="str">
        <f ca="1">IFERROR(__xludf.DUMMYFUNCTION("""COMPUTED_VALUE"""),"Porcentaje de NNA con al menos un derecho protegido y/o restituido por la DIPNNA, en 2023")</f>
        <v>Porcentaje de NNA con al menos un derecho protegido y/o restituido por la DIPNNA, en 2023</v>
      </c>
      <c r="H389" s="89" t="str">
        <f ca="1">IFERROR(__xludf.DUMMYFUNCTION("""COMPUTED_VALUE"""),"AH JULIO")</f>
        <v>AH JULIO</v>
      </c>
      <c r="I389" s="89" t="str">
        <f ca="1">IFERROR(__xludf.DUMMYFUNCTION("""COMPUTED_VALUE"""),"Julio")</f>
        <v>Julio</v>
      </c>
      <c r="J389" s="89" t="str">
        <f ca="1">IFERROR(__xludf.DUMMYFUNCTION("""COMPUTED_VALUE"""),"AH")</f>
        <v>AH</v>
      </c>
      <c r="K389" s="92">
        <f ca="1">IFERROR(__xludf.DUMMYFUNCTION("""COMPUTED_VALUE"""),12)</f>
        <v>12</v>
      </c>
      <c r="L389" s="89" t="str">
        <f ca="1">IFERROR(__xludf.DUMMYFUNCTION("""COMPUTED_VALUE"""),"TRIMESTRE 3")</f>
        <v>TRIMESTRE 3</v>
      </c>
      <c r="M389" s="89" t="str">
        <f ca="1">IFERROR(__xludf.DUMMYFUNCTION("""COMPUTED_VALUE"""),"ADOLESCENTES HOMBRES")</f>
        <v>ADOLESCENTES HOMBRES</v>
      </c>
    </row>
    <row r="390" spans="1:13">
      <c r="A390" s="89" t="str">
        <f ca="1">IFERROR(__xludf.DUMMYFUNCTION("""COMPUTED_VALUE"""),"4.1.3.0")</f>
        <v>4.1.3.0</v>
      </c>
      <c r="B390" s="89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390" s="89" t="str">
        <f ca="1">IFERROR(__xludf.DUMMYFUNCTION("""COMPUTED_VALUE"""),"4. Programas")</f>
        <v>4. Programas</v>
      </c>
      <c r="D390" s="89" t="str">
        <f ca="1">IFERROR(__xludf.DUMMYFUNCTION("""COMPUTED_VALUE"""),"Guadalajara: Capital de las niñas y los niños")</f>
        <v>Guadalajara: Capital de las niñas y los niños</v>
      </c>
      <c r="E390" s="89" t="str">
        <f ca="1">IFERROR(__xludf.DUMMYFUNCTION("""COMPUTED_VALUE"""),"Custodia, tutela, adopciones y acogimiento familiar")</f>
        <v>Custodia, tutela, adopciones y acogimiento familiar</v>
      </c>
      <c r="F390" s="89" t="str">
        <f ca="1">IFERROR(__xludf.DUMMYFUNCTION("""COMPUTED_VALUE"""),"C3. NNA del municipio de Guadalajara que recibieron servicios para la protección y restitución de sus derechos")</f>
        <v>C3. NNA del municipio de Guadalajara que recibieron servicios para la protección y restitución de sus derechos</v>
      </c>
      <c r="G390" s="89" t="str">
        <f ca="1">IFERROR(__xludf.DUMMYFUNCTION("""COMPUTED_VALUE"""),"Porcentaje de NNA con al menos un derecho protegido y/o restituido por la DIPNNA, en 2023")</f>
        <v>Porcentaje de NNA con al menos un derecho protegido y/o restituido por la DIPNNA, en 2023</v>
      </c>
      <c r="H390" s="89" t="str">
        <f ca="1">IFERROR(__xludf.DUMMYFUNCTION("""COMPUTED_VALUE"""),"MUJ Julio")</f>
        <v>MUJ Julio</v>
      </c>
      <c r="I390" s="89" t="str">
        <f ca="1">IFERROR(__xludf.DUMMYFUNCTION("""COMPUTED_VALUE"""),"Julio")</f>
        <v>Julio</v>
      </c>
      <c r="J390" s="89" t="str">
        <f ca="1">IFERROR(__xludf.DUMMYFUNCTION("""COMPUTED_VALUE"""),"MUJ")</f>
        <v>MUJ</v>
      </c>
      <c r="K390" s="92"/>
      <c r="L390" s="89" t="str">
        <f ca="1">IFERROR(__xludf.DUMMYFUNCTION("""COMPUTED_VALUE"""),"TRIMESTRE 3")</f>
        <v>TRIMESTRE 3</v>
      </c>
      <c r="M390" s="89" t="str">
        <f ca="1">IFERROR(__xludf.DUMMYFUNCTION("""COMPUTED_VALUE"""),"MUJERES ADULTAS")</f>
        <v>MUJERES ADULTAS</v>
      </c>
    </row>
    <row r="391" spans="1:13">
      <c r="A391" s="89" t="str">
        <f ca="1">IFERROR(__xludf.DUMMYFUNCTION("""COMPUTED_VALUE"""),"4.1.3.0")</f>
        <v>4.1.3.0</v>
      </c>
      <c r="B391" s="89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391" s="89" t="str">
        <f ca="1">IFERROR(__xludf.DUMMYFUNCTION("""COMPUTED_VALUE"""),"4. Programas")</f>
        <v>4. Programas</v>
      </c>
      <c r="D391" s="89" t="str">
        <f ca="1">IFERROR(__xludf.DUMMYFUNCTION("""COMPUTED_VALUE"""),"Guadalajara: Capital de las niñas y los niños")</f>
        <v>Guadalajara: Capital de las niñas y los niños</v>
      </c>
      <c r="E391" s="89" t="str">
        <f ca="1">IFERROR(__xludf.DUMMYFUNCTION("""COMPUTED_VALUE"""),"Custodia, tutela, adopciones y acogimiento familiar")</f>
        <v>Custodia, tutela, adopciones y acogimiento familiar</v>
      </c>
      <c r="F391" s="89" t="str">
        <f ca="1">IFERROR(__xludf.DUMMYFUNCTION("""COMPUTED_VALUE"""),"C3. NNA del municipio de Guadalajara que recibieron servicios para la protección y restitución de sus derechos")</f>
        <v>C3. NNA del municipio de Guadalajara que recibieron servicios para la protección y restitución de sus derechos</v>
      </c>
      <c r="G391" s="89" t="str">
        <f ca="1">IFERROR(__xludf.DUMMYFUNCTION("""COMPUTED_VALUE"""),"Porcentaje de NNA con al menos un derecho protegido y/o restituido por la DIPNNA, en 2023")</f>
        <v>Porcentaje de NNA con al menos un derecho protegido y/o restituido por la DIPNNA, en 2023</v>
      </c>
      <c r="H391" s="89" t="str">
        <f ca="1">IFERROR(__xludf.DUMMYFUNCTION("""COMPUTED_VALUE"""),"HOM Julio")</f>
        <v>HOM Julio</v>
      </c>
      <c r="I391" s="89" t="str">
        <f ca="1">IFERROR(__xludf.DUMMYFUNCTION("""COMPUTED_VALUE"""),"Julio")</f>
        <v>Julio</v>
      </c>
      <c r="J391" s="89" t="str">
        <f ca="1">IFERROR(__xludf.DUMMYFUNCTION("""COMPUTED_VALUE"""),"HOM")</f>
        <v>HOM</v>
      </c>
      <c r="K391" s="92"/>
      <c r="L391" s="89" t="str">
        <f ca="1">IFERROR(__xludf.DUMMYFUNCTION("""COMPUTED_VALUE"""),"TRIMESTRE 3")</f>
        <v>TRIMESTRE 3</v>
      </c>
      <c r="M391" s="89" t="str">
        <f ca="1">IFERROR(__xludf.DUMMYFUNCTION("""COMPUTED_VALUE"""),"HOMBRES ADULTOS")</f>
        <v>HOMBRES ADULTOS</v>
      </c>
    </row>
    <row r="392" spans="1:13">
      <c r="A392" s="89" t="str">
        <f ca="1">IFERROR(__xludf.DUMMYFUNCTION("""COMPUTED_VALUE"""),"4.1.3.0")</f>
        <v>4.1.3.0</v>
      </c>
      <c r="B392" s="89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392" s="89" t="str">
        <f ca="1">IFERROR(__xludf.DUMMYFUNCTION("""COMPUTED_VALUE"""),"4. Programas")</f>
        <v>4. Programas</v>
      </c>
      <c r="D392" s="89" t="str">
        <f ca="1">IFERROR(__xludf.DUMMYFUNCTION("""COMPUTED_VALUE"""),"Guadalajara: Capital de las niñas y los niños")</f>
        <v>Guadalajara: Capital de las niñas y los niños</v>
      </c>
      <c r="E392" s="89" t="str">
        <f ca="1">IFERROR(__xludf.DUMMYFUNCTION("""COMPUTED_VALUE"""),"Custodia, tutela, adopciones y acogimiento familiar")</f>
        <v>Custodia, tutela, adopciones y acogimiento familiar</v>
      </c>
      <c r="F392" s="89" t="str">
        <f ca="1">IFERROR(__xludf.DUMMYFUNCTION("""COMPUTED_VALUE"""),"C3. NNA del municipio de Guadalajara que recibieron servicios para la protección y restitución de sus derechos")</f>
        <v>C3. NNA del municipio de Guadalajara que recibieron servicios para la protección y restitución de sus derechos</v>
      </c>
      <c r="G392" s="89" t="str">
        <f ca="1">IFERROR(__xludf.DUMMYFUNCTION("""COMPUTED_VALUE"""),"Porcentaje de NNA con al menos un derecho protegido y/o restituido por la DIPNNA, en 2023")</f>
        <v>Porcentaje de NNA con al menos un derecho protegido y/o restituido por la DIPNNA, en 2023</v>
      </c>
      <c r="H392" s="89" t="str">
        <f ca="1">IFERROR(__xludf.DUMMYFUNCTION("""COMPUTED_VALUE"""),"AMM Julio")</f>
        <v>AMM Julio</v>
      </c>
      <c r="I392" s="89" t="str">
        <f ca="1">IFERROR(__xludf.DUMMYFUNCTION("""COMPUTED_VALUE"""),"Julio")</f>
        <v>Julio</v>
      </c>
      <c r="J392" s="89" t="str">
        <f ca="1">IFERROR(__xludf.DUMMYFUNCTION("""COMPUTED_VALUE"""),"AMM")</f>
        <v>AMM</v>
      </c>
      <c r="K392" s="92"/>
      <c r="L392" s="89" t="str">
        <f ca="1">IFERROR(__xludf.DUMMYFUNCTION("""COMPUTED_VALUE"""),"TRIMESTRE 3")</f>
        <v>TRIMESTRE 3</v>
      </c>
      <c r="M392" s="89" t="str">
        <f ca="1">IFERROR(__xludf.DUMMYFUNCTION("""COMPUTED_VALUE"""),"ADULTA MAYOR MUJER")</f>
        <v>ADULTA MAYOR MUJER</v>
      </c>
    </row>
    <row r="393" spans="1:13">
      <c r="A393" s="89" t="str">
        <f ca="1">IFERROR(__xludf.DUMMYFUNCTION("""COMPUTED_VALUE"""),"4.1.3.0")</f>
        <v>4.1.3.0</v>
      </c>
      <c r="B393" s="89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393" s="89" t="str">
        <f ca="1">IFERROR(__xludf.DUMMYFUNCTION("""COMPUTED_VALUE"""),"4. Programas")</f>
        <v>4. Programas</v>
      </c>
      <c r="D393" s="89" t="str">
        <f ca="1">IFERROR(__xludf.DUMMYFUNCTION("""COMPUTED_VALUE"""),"Guadalajara: Capital de las niñas y los niños")</f>
        <v>Guadalajara: Capital de las niñas y los niños</v>
      </c>
      <c r="E393" s="89" t="str">
        <f ca="1">IFERROR(__xludf.DUMMYFUNCTION("""COMPUTED_VALUE"""),"Custodia, tutela, adopciones y acogimiento familiar")</f>
        <v>Custodia, tutela, adopciones y acogimiento familiar</v>
      </c>
      <c r="F393" s="89" t="str">
        <f ca="1">IFERROR(__xludf.DUMMYFUNCTION("""COMPUTED_VALUE"""),"C3. NNA del municipio de Guadalajara que recibieron servicios para la protección y restitución de sus derechos")</f>
        <v>C3. NNA del municipio de Guadalajara que recibieron servicios para la protección y restitución de sus derechos</v>
      </c>
      <c r="G393" s="89" t="str">
        <f ca="1">IFERROR(__xludf.DUMMYFUNCTION("""COMPUTED_VALUE"""),"Porcentaje de NNA con al menos un derecho protegido y/o restituido por la DIPNNA, en 2023")</f>
        <v>Porcentaje de NNA con al menos un derecho protegido y/o restituido por la DIPNNA, en 2023</v>
      </c>
      <c r="H393" s="89" t="str">
        <f ca="1">IFERROR(__xludf.DUMMYFUNCTION("""COMPUTED_VALUE"""),"AMH Julio")</f>
        <v>AMH Julio</v>
      </c>
      <c r="I393" s="89" t="str">
        <f ca="1">IFERROR(__xludf.DUMMYFUNCTION("""COMPUTED_VALUE"""),"Julio")</f>
        <v>Julio</v>
      </c>
      <c r="J393" s="89" t="str">
        <f ca="1">IFERROR(__xludf.DUMMYFUNCTION("""COMPUTED_VALUE"""),"AMH")</f>
        <v>AMH</v>
      </c>
      <c r="K393" s="92"/>
      <c r="L393" s="89" t="str">
        <f ca="1">IFERROR(__xludf.DUMMYFUNCTION("""COMPUTED_VALUE"""),"TRIMESTRE 3")</f>
        <v>TRIMESTRE 3</v>
      </c>
      <c r="M393" s="89" t="str">
        <f ca="1">IFERROR(__xludf.DUMMYFUNCTION("""COMPUTED_VALUE"""),"ADULTO MAYOR HOMBRE")</f>
        <v>ADULTO MAYOR HOMBRE</v>
      </c>
    </row>
    <row r="394" spans="1:13">
      <c r="A394" s="89" t="str">
        <f ca="1">IFERROR(__xludf.DUMMYFUNCTION("""COMPUTED_VALUE"""),"4.1.3.1")</f>
        <v>4.1.3.1</v>
      </c>
      <c r="B394" s="89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394" s="89" t="str">
        <f ca="1">IFERROR(__xludf.DUMMYFUNCTION("""COMPUTED_VALUE"""),"4. Programas")</f>
        <v>4. Programas</v>
      </c>
      <c r="D394" s="89" t="str">
        <f ca="1">IFERROR(__xludf.DUMMYFUNCTION("""COMPUTED_VALUE"""),"Guadalajara: Capital de las niñas y los niños")</f>
        <v>Guadalajara: Capital de las niñas y los niños</v>
      </c>
      <c r="E394" s="89" t="str">
        <f ca="1">IFERROR(__xludf.DUMMYFUNCTION("""COMPUTED_VALUE"""),"Custodia, tutela, adopciones y acogimiento familiar")</f>
        <v>Custodia, tutela, adopciones y acogimiento familiar</v>
      </c>
      <c r="F394" s="89" t="str">
        <f ca="1">IFERROR(__xludf.DUMMYFUNCTION("""COMPUTED_VALUE"""),"A1C3, Nuevas medidas de protección dictadas atendidas")</f>
        <v>A1C3, Nuevas medidas de protección dictadas atendidas</v>
      </c>
      <c r="G394" s="89" t="str">
        <f ca="1">IFERROR(__xludf.DUMMYFUNCTION("""COMPUTED_VALUE"""),"Porcentaje de NNA a los que se les dio seguimientos en las nuevas medidas de protección dictadas en 2023")</f>
        <v>Porcentaje de NNA a los que se les dio seguimientos en las nuevas medidas de protección dictadas en 2023</v>
      </c>
      <c r="H394" s="89" t="str">
        <f ca="1">IFERROR(__xludf.DUMMYFUNCTION("""COMPUTED_VALUE"""),"NAS Julio")</f>
        <v>NAS Julio</v>
      </c>
      <c r="I394" s="89" t="str">
        <f ca="1">IFERROR(__xludf.DUMMYFUNCTION("""COMPUTED_VALUE"""),"Julio")</f>
        <v>Julio</v>
      </c>
      <c r="J394" s="89" t="str">
        <f ca="1">IFERROR(__xludf.DUMMYFUNCTION("""COMPUTED_VALUE"""),"NAS")</f>
        <v>NAS</v>
      </c>
      <c r="K394" s="92">
        <f ca="1">IFERROR(__xludf.DUMMYFUNCTION("""COMPUTED_VALUE"""),8)</f>
        <v>8</v>
      </c>
      <c r="L394" s="89" t="str">
        <f ca="1">IFERROR(__xludf.DUMMYFUNCTION("""COMPUTED_VALUE"""),"TRIMESTRE 3")</f>
        <v>TRIMESTRE 3</v>
      </c>
      <c r="M394" s="89" t="str">
        <f ca="1">IFERROR(__xludf.DUMMYFUNCTION("""COMPUTED_VALUE"""),"NIÑAS")</f>
        <v>NIÑAS</v>
      </c>
    </row>
    <row r="395" spans="1:13">
      <c r="A395" s="89" t="str">
        <f ca="1">IFERROR(__xludf.DUMMYFUNCTION("""COMPUTED_VALUE"""),"4.1.3.1")</f>
        <v>4.1.3.1</v>
      </c>
      <c r="B395" s="89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395" s="89" t="str">
        <f ca="1">IFERROR(__xludf.DUMMYFUNCTION("""COMPUTED_VALUE"""),"4. Programas")</f>
        <v>4. Programas</v>
      </c>
      <c r="D395" s="89" t="str">
        <f ca="1">IFERROR(__xludf.DUMMYFUNCTION("""COMPUTED_VALUE"""),"Guadalajara: Capital de las niñas y los niños")</f>
        <v>Guadalajara: Capital de las niñas y los niños</v>
      </c>
      <c r="E395" s="89" t="str">
        <f ca="1">IFERROR(__xludf.DUMMYFUNCTION("""COMPUTED_VALUE"""),"Custodia, tutela, adopciones y acogimiento familiar")</f>
        <v>Custodia, tutela, adopciones y acogimiento familiar</v>
      </c>
      <c r="F395" s="89" t="str">
        <f ca="1">IFERROR(__xludf.DUMMYFUNCTION("""COMPUTED_VALUE"""),"A1C3, Nuevas medidas de protección dictadas atendidas")</f>
        <v>A1C3, Nuevas medidas de protección dictadas atendidas</v>
      </c>
      <c r="G395" s="89" t="str">
        <f ca="1">IFERROR(__xludf.DUMMYFUNCTION("""COMPUTED_VALUE"""),"Porcentaje de NNA a los que se les dio seguimientos en las nuevas medidas de protección dictadas en 2023")</f>
        <v>Porcentaje de NNA a los que se les dio seguimientos en las nuevas medidas de protección dictadas en 2023</v>
      </c>
      <c r="H395" s="89" t="str">
        <f ca="1">IFERROR(__xludf.DUMMYFUNCTION("""COMPUTED_VALUE"""),"NOS Julio")</f>
        <v>NOS Julio</v>
      </c>
      <c r="I395" s="89" t="str">
        <f ca="1">IFERROR(__xludf.DUMMYFUNCTION("""COMPUTED_VALUE"""),"Julio")</f>
        <v>Julio</v>
      </c>
      <c r="J395" s="89" t="str">
        <f ca="1">IFERROR(__xludf.DUMMYFUNCTION("""COMPUTED_VALUE"""),"NOS")</f>
        <v>NOS</v>
      </c>
      <c r="K395" s="92">
        <f ca="1">IFERROR(__xludf.DUMMYFUNCTION("""COMPUTED_VALUE"""),7)</f>
        <v>7</v>
      </c>
      <c r="L395" s="89" t="str">
        <f ca="1">IFERROR(__xludf.DUMMYFUNCTION("""COMPUTED_VALUE"""),"TRIMESTRE 3")</f>
        <v>TRIMESTRE 3</v>
      </c>
      <c r="M395" s="89" t="str">
        <f ca="1">IFERROR(__xludf.DUMMYFUNCTION("""COMPUTED_VALUE"""),"NIÑOS")</f>
        <v>NIÑOS</v>
      </c>
    </row>
    <row r="396" spans="1:13">
      <c r="A396" s="89" t="str">
        <f ca="1">IFERROR(__xludf.DUMMYFUNCTION("""COMPUTED_VALUE"""),"4.1.3.1")</f>
        <v>4.1.3.1</v>
      </c>
      <c r="B396" s="89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396" s="89" t="str">
        <f ca="1">IFERROR(__xludf.DUMMYFUNCTION("""COMPUTED_VALUE"""),"4. Programas")</f>
        <v>4. Programas</v>
      </c>
      <c r="D396" s="89" t="str">
        <f ca="1">IFERROR(__xludf.DUMMYFUNCTION("""COMPUTED_VALUE"""),"Guadalajara: Capital de las niñas y los niños")</f>
        <v>Guadalajara: Capital de las niñas y los niños</v>
      </c>
      <c r="E396" s="89" t="str">
        <f ca="1">IFERROR(__xludf.DUMMYFUNCTION("""COMPUTED_VALUE"""),"Custodia, tutela, adopciones y acogimiento familiar")</f>
        <v>Custodia, tutela, adopciones y acogimiento familiar</v>
      </c>
      <c r="F396" s="89" t="str">
        <f ca="1">IFERROR(__xludf.DUMMYFUNCTION("""COMPUTED_VALUE"""),"A1C3, Nuevas medidas de protección dictadas atendidas")</f>
        <v>A1C3, Nuevas medidas de protección dictadas atendidas</v>
      </c>
      <c r="G396" s="89" t="str">
        <f ca="1">IFERROR(__xludf.DUMMYFUNCTION("""COMPUTED_VALUE"""),"Porcentaje de NNA a los que se les dio seguimientos en las nuevas medidas de protección dictadas en 2023")</f>
        <v>Porcentaje de NNA a los que se les dio seguimientos en las nuevas medidas de protección dictadas en 2023</v>
      </c>
      <c r="H396" s="89" t="str">
        <f ca="1">IFERROR(__xludf.DUMMYFUNCTION("""COMPUTED_VALUE"""),"AM JULIO")</f>
        <v>AM JULIO</v>
      </c>
      <c r="I396" s="89" t="str">
        <f ca="1">IFERROR(__xludf.DUMMYFUNCTION("""COMPUTED_VALUE"""),"Julio")</f>
        <v>Julio</v>
      </c>
      <c r="J396" s="89" t="str">
        <f ca="1">IFERROR(__xludf.DUMMYFUNCTION("""COMPUTED_VALUE"""),"AM")</f>
        <v>AM</v>
      </c>
      <c r="K396" s="92">
        <f ca="1">IFERROR(__xludf.DUMMYFUNCTION("""COMPUTED_VALUE"""),7)</f>
        <v>7</v>
      </c>
      <c r="L396" s="89" t="str">
        <f ca="1">IFERROR(__xludf.DUMMYFUNCTION("""COMPUTED_VALUE"""),"TRIMESTRE 3")</f>
        <v>TRIMESTRE 3</v>
      </c>
      <c r="M396" s="89" t="str">
        <f ca="1">IFERROR(__xludf.DUMMYFUNCTION("""COMPUTED_VALUE"""),"ADOLESCENTES MUJERES")</f>
        <v>ADOLESCENTES MUJERES</v>
      </c>
    </row>
    <row r="397" spans="1:13">
      <c r="A397" s="89" t="str">
        <f ca="1">IFERROR(__xludf.DUMMYFUNCTION("""COMPUTED_VALUE"""),"4.1.3.1")</f>
        <v>4.1.3.1</v>
      </c>
      <c r="B397" s="89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397" s="89" t="str">
        <f ca="1">IFERROR(__xludf.DUMMYFUNCTION("""COMPUTED_VALUE"""),"4. Programas")</f>
        <v>4. Programas</v>
      </c>
      <c r="D397" s="89" t="str">
        <f ca="1">IFERROR(__xludf.DUMMYFUNCTION("""COMPUTED_VALUE"""),"Guadalajara: Capital de las niñas y los niños")</f>
        <v>Guadalajara: Capital de las niñas y los niños</v>
      </c>
      <c r="E397" s="89" t="str">
        <f ca="1">IFERROR(__xludf.DUMMYFUNCTION("""COMPUTED_VALUE"""),"Custodia, tutela, adopciones y acogimiento familiar")</f>
        <v>Custodia, tutela, adopciones y acogimiento familiar</v>
      </c>
      <c r="F397" s="89" t="str">
        <f ca="1">IFERROR(__xludf.DUMMYFUNCTION("""COMPUTED_VALUE"""),"A1C3, Nuevas medidas de protección dictadas atendidas")</f>
        <v>A1C3, Nuevas medidas de protección dictadas atendidas</v>
      </c>
      <c r="G397" s="89" t="str">
        <f ca="1">IFERROR(__xludf.DUMMYFUNCTION("""COMPUTED_VALUE"""),"Porcentaje de NNA a los que se les dio seguimientos en las nuevas medidas de protección dictadas en 2023")</f>
        <v>Porcentaje de NNA a los que se les dio seguimientos en las nuevas medidas de protección dictadas en 2023</v>
      </c>
      <c r="H397" s="89" t="str">
        <f ca="1">IFERROR(__xludf.DUMMYFUNCTION("""COMPUTED_VALUE"""),"AH JULIO")</f>
        <v>AH JULIO</v>
      </c>
      <c r="I397" s="89" t="str">
        <f ca="1">IFERROR(__xludf.DUMMYFUNCTION("""COMPUTED_VALUE"""),"Julio")</f>
        <v>Julio</v>
      </c>
      <c r="J397" s="89" t="str">
        <f ca="1">IFERROR(__xludf.DUMMYFUNCTION("""COMPUTED_VALUE"""),"AH")</f>
        <v>AH</v>
      </c>
      <c r="K397" s="92">
        <f ca="1">IFERROR(__xludf.DUMMYFUNCTION("""COMPUTED_VALUE"""),2)</f>
        <v>2</v>
      </c>
      <c r="L397" s="89" t="str">
        <f ca="1">IFERROR(__xludf.DUMMYFUNCTION("""COMPUTED_VALUE"""),"TRIMESTRE 3")</f>
        <v>TRIMESTRE 3</v>
      </c>
      <c r="M397" s="89" t="str">
        <f ca="1">IFERROR(__xludf.DUMMYFUNCTION("""COMPUTED_VALUE"""),"ADOLESCENTES HOMBRES")</f>
        <v>ADOLESCENTES HOMBRES</v>
      </c>
    </row>
    <row r="398" spans="1:13">
      <c r="A398" s="89" t="str">
        <f ca="1">IFERROR(__xludf.DUMMYFUNCTION("""COMPUTED_VALUE"""),"4.1.3.1")</f>
        <v>4.1.3.1</v>
      </c>
      <c r="B398" s="89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398" s="89" t="str">
        <f ca="1">IFERROR(__xludf.DUMMYFUNCTION("""COMPUTED_VALUE"""),"4. Programas")</f>
        <v>4. Programas</v>
      </c>
      <c r="D398" s="89" t="str">
        <f ca="1">IFERROR(__xludf.DUMMYFUNCTION("""COMPUTED_VALUE"""),"Guadalajara: Capital de las niñas y los niños")</f>
        <v>Guadalajara: Capital de las niñas y los niños</v>
      </c>
      <c r="E398" s="89" t="str">
        <f ca="1">IFERROR(__xludf.DUMMYFUNCTION("""COMPUTED_VALUE"""),"Custodia, tutela, adopciones y acogimiento familiar")</f>
        <v>Custodia, tutela, adopciones y acogimiento familiar</v>
      </c>
      <c r="F398" s="89" t="str">
        <f ca="1">IFERROR(__xludf.DUMMYFUNCTION("""COMPUTED_VALUE"""),"A1C3, Nuevas medidas de protección dictadas atendidas")</f>
        <v>A1C3, Nuevas medidas de protección dictadas atendidas</v>
      </c>
      <c r="G398" s="89" t="str">
        <f ca="1">IFERROR(__xludf.DUMMYFUNCTION("""COMPUTED_VALUE"""),"Porcentaje de NNA a los que se les dio seguimientos en las nuevas medidas de protección dictadas en 2023")</f>
        <v>Porcentaje de NNA a los que se les dio seguimientos en las nuevas medidas de protección dictadas en 2023</v>
      </c>
      <c r="H398" s="89" t="str">
        <f ca="1">IFERROR(__xludf.DUMMYFUNCTION("""COMPUTED_VALUE"""),"MUJ Julio")</f>
        <v>MUJ Julio</v>
      </c>
      <c r="I398" s="89" t="str">
        <f ca="1">IFERROR(__xludf.DUMMYFUNCTION("""COMPUTED_VALUE"""),"Julio")</f>
        <v>Julio</v>
      </c>
      <c r="J398" s="89" t="str">
        <f ca="1">IFERROR(__xludf.DUMMYFUNCTION("""COMPUTED_VALUE"""),"MUJ")</f>
        <v>MUJ</v>
      </c>
      <c r="K398" s="92"/>
      <c r="L398" s="89" t="str">
        <f ca="1">IFERROR(__xludf.DUMMYFUNCTION("""COMPUTED_VALUE"""),"TRIMESTRE 3")</f>
        <v>TRIMESTRE 3</v>
      </c>
      <c r="M398" s="89" t="str">
        <f ca="1">IFERROR(__xludf.DUMMYFUNCTION("""COMPUTED_VALUE"""),"MUJERES ADULTAS")</f>
        <v>MUJERES ADULTAS</v>
      </c>
    </row>
    <row r="399" spans="1:13">
      <c r="A399" s="89" t="str">
        <f ca="1">IFERROR(__xludf.DUMMYFUNCTION("""COMPUTED_VALUE"""),"4.1.3.1")</f>
        <v>4.1.3.1</v>
      </c>
      <c r="B399" s="89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399" s="89" t="str">
        <f ca="1">IFERROR(__xludf.DUMMYFUNCTION("""COMPUTED_VALUE"""),"4. Programas")</f>
        <v>4. Programas</v>
      </c>
      <c r="D399" s="89" t="str">
        <f ca="1">IFERROR(__xludf.DUMMYFUNCTION("""COMPUTED_VALUE"""),"Guadalajara: Capital de las niñas y los niños")</f>
        <v>Guadalajara: Capital de las niñas y los niños</v>
      </c>
      <c r="E399" s="89" t="str">
        <f ca="1">IFERROR(__xludf.DUMMYFUNCTION("""COMPUTED_VALUE"""),"Custodia, tutela, adopciones y acogimiento familiar")</f>
        <v>Custodia, tutela, adopciones y acogimiento familiar</v>
      </c>
      <c r="F399" s="89" t="str">
        <f ca="1">IFERROR(__xludf.DUMMYFUNCTION("""COMPUTED_VALUE"""),"A1C3, Nuevas medidas de protección dictadas atendidas")</f>
        <v>A1C3, Nuevas medidas de protección dictadas atendidas</v>
      </c>
      <c r="G399" s="89" t="str">
        <f ca="1">IFERROR(__xludf.DUMMYFUNCTION("""COMPUTED_VALUE"""),"Porcentaje de NNA a los que se les dio seguimientos en las nuevas medidas de protección dictadas en 2023")</f>
        <v>Porcentaje de NNA a los que se les dio seguimientos en las nuevas medidas de protección dictadas en 2023</v>
      </c>
      <c r="H399" s="89" t="str">
        <f ca="1">IFERROR(__xludf.DUMMYFUNCTION("""COMPUTED_VALUE"""),"HOM Julio")</f>
        <v>HOM Julio</v>
      </c>
      <c r="I399" s="89" t="str">
        <f ca="1">IFERROR(__xludf.DUMMYFUNCTION("""COMPUTED_VALUE"""),"Julio")</f>
        <v>Julio</v>
      </c>
      <c r="J399" s="89" t="str">
        <f ca="1">IFERROR(__xludf.DUMMYFUNCTION("""COMPUTED_VALUE"""),"HOM")</f>
        <v>HOM</v>
      </c>
      <c r="K399" s="92"/>
      <c r="L399" s="89" t="str">
        <f ca="1">IFERROR(__xludf.DUMMYFUNCTION("""COMPUTED_VALUE"""),"TRIMESTRE 3")</f>
        <v>TRIMESTRE 3</v>
      </c>
      <c r="M399" s="89" t="str">
        <f ca="1">IFERROR(__xludf.DUMMYFUNCTION("""COMPUTED_VALUE"""),"HOMBRES ADULTOS")</f>
        <v>HOMBRES ADULTOS</v>
      </c>
    </row>
    <row r="400" spans="1:13">
      <c r="A400" s="89" t="str">
        <f ca="1">IFERROR(__xludf.DUMMYFUNCTION("""COMPUTED_VALUE"""),"4.1.3.1")</f>
        <v>4.1.3.1</v>
      </c>
      <c r="B400" s="89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400" s="89" t="str">
        <f ca="1">IFERROR(__xludf.DUMMYFUNCTION("""COMPUTED_VALUE"""),"4. Programas")</f>
        <v>4. Programas</v>
      </c>
      <c r="D400" s="89" t="str">
        <f ca="1">IFERROR(__xludf.DUMMYFUNCTION("""COMPUTED_VALUE"""),"Guadalajara: Capital de las niñas y los niños")</f>
        <v>Guadalajara: Capital de las niñas y los niños</v>
      </c>
      <c r="E400" s="89" t="str">
        <f ca="1">IFERROR(__xludf.DUMMYFUNCTION("""COMPUTED_VALUE"""),"Custodia, tutela, adopciones y acogimiento familiar")</f>
        <v>Custodia, tutela, adopciones y acogimiento familiar</v>
      </c>
      <c r="F400" s="89" t="str">
        <f ca="1">IFERROR(__xludf.DUMMYFUNCTION("""COMPUTED_VALUE"""),"A1C3, Nuevas medidas de protección dictadas atendidas")</f>
        <v>A1C3, Nuevas medidas de protección dictadas atendidas</v>
      </c>
      <c r="G400" s="89" t="str">
        <f ca="1">IFERROR(__xludf.DUMMYFUNCTION("""COMPUTED_VALUE"""),"Porcentaje de NNA a los que se les dio seguimientos en las nuevas medidas de protección dictadas en 2023")</f>
        <v>Porcentaje de NNA a los que se les dio seguimientos en las nuevas medidas de protección dictadas en 2023</v>
      </c>
      <c r="H400" s="89" t="str">
        <f ca="1">IFERROR(__xludf.DUMMYFUNCTION("""COMPUTED_VALUE"""),"AMM Julio")</f>
        <v>AMM Julio</v>
      </c>
      <c r="I400" s="89" t="str">
        <f ca="1">IFERROR(__xludf.DUMMYFUNCTION("""COMPUTED_VALUE"""),"Julio")</f>
        <v>Julio</v>
      </c>
      <c r="J400" s="89" t="str">
        <f ca="1">IFERROR(__xludf.DUMMYFUNCTION("""COMPUTED_VALUE"""),"AMM")</f>
        <v>AMM</v>
      </c>
      <c r="K400" s="92"/>
      <c r="L400" s="89" t="str">
        <f ca="1">IFERROR(__xludf.DUMMYFUNCTION("""COMPUTED_VALUE"""),"TRIMESTRE 3")</f>
        <v>TRIMESTRE 3</v>
      </c>
      <c r="M400" s="89" t="str">
        <f ca="1">IFERROR(__xludf.DUMMYFUNCTION("""COMPUTED_VALUE"""),"ADULTA MAYOR MUJER")</f>
        <v>ADULTA MAYOR MUJER</v>
      </c>
    </row>
    <row r="401" spans="1:13">
      <c r="A401" s="89" t="str">
        <f ca="1">IFERROR(__xludf.DUMMYFUNCTION("""COMPUTED_VALUE"""),"4.1.3.1")</f>
        <v>4.1.3.1</v>
      </c>
      <c r="B401" s="89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401" s="89" t="str">
        <f ca="1">IFERROR(__xludf.DUMMYFUNCTION("""COMPUTED_VALUE"""),"4. Programas")</f>
        <v>4. Programas</v>
      </c>
      <c r="D401" s="89" t="str">
        <f ca="1">IFERROR(__xludf.DUMMYFUNCTION("""COMPUTED_VALUE"""),"Guadalajara: Capital de las niñas y los niños")</f>
        <v>Guadalajara: Capital de las niñas y los niños</v>
      </c>
      <c r="E401" s="89" t="str">
        <f ca="1">IFERROR(__xludf.DUMMYFUNCTION("""COMPUTED_VALUE"""),"Custodia, tutela, adopciones y acogimiento familiar")</f>
        <v>Custodia, tutela, adopciones y acogimiento familiar</v>
      </c>
      <c r="F401" s="89" t="str">
        <f ca="1">IFERROR(__xludf.DUMMYFUNCTION("""COMPUTED_VALUE"""),"A1C3, Nuevas medidas de protección dictadas atendidas")</f>
        <v>A1C3, Nuevas medidas de protección dictadas atendidas</v>
      </c>
      <c r="G401" s="89" t="str">
        <f ca="1">IFERROR(__xludf.DUMMYFUNCTION("""COMPUTED_VALUE"""),"Porcentaje de NNA a los que se les dio seguimientos en las nuevas medidas de protección dictadas en 2023")</f>
        <v>Porcentaje de NNA a los que se les dio seguimientos en las nuevas medidas de protección dictadas en 2023</v>
      </c>
      <c r="H401" s="89" t="str">
        <f ca="1">IFERROR(__xludf.DUMMYFUNCTION("""COMPUTED_VALUE"""),"AMH Julio")</f>
        <v>AMH Julio</v>
      </c>
      <c r="I401" s="89" t="str">
        <f ca="1">IFERROR(__xludf.DUMMYFUNCTION("""COMPUTED_VALUE"""),"Julio")</f>
        <v>Julio</v>
      </c>
      <c r="J401" s="89" t="str">
        <f ca="1">IFERROR(__xludf.DUMMYFUNCTION("""COMPUTED_VALUE"""),"AMH")</f>
        <v>AMH</v>
      </c>
      <c r="K401" s="92"/>
      <c r="L401" s="89" t="str">
        <f ca="1">IFERROR(__xludf.DUMMYFUNCTION("""COMPUTED_VALUE"""),"TRIMESTRE 3")</f>
        <v>TRIMESTRE 3</v>
      </c>
      <c r="M401" s="89" t="str">
        <f ca="1">IFERROR(__xludf.DUMMYFUNCTION("""COMPUTED_VALUE"""),"ADULTO MAYOR HOMBRE")</f>
        <v>ADULTO MAYOR HOMBRE</v>
      </c>
    </row>
    <row r="402" spans="1:13">
      <c r="A402" s="89" t="str">
        <f ca="1">IFERROR(__xludf.DUMMYFUNCTION("""COMPUTED_VALUE"""),"4.1.3.2")</f>
        <v>4.1.3.2</v>
      </c>
      <c r="B402" s="89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402" s="89" t="str">
        <f ca="1">IFERROR(__xludf.DUMMYFUNCTION("""COMPUTED_VALUE"""),"4. Programas")</f>
        <v>4. Programas</v>
      </c>
      <c r="D402" s="89" t="str">
        <f ca="1">IFERROR(__xludf.DUMMYFUNCTION("""COMPUTED_VALUE"""),"Guadalajara: Capital de las niñas y los niños")</f>
        <v>Guadalajara: Capital de las niñas y los niños</v>
      </c>
      <c r="E402" s="89" t="str">
        <f ca="1">IFERROR(__xludf.DUMMYFUNCTION("""COMPUTED_VALUE"""),"Custodia, tutela, adopciones y acogimiento familiar")</f>
        <v>Custodia, tutela, adopciones y acogimiento familiar</v>
      </c>
      <c r="F402" s="89" t="str">
        <f ca="1">IFERROR(__xludf.DUMMYFUNCTION("""COMPUTED_VALUE"""),"A2C3. Medidas de protección dictadas que se les dio seguimiento")</f>
        <v>A2C3. Medidas de protección dictadas que se les dio seguimiento</v>
      </c>
      <c r="G402" s="89" t="str">
        <f ca="1">IFERROR(__xludf.DUMMYFUNCTION("""COMPUTED_VALUE"""),"Porcentaje de NNA a los que se les dio seguimientos en las medidas de protección dictadas, en 2023")</f>
        <v>Porcentaje de NNA a los que se les dio seguimientos en las medidas de protección dictadas, en 2023</v>
      </c>
      <c r="H402" s="89" t="str">
        <f ca="1">IFERROR(__xludf.DUMMYFUNCTION("""COMPUTED_VALUE"""),"NAS Julio")</f>
        <v>NAS Julio</v>
      </c>
      <c r="I402" s="89" t="str">
        <f ca="1">IFERROR(__xludf.DUMMYFUNCTION("""COMPUTED_VALUE"""),"Julio")</f>
        <v>Julio</v>
      </c>
      <c r="J402" s="89" t="str">
        <f ca="1">IFERROR(__xludf.DUMMYFUNCTION("""COMPUTED_VALUE"""),"NAS")</f>
        <v>NAS</v>
      </c>
      <c r="K402" s="92">
        <f ca="1">IFERROR(__xludf.DUMMYFUNCTION("""COMPUTED_VALUE"""),56)</f>
        <v>56</v>
      </c>
      <c r="L402" s="89" t="str">
        <f ca="1">IFERROR(__xludf.DUMMYFUNCTION("""COMPUTED_VALUE"""),"TRIMESTRE 3")</f>
        <v>TRIMESTRE 3</v>
      </c>
      <c r="M402" s="89" t="str">
        <f ca="1">IFERROR(__xludf.DUMMYFUNCTION("""COMPUTED_VALUE"""),"NIÑAS")</f>
        <v>NIÑAS</v>
      </c>
    </row>
    <row r="403" spans="1:13">
      <c r="A403" s="89" t="str">
        <f ca="1">IFERROR(__xludf.DUMMYFUNCTION("""COMPUTED_VALUE"""),"4.1.3.2")</f>
        <v>4.1.3.2</v>
      </c>
      <c r="B403" s="89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403" s="89" t="str">
        <f ca="1">IFERROR(__xludf.DUMMYFUNCTION("""COMPUTED_VALUE"""),"4. Programas")</f>
        <v>4. Programas</v>
      </c>
      <c r="D403" s="89" t="str">
        <f ca="1">IFERROR(__xludf.DUMMYFUNCTION("""COMPUTED_VALUE"""),"Guadalajara: Capital de las niñas y los niños")</f>
        <v>Guadalajara: Capital de las niñas y los niños</v>
      </c>
      <c r="E403" s="89" t="str">
        <f ca="1">IFERROR(__xludf.DUMMYFUNCTION("""COMPUTED_VALUE"""),"Custodia, tutela, adopciones y acogimiento familiar")</f>
        <v>Custodia, tutela, adopciones y acogimiento familiar</v>
      </c>
      <c r="F403" s="89" t="str">
        <f ca="1">IFERROR(__xludf.DUMMYFUNCTION("""COMPUTED_VALUE"""),"A2C3. Medidas de protección dictadas que se les dio seguimiento")</f>
        <v>A2C3. Medidas de protección dictadas que se les dio seguimiento</v>
      </c>
      <c r="G403" s="89" t="str">
        <f ca="1">IFERROR(__xludf.DUMMYFUNCTION("""COMPUTED_VALUE"""),"Porcentaje de NNA a los que se les dio seguimientos en las medidas de protección dictadas, en 2023")</f>
        <v>Porcentaje de NNA a los que se les dio seguimientos en las medidas de protección dictadas, en 2023</v>
      </c>
      <c r="H403" s="89" t="str">
        <f ca="1">IFERROR(__xludf.DUMMYFUNCTION("""COMPUTED_VALUE"""),"NOS Julio")</f>
        <v>NOS Julio</v>
      </c>
      <c r="I403" s="89" t="str">
        <f ca="1">IFERROR(__xludf.DUMMYFUNCTION("""COMPUTED_VALUE"""),"Julio")</f>
        <v>Julio</v>
      </c>
      <c r="J403" s="89" t="str">
        <f ca="1">IFERROR(__xludf.DUMMYFUNCTION("""COMPUTED_VALUE"""),"NOS")</f>
        <v>NOS</v>
      </c>
      <c r="K403" s="92">
        <f ca="1">IFERROR(__xludf.DUMMYFUNCTION("""COMPUTED_VALUE"""),43)</f>
        <v>43</v>
      </c>
      <c r="L403" s="89" t="str">
        <f ca="1">IFERROR(__xludf.DUMMYFUNCTION("""COMPUTED_VALUE"""),"TRIMESTRE 3")</f>
        <v>TRIMESTRE 3</v>
      </c>
      <c r="M403" s="89" t="str">
        <f ca="1">IFERROR(__xludf.DUMMYFUNCTION("""COMPUTED_VALUE"""),"NIÑOS")</f>
        <v>NIÑOS</v>
      </c>
    </row>
    <row r="404" spans="1:13">
      <c r="A404" s="89" t="str">
        <f ca="1">IFERROR(__xludf.DUMMYFUNCTION("""COMPUTED_VALUE"""),"4.1.3.2")</f>
        <v>4.1.3.2</v>
      </c>
      <c r="B404" s="89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404" s="89" t="str">
        <f ca="1">IFERROR(__xludf.DUMMYFUNCTION("""COMPUTED_VALUE"""),"4. Programas")</f>
        <v>4. Programas</v>
      </c>
      <c r="D404" s="89" t="str">
        <f ca="1">IFERROR(__xludf.DUMMYFUNCTION("""COMPUTED_VALUE"""),"Guadalajara: Capital de las niñas y los niños")</f>
        <v>Guadalajara: Capital de las niñas y los niños</v>
      </c>
      <c r="E404" s="89" t="str">
        <f ca="1">IFERROR(__xludf.DUMMYFUNCTION("""COMPUTED_VALUE"""),"Custodia, tutela, adopciones y acogimiento familiar")</f>
        <v>Custodia, tutela, adopciones y acogimiento familiar</v>
      </c>
      <c r="F404" s="89" t="str">
        <f ca="1">IFERROR(__xludf.DUMMYFUNCTION("""COMPUTED_VALUE"""),"A2C3. Medidas de protección dictadas que se les dio seguimiento")</f>
        <v>A2C3. Medidas de protección dictadas que se les dio seguimiento</v>
      </c>
      <c r="G404" s="89" t="str">
        <f ca="1">IFERROR(__xludf.DUMMYFUNCTION("""COMPUTED_VALUE"""),"Porcentaje de NNA a los que se les dio seguimientos en las medidas de protección dictadas, en 2023")</f>
        <v>Porcentaje de NNA a los que se les dio seguimientos en las medidas de protección dictadas, en 2023</v>
      </c>
      <c r="H404" s="89" t="str">
        <f ca="1">IFERROR(__xludf.DUMMYFUNCTION("""COMPUTED_VALUE"""),"AM JULIO")</f>
        <v>AM JULIO</v>
      </c>
      <c r="I404" s="89" t="str">
        <f ca="1">IFERROR(__xludf.DUMMYFUNCTION("""COMPUTED_VALUE"""),"Julio")</f>
        <v>Julio</v>
      </c>
      <c r="J404" s="89" t="str">
        <f ca="1">IFERROR(__xludf.DUMMYFUNCTION("""COMPUTED_VALUE"""),"AM")</f>
        <v>AM</v>
      </c>
      <c r="K404" s="92">
        <f ca="1">IFERROR(__xludf.DUMMYFUNCTION("""COMPUTED_VALUE"""),32)</f>
        <v>32</v>
      </c>
      <c r="L404" s="89" t="str">
        <f ca="1">IFERROR(__xludf.DUMMYFUNCTION("""COMPUTED_VALUE"""),"TRIMESTRE 3")</f>
        <v>TRIMESTRE 3</v>
      </c>
      <c r="M404" s="89" t="str">
        <f ca="1">IFERROR(__xludf.DUMMYFUNCTION("""COMPUTED_VALUE"""),"ADOLESCENTES MUJERES")</f>
        <v>ADOLESCENTES MUJERES</v>
      </c>
    </row>
    <row r="405" spans="1:13">
      <c r="A405" s="89" t="str">
        <f ca="1">IFERROR(__xludf.DUMMYFUNCTION("""COMPUTED_VALUE"""),"4.1.3.2")</f>
        <v>4.1.3.2</v>
      </c>
      <c r="B405" s="89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405" s="89" t="str">
        <f ca="1">IFERROR(__xludf.DUMMYFUNCTION("""COMPUTED_VALUE"""),"4. Programas")</f>
        <v>4. Programas</v>
      </c>
      <c r="D405" s="89" t="str">
        <f ca="1">IFERROR(__xludf.DUMMYFUNCTION("""COMPUTED_VALUE"""),"Guadalajara: Capital de las niñas y los niños")</f>
        <v>Guadalajara: Capital de las niñas y los niños</v>
      </c>
      <c r="E405" s="89" t="str">
        <f ca="1">IFERROR(__xludf.DUMMYFUNCTION("""COMPUTED_VALUE"""),"Custodia, tutela, adopciones y acogimiento familiar")</f>
        <v>Custodia, tutela, adopciones y acogimiento familiar</v>
      </c>
      <c r="F405" s="89" t="str">
        <f ca="1">IFERROR(__xludf.DUMMYFUNCTION("""COMPUTED_VALUE"""),"A2C3. Medidas de protección dictadas que se les dio seguimiento")</f>
        <v>A2C3. Medidas de protección dictadas que se les dio seguimiento</v>
      </c>
      <c r="G405" s="89" t="str">
        <f ca="1">IFERROR(__xludf.DUMMYFUNCTION("""COMPUTED_VALUE"""),"Porcentaje de NNA a los que se les dio seguimientos en las medidas de protección dictadas, en 2023")</f>
        <v>Porcentaje de NNA a los que se les dio seguimientos en las medidas de protección dictadas, en 2023</v>
      </c>
      <c r="H405" s="89" t="str">
        <f ca="1">IFERROR(__xludf.DUMMYFUNCTION("""COMPUTED_VALUE"""),"AH JULIO")</f>
        <v>AH JULIO</v>
      </c>
      <c r="I405" s="89" t="str">
        <f ca="1">IFERROR(__xludf.DUMMYFUNCTION("""COMPUTED_VALUE"""),"Julio")</f>
        <v>Julio</v>
      </c>
      <c r="J405" s="89" t="str">
        <f ca="1">IFERROR(__xludf.DUMMYFUNCTION("""COMPUTED_VALUE"""),"AH")</f>
        <v>AH</v>
      </c>
      <c r="K405" s="92">
        <f ca="1">IFERROR(__xludf.DUMMYFUNCTION("""COMPUTED_VALUE"""),14)</f>
        <v>14</v>
      </c>
      <c r="L405" s="89" t="str">
        <f ca="1">IFERROR(__xludf.DUMMYFUNCTION("""COMPUTED_VALUE"""),"TRIMESTRE 3")</f>
        <v>TRIMESTRE 3</v>
      </c>
      <c r="M405" s="89" t="str">
        <f ca="1">IFERROR(__xludf.DUMMYFUNCTION("""COMPUTED_VALUE"""),"ADOLESCENTES HOMBRES")</f>
        <v>ADOLESCENTES HOMBRES</v>
      </c>
    </row>
    <row r="406" spans="1:13">
      <c r="A406" s="89" t="str">
        <f ca="1">IFERROR(__xludf.DUMMYFUNCTION("""COMPUTED_VALUE"""),"4.1.3.2")</f>
        <v>4.1.3.2</v>
      </c>
      <c r="B406" s="89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406" s="89" t="str">
        <f ca="1">IFERROR(__xludf.DUMMYFUNCTION("""COMPUTED_VALUE"""),"4. Programas")</f>
        <v>4. Programas</v>
      </c>
      <c r="D406" s="89" t="str">
        <f ca="1">IFERROR(__xludf.DUMMYFUNCTION("""COMPUTED_VALUE"""),"Guadalajara: Capital de las niñas y los niños")</f>
        <v>Guadalajara: Capital de las niñas y los niños</v>
      </c>
      <c r="E406" s="89" t="str">
        <f ca="1">IFERROR(__xludf.DUMMYFUNCTION("""COMPUTED_VALUE"""),"Custodia, tutela, adopciones y acogimiento familiar")</f>
        <v>Custodia, tutela, adopciones y acogimiento familiar</v>
      </c>
      <c r="F406" s="89" t="str">
        <f ca="1">IFERROR(__xludf.DUMMYFUNCTION("""COMPUTED_VALUE"""),"A2C3. Medidas de protección dictadas que se les dio seguimiento")</f>
        <v>A2C3. Medidas de protección dictadas que se les dio seguimiento</v>
      </c>
      <c r="G406" s="89" t="str">
        <f ca="1">IFERROR(__xludf.DUMMYFUNCTION("""COMPUTED_VALUE"""),"Porcentaje de NNA a los que se les dio seguimientos en las medidas de protección dictadas, en 2023")</f>
        <v>Porcentaje de NNA a los que se les dio seguimientos en las medidas de protección dictadas, en 2023</v>
      </c>
      <c r="H406" s="89" t="str">
        <f ca="1">IFERROR(__xludf.DUMMYFUNCTION("""COMPUTED_VALUE"""),"MUJ Julio")</f>
        <v>MUJ Julio</v>
      </c>
      <c r="I406" s="89" t="str">
        <f ca="1">IFERROR(__xludf.DUMMYFUNCTION("""COMPUTED_VALUE"""),"Julio")</f>
        <v>Julio</v>
      </c>
      <c r="J406" s="89" t="str">
        <f ca="1">IFERROR(__xludf.DUMMYFUNCTION("""COMPUTED_VALUE"""),"MUJ")</f>
        <v>MUJ</v>
      </c>
      <c r="K406" s="92"/>
      <c r="L406" s="89" t="str">
        <f ca="1">IFERROR(__xludf.DUMMYFUNCTION("""COMPUTED_VALUE"""),"TRIMESTRE 3")</f>
        <v>TRIMESTRE 3</v>
      </c>
      <c r="M406" s="89" t="str">
        <f ca="1">IFERROR(__xludf.DUMMYFUNCTION("""COMPUTED_VALUE"""),"MUJERES ADULTAS")</f>
        <v>MUJERES ADULTAS</v>
      </c>
    </row>
    <row r="407" spans="1:13">
      <c r="A407" s="89" t="str">
        <f ca="1">IFERROR(__xludf.DUMMYFUNCTION("""COMPUTED_VALUE"""),"4.1.3.2")</f>
        <v>4.1.3.2</v>
      </c>
      <c r="B407" s="89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407" s="89" t="str">
        <f ca="1">IFERROR(__xludf.DUMMYFUNCTION("""COMPUTED_VALUE"""),"4. Programas")</f>
        <v>4. Programas</v>
      </c>
      <c r="D407" s="89" t="str">
        <f ca="1">IFERROR(__xludf.DUMMYFUNCTION("""COMPUTED_VALUE"""),"Guadalajara: Capital de las niñas y los niños")</f>
        <v>Guadalajara: Capital de las niñas y los niños</v>
      </c>
      <c r="E407" s="89" t="str">
        <f ca="1">IFERROR(__xludf.DUMMYFUNCTION("""COMPUTED_VALUE"""),"Custodia, tutela, adopciones y acogimiento familiar")</f>
        <v>Custodia, tutela, adopciones y acogimiento familiar</v>
      </c>
      <c r="F407" s="89" t="str">
        <f ca="1">IFERROR(__xludf.DUMMYFUNCTION("""COMPUTED_VALUE"""),"A2C3. Medidas de protección dictadas que se les dio seguimiento")</f>
        <v>A2C3. Medidas de protección dictadas que se les dio seguimiento</v>
      </c>
      <c r="G407" s="89" t="str">
        <f ca="1">IFERROR(__xludf.DUMMYFUNCTION("""COMPUTED_VALUE"""),"Porcentaje de NNA a los que se les dio seguimientos en las medidas de protección dictadas, en 2023")</f>
        <v>Porcentaje de NNA a los que se les dio seguimientos en las medidas de protección dictadas, en 2023</v>
      </c>
      <c r="H407" s="89" t="str">
        <f ca="1">IFERROR(__xludf.DUMMYFUNCTION("""COMPUTED_VALUE"""),"HOM Julio")</f>
        <v>HOM Julio</v>
      </c>
      <c r="I407" s="89" t="str">
        <f ca="1">IFERROR(__xludf.DUMMYFUNCTION("""COMPUTED_VALUE"""),"Julio")</f>
        <v>Julio</v>
      </c>
      <c r="J407" s="89" t="str">
        <f ca="1">IFERROR(__xludf.DUMMYFUNCTION("""COMPUTED_VALUE"""),"HOM")</f>
        <v>HOM</v>
      </c>
      <c r="K407" s="92"/>
      <c r="L407" s="89" t="str">
        <f ca="1">IFERROR(__xludf.DUMMYFUNCTION("""COMPUTED_VALUE"""),"TRIMESTRE 3")</f>
        <v>TRIMESTRE 3</v>
      </c>
      <c r="M407" s="89" t="str">
        <f ca="1">IFERROR(__xludf.DUMMYFUNCTION("""COMPUTED_VALUE"""),"HOMBRES ADULTOS")</f>
        <v>HOMBRES ADULTOS</v>
      </c>
    </row>
    <row r="408" spans="1:13">
      <c r="A408" s="89" t="str">
        <f ca="1">IFERROR(__xludf.DUMMYFUNCTION("""COMPUTED_VALUE"""),"4.1.3.2")</f>
        <v>4.1.3.2</v>
      </c>
      <c r="B408" s="89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408" s="89" t="str">
        <f ca="1">IFERROR(__xludf.DUMMYFUNCTION("""COMPUTED_VALUE"""),"4. Programas")</f>
        <v>4. Programas</v>
      </c>
      <c r="D408" s="89" t="str">
        <f ca="1">IFERROR(__xludf.DUMMYFUNCTION("""COMPUTED_VALUE"""),"Guadalajara: Capital de las niñas y los niños")</f>
        <v>Guadalajara: Capital de las niñas y los niños</v>
      </c>
      <c r="E408" s="89" t="str">
        <f ca="1">IFERROR(__xludf.DUMMYFUNCTION("""COMPUTED_VALUE"""),"Custodia, tutela, adopciones y acogimiento familiar")</f>
        <v>Custodia, tutela, adopciones y acogimiento familiar</v>
      </c>
      <c r="F408" s="89" t="str">
        <f ca="1">IFERROR(__xludf.DUMMYFUNCTION("""COMPUTED_VALUE"""),"A2C3. Medidas de protección dictadas que se les dio seguimiento")</f>
        <v>A2C3. Medidas de protección dictadas que se les dio seguimiento</v>
      </c>
      <c r="G408" s="89" t="str">
        <f ca="1">IFERROR(__xludf.DUMMYFUNCTION("""COMPUTED_VALUE"""),"Porcentaje de NNA a los que se les dio seguimientos en las medidas de protección dictadas, en 2023")</f>
        <v>Porcentaje de NNA a los que se les dio seguimientos en las medidas de protección dictadas, en 2023</v>
      </c>
      <c r="H408" s="89" t="str">
        <f ca="1">IFERROR(__xludf.DUMMYFUNCTION("""COMPUTED_VALUE"""),"AMM Julio")</f>
        <v>AMM Julio</v>
      </c>
      <c r="I408" s="89" t="str">
        <f ca="1">IFERROR(__xludf.DUMMYFUNCTION("""COMPUTED_VALUE"""),"Julio")</f>
        <v>Julio</v>
      </c>
      <c r="J408" s="89" t="str">
        <f ca="1">IFERROR(__xludf.DUMMYFUNCTION("""COMPUTED_VALUE"""),"AMM")</f>
        <v>AMM</v>
      </c>
      <c r="K408" s="92"/>
      <c r="L408" s="89" t="str">
        <f ca="1">IFERROR(__xludf.DUMMYFUNCTION("""COMPUTED_VALUE"""),"TRIMESTRE 3")</f>
        <v>TRIMESTRE 3</v>
      </c>
      <c r="M408" s="89" t="str">
        <f ca="1">IFERROR(__xludf.DUMMYFUNCTION("""COMPUTED_VALUE"""),"ADULTA MAYOR MUJER")</f>
        <v>ADULTA MAYOR MUJER</v>
      </c>
    </row>
    <row r="409" spans="1:13">
      <c r="A409" s="89" t="str">
        <f ca="1">IFERROR(__xludf.DUMMYFUNCTION("""COMPUTED_VALUE"""),"4.1.3.2")</f>
        <v>4.1.3.2</v>
      </c>
      <c r="B409" s="89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409" s="89" t="str">
        <f ca="1">IFERROR(__xludf.DUMMYFUNCTION("""COMPUTED_VALUE"""),"4. Programas")</f>
        <v>4. Programas</v>
      </c>
      <c r="D409" s="89" t="str">
        <f ca="1">IFERROR(__xludf.DUMMYFUNCTION("""COMPUTED_VALUE"""),"Guadalajara: Capital de las niñas y los niños")</f>
        <v>Guadalajara: Capital de las niñas y los niños</v>
      </c>
      <c r="E409" s="89" t="str">
        <f ca="1">IFERROR(__xludf.DUMMYFUNCTION("""COMPUTED_VALUE"""),"Custodia, tutela, adopciones y acogimiento familiar")</f>
        <v>Custodia, tutela, adopciones y acogimiento familiar</v>
      </c>
      <c r="F409" s="89" t="str">
        <f ca="1">IFERROR(__xludf.DUMMYFUNCTION("""COMPUTED_VALUE"""),"A2C3. Medidas de protección dictadas que se les dio seguimiento")</f>
        <v>A2C3. Medidas de protección dictadas que se les dio seguimiento</v>
      </c>
      <c r="G409" s="89" t="str">
        <f ca="1">IFERROR(__xludf.DUMMYFUNCTION("""COMPUTED_VALUE"""),"Porcentaje de NNA a los que se les dio seguimientos en las medidas de protección dictadas, en 2023")</f>
        <v>Porcentaje de NNA a los que se les dio seguimientos en las medidas de protección dictadas, en 2023</v>
      </c>
      <c r="H409" s="89" t="str">
        <f ca="1">IFERROR(__xludf.DUMMYFUNCTION("""COMPUTED_VALUE"""),"AMH Julio")</f>
        <v>AMH Julio</v>
      </c>
      <c r="I409" s="89" t="str">
        <f ca="1">IFERROR(__xludf.DUMMYFUNCTION("""COMPUTED_VALUE"""),"Julio")</f>
        <v>Julio</v>
      </c>
      <c r="J409" s="89" t="str">
        <f ca="1">IFERROR(__xludf.DUMMYFUNCTION("""COMPUTED_VALUE"""),"AMH")</f>
        <v>AMH</v>
      </c>
      <c r="K409" s="92"/>
      <c r="L409" s="89" t="str">
        <f ca="1">IFERROR(__xludf.DUMMYFUNCTION("""COMPUTED_VALUE"""),"TRIMESTRE 3")</f>
        <v>TRIMESTRE 3</v>
      </c>
      <c r="M409" s="89" t="str">
        <f ca="1">IFERROR(__xludf.DUMMYFUNCTION("""COMPUTED_VALUE"""),"ADULTO MAYOR HOMBRE")</f>
        <v>ADULTO MAYOR HOMBRE</v>
      </c>
    </row>
    <row r="410" spans="1:13">
      <c r="A410" s="89" t="str">
        <f ca="1">IFERROR(__xludf.DUMMYFUNCTION("""COMPUTED_VALUE"""),"4.1.3.4")</f>
        <v>4.1.3.4</v>
      </c>
      <c r="B410" s="89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410" s="89" t="str">
        <f ca="1">IFERROR(__xludf.DUMMYFUNCTION("""COMPUTED_VALUE"""),"4. Programas")</f>
        <v>4. Programas</v>
      </c>
      <c r="D410" s="89" t="str">
        <f ca="1">IFERROR(__xludf.DUMMYFUNCTION("""COMPUTED_VALUE"""),"Guadalajara: Capital de las niñas y los niños")</f>
        <v>Guadalajara: Capital de las niñas y los niños</v>
      </c>
      <c r="E410" s="89" t="str">
        <f ca="1">IFERROR(__xludf.DUMMYFUNCTION("""COMPUTED_VALUE"""),"Custodia, tutela, adopciones y acogimiento familiar")</f>
        <v>Custodia, tutela, adopciones y acogimiento familiar</v>
      </c>
      <c r="F410" s="89" t="str">
        <f ca="1">IFERROR(__xludf.DUMMYFUNCTION("""COMPUTED_VALUE"""),"A4C3. NNA integrados en familias.")</f>
        <v>A4C3. NNA integrados en familias.</v>
      </c>
      <c r="G410" s="89" t="str">
        <f ca="1">IFERROR(__xludf.DUMMYFUNCTION("""COMPUTED_VALUE"""),"Porcentaje de NNA integrados en familias, en 2023")</f>
        <v>Porcentaje de NNA integrados en familias, en 2023</v>
      </c>
      <c r="H410" s="89" t="str">
        <f ca="1">IFERROR(__xludf.DUMMYFUNCTION("""COMPUTED_VALUE"""),"NAS Julio")</f>
        <v>NAS Julio</v>
      </c>
      <c r="I410" s="89" t="str">
        <f ca="1">IFERROR(__xludf.DUMMYFUNCTION("""COMPUTED_VALUE"""),"Julio")</f>
        <v>Julio</v>
      </c>
      <c r="J410" s="89" t="str">
        <f ca="1">IFERROR(__xludf.DUMMYFUNCTION("""COMPUTED_VALUE"""),"NAS")</f>
        <v>NAS</v>
      </c>
      <c r="K410" s="92">
        <f ca="1">IFERROR(__xludf.DUMMYFUNCTION("""COMPUTED_VALUE"""),15)</f>
        <v>15</v>
      </c>
      <c r="L410" s="89" t="str">
        <f ca="1">IFERROR(__xludf.DUMMYFUNCTION("""COMPUTED_VALUE"""),"TRIMESTRE 3")</f>
        <v>TRIMESTRE 3</v>
      </c>
      <c r="M410" s="89" t="str">
        <f ca="1">IFERROR(__xludf.DUMMYFUNCTION("""COMPUTED_VALUE"""),"NIÑAS")</f>
        <v>NIÑAS</v>
      </c>
    </row>
    <row r="411" spans="1:13">
      <c r="A411" s="89" t="str">
        <f ca="1">IFERROR(__xludf.DUMMYFUNCTION("""COMPUTED_VALUE"""),"4.1.3.4")</f>
        <v>4.1.3.4</v>
      </c>
      <c r="B411" s="89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411" s="89" t="str">
        <f ca="1">IFERROR(__xludf.DUMMYFUNCTION("""COMPUTED_VALUE"""),"4. Programas")</f>
        <v>4. Programas</v>
      </c>
      <c r="D411" s="89" t="str">
        <f ca="1">IFERROR(__xludf.DUMMYFUNCTION("""COMPUTED_VALUE"""),"Guadalajara: Capital de las niñas y los niños")</f>
        <v>Guadalajara: Capital de las niñas y los niños</v>
      </c>
      <c r="E411" s="89" t="str">
        <f ca="1">IFERROR(__xludf.DUMMYFUNCTION("""COMPUTED_VALUE"""),"Custodia, tutela, adopciones y acogimiento familiar")</f>
        <v>Custodia, tutela, adopciones y acogimiento familiar</v>
      </c>
      <c r="F411" s="89" t="str">
        <f ca="1">IFERROR(__xludf.DUMMYFUNCTION("""COMPUTED_VALUE"""),"A4C3. NNA integrados en familias.")</f>
        <v>A4C3. NNA integrados en familias.</v>
      </c>
      <c r="G411" s="89" t="str">
        <f ca="1">IFERROR(__xludf.DUMMYFUNCTION("""COMPUTED_VALUE"""),"Porcentaje de NNA integrados en familias, en 2023")</f>
        <v>Porcentaje de NNA integrados en familias, en 2023</v>
      </c>
      <c r="H411" s="89" t="str">
        <f ca="1">IFERROR(__xludf.DUMMYFUNCTION("""COMPUTED_VALUE"""),"NOS Julio")</f>
        <v>NOS Julio</v>
      </c>
      <c r="I411" s="89" t="str">
        <f ca="1">IFERROR(__xludf.DUMMYFUNCTION("""COMPUTED_VALUE"""),"Julio")</f>
        <v>Julio</v>
      </c>
      <c r="J411" s="89" t="str">
        <f ca="1">IFERROR(__xludf.DUMMYFUNCTION("""COMPUTED_VALUE"""),"NOS")</f>
        <v>NOS</v>
      </c>
      <c r="K411" s="92">
        <f ca="1">IFERROR(__xludf.DUMMYFUNCTION("""COMPUTED_VALUE"""),9)</f>
        <v>9</v>
      </c>
      <c r="L411" s="89" t="str">
        <f ca="1">IFERROR(__xludf.DUMMYFUNCTION("""COMPUTED_VALUE"""),"TRIMESTRE 3")</f>
        <v>TRIMESTRE 3</v>
      </c>
      <c r="M411" s="89" t="str">
        <f ca="1">IFERROR(__xludf.DUMMYFUNCTION("""COMPUTED_VALUE"""),"NIÑOS")</f>
        <v>NIÑOS</v>
      </c>
    </row>
    <row r="412" spans="1:13">
      <c r="A412" s="89" t="str">
        <f ca="1">IFERROR(__xludf.DUMMYFUNCTION("""COMPUTED_VALUE"""),"4.1.3.4")</f>
        <v>4.1.3.4</v>
      </c>
      <c r="B412" s="89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412" s="89" t="str">
        <f ca="1">IFERROR(__xludf.DUMMYFUNCTION("""COMPUTED_VALUE"""),"4. Programas")</f>
        <v>4. Programas</v>
      </c>
      <c r="D412" s="89" t="str">
        <f ca="1">IFERROR(__xludf.DUMMYFUNCTION("""COMPUTED_VALUE"""),"Guadalajara: Capital de las niñas y los niños")</f>
        <v>Guadalajara: Capital de las niñas y los niños</v>
      </c>
      <c r="E412" s="89" t="str">
        <f ca="1">IFERROR(__xludf.DUMMYFUNCTION("""COMPUTED_VALUE"""),"Custodia, tutela, adopciones y acogimiento familiar")</f>
        <v>Custodia, tutela, adopciones y acogimiento familiar</v>
      </c>
      <c r="F412" s="89" t="str">
        <f ca="1">IFERROR(__xludf.DUMMYFUNCTION("""COMPUTED_VALUE"""),"A4C3. NNA integrados en familias.")</f>
        <v>A4C3. NNA integrados en familias.</v>
      </c>
      <c r="G412" s="89" t="str">
        <f ca="1">IFERROR(__xludf.DUMMYFUNCTION("""COMPUTED_VALUE"""),"Porcentaje de NNA integrados en familias, en 2023")</f>
        <v>Porcentaje de NNA integrados en familias, en 2023</v>
      </c>
      <c r="H412" s="89" t="str">
        <f ca="1">IFERROR(__xludf.DUMMYFUNCTION("""COMPUTED_VALUE"""),"AM JULIO")</f>
        <v>AM JULIO</v>
      </c>
      <c r="I412" s="89" t="str">
        <f ca="1">IFERROR(__xludf.DUMMYFUNCTION("""COMPUTED_VALUE"""),"Julio")</f>
        <v>Julio</v>
      </c>
      <c r="J412" s="89" t="str">
        <f ca="1">IFERROR(__xludf.DUMMYFUNCTION("""COMPUTED_VALUE"""),"AM")</f>
        <v>AM</v>
      </c>
      <c r="K412" s="92">
        <f ca="1">IFERROR(__xludf.DUMMYFUNCTION("""COMPUTED_VALUE"""),4)</f>
        <v>4</v>
      </c>
      <c r="L412" s="89" t="str">
        <f ca="1">IFERROR(__xludf.DUMMYFUNCTION("""COMPUTED_VALUE"""),"TRIMESTRE 3")</f>
        <v>TRIMESTRE 3</v>
      </c>
      <c r="M412" s="89" t="str">
        <f ca="1">IFERROR(__xludf.DUMMYFUNCTION("""COMPUTED_VALUE"""),"ADOLESCENTES MUJERES")</f>
        <v>ADOLESCENTES MUJERES</v>
      </c>
    </row>
    <row r="413" spans="1:13">
      <c r="A413" s="89" t="str">
        <f ca="1">IFERROR(__xludf.DUMMYFUNCTION("""COMPUTED_VALUE"""),"4.1.3.4")</f>
        <v>4.1.3.4</v>
      </c>
      <c r="B413" s="89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413" s="89" t="str">
        <f ca="1">IFERROR(__xludf.DUMMYFUNCTION("""COMPUTED_VALUE"""),"4. Programas")</f>
        <v>4. Programas</v>
      </c>
      <c r="D413" s="89" t="str">
        <f ca="1">IFERROR(__xludf.DUMMYFUNCTION("""COMPUTED_VALUE"""),"Guadalajara: Capital de las niñas y los niños")</f>
        <v>Guadalajara: Capital de las niñas y los niños</v>
      </c>
      <c r="E413" s="89" t="str">
        <f ca="1">IFERROR(__xludf.DUMMYFUNCTION("""COMPUTED_VALUE"""),"Custodia, tutela, adopciones y acogimiento familiar")</f>
        <v>Custodia, tutela, adopciones y acogimiento familiar</v>
      </c>
      <c r="F413" s="89" t="str">
        <f ca="1">IFERROR(__xludf.DUMMYFUNCTION("""COMPUTED_VALUE"""),"A4C3. NNA integrados en familias.")</f>
        <v>A4C3. NNA integrados en familias.</v>
      </c>
      <c r="G413" s="89" t="str">
        <f ca="1">IFERROR(__xludf.DUMMYFUNCTION("""COMPUTED_VALUE"""),"Porcentaje de NNA integrados en familias, en 2023")</f>
        <v>Porcentaje de NNA integrados en familias, en 2023</v>
      </c>
      <c r="H413" s="89" t="str">
        <f ca="1">IFERROR(__xludf.DUMMYFUNCTION("""COMPUTED_VALUE"""),"AH JULIO")</f>
        <v>AH JULIO</v>
      </c>
      <c r="I413" s="89" t="str">
        <f ca="1">IFERROR(__xludf.DUMMYFUNCTION("""COMPUTED_VALUE"""),"Julio")</f>
        <v>Julio</v>
      </c>
      <c r="J413" s="89" t="str">
        <f ca="1">IFERROR(__xludf.DUMMYFUNCTION("""COMPUTED_VALUE"""),"AH")</f>
        <v>AH</v>
      </c>
      <c r="K413" s="92">
        <f ca="1">IFERROR(__xludf.DUMMYFUNCTION("""COMPUTED_VALUE"""),0)</f>
        <v>0</v>
      </c>
      <c r="L413" s="89" t="str">
        <f ca="1">IFERROR(__xludf.DUMMYFUNCTION("""COMPUTED_VALUE"""),"TRIMESTRE 3")</f>
        <v>TRIMESTRE 3</v>
      </c>
      <c r="M413" s="89" t="str">
        <f ca="1">IFERROR(__xludf.DUMMYFUNCTION("""COMPUTED_VALUE"""),"ADOLESCENTES HOMBRES")</f>
        <v>ADOLESCENTES HOMBRES</v>
      </c>
    </row>
    <row r="414" spans="1:13">
      <c r="A414" s="89" t="str">
        <f ca="1">IFERROR(__xludf.DUMMYFUNCTION("""COMPUTED_VALUE"""),"4.1.3.4")</f>
        <v>4.1.3.4</v>
      </c>
      <c r="B414" s="89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414" s="89" t="str">
        <f ca="1">IFERROR(__xludf.DUMMYFUNCTION("""COMPUTED_VALUE"""),"4. Programas")</f>
        <v>4. Programas</v>
      </c>
      <c r="D414" s="89" t="str">
        <f ca="1">IFERROR(__xludf.DUMMYFUNCTION("""COMPUTED_VALUE"""),"Guadalajara: Capital de las niñas y los niños")</f>
        <v>Guadalajara: Capital de las niñas y los niños</v>
      </c>
      <c r="E414" s="89" t="str">
        <f ca="1">IFERROR(__xludf.DUMMYFUNCTION("""COMPUTED_VALUE"""),"Custodia, tutela, adopciones y acogimiento familiar")</f>
        <v>Custodia, tutela, adopciones y acogimiento familiar</v>
      </c>
      <c r="F414" s="89" t="str">
        <f ca="1">IFERROR(__xludf.DUMMYFUNCTION("""COMPUTED_VALUE"""),"A4C3. NNA integrados en familias.")</f>
        <v>A4C3. NNA integrados en familias.</v>
      </c>
      <c r="G414" s="89" t="str">
        <f ca="1">IFERROR(__xludf.DUMMYFUNCTION("""COMPUTED_VALUE"""),"Porcentaje de NNA integrados en familias, en 2023")</f>
        <v>Porcentaje de NNA integrados en familias, en 2023</v>
      </c>
      <c r="H414" s="89" t="str">
        <f ca="1">IFERROR(__xludf.DUMMYFUNCTION("""COMPUTED_VALUE"""),"MUJ Julio")</f>
        <v>MUJ Julio</v>
      </c>
      <c r="I414" s="89" t="str">
        <f ca="1">IFERROR(__xludf.DUMMYFUNCTION("""COMPUTED_VALUE"""),"Julio")</f>
        <v>Julio</v>
      </c>
      <c r="J414" s="89" t="str">
        <f ca="1">IFERROR(__xludf.DUMMYFUNCTION("""COMPUTED_VALUE"""),"MUJ")</f>
        <v>MUJ</v>
      </c>
      <c r="K414" s="92"/>
      <c r="L414" s="89" t="str">
        <f ca="1">IFERROR(__xludf.DUMMYFUNCTION("""COMPUTED_VALUE"""),"TRIMESTRE 3")</f>
        <v>TRIMESTRE 3</v>
      </c>
      <c r="M414" s="89" t="str">
        <f ca="1">IFERROR(__xludf.DUMMYFUNCTION("""COMPUTED_VALUE"""),"MUJERES ADULTAS")</f>
        <v>MUJERES ADULTAS</v>
      </c>
    </row>
    <row r="415" spans="1:13">
      <c r="A415" s="89" t="str">
        <f ca="1">IFERROR(__xludf.DUMMYFUNCTION("""COMPUTED_VALUE"""),"4.1.3.4")</f>
        <v>4.1.3.4</v>
      </c>
      <c r="B415" s="89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415" s="89" t="str">
        <f ca="1">IFERROR(__xludf.DUMMYFUNCTION("""COMPUTED_VALUE"""),"4. Programas")</f>
        <v>4. Programas</v>
      </c>
      <c r="D415" s="89" t="str">
        <f ca="1">IFERROR(__xludf.DUMMYFUNCTION("""COMPUTED_VALUE"""),"Guadalajara: Capital de las niñas y los niños")</f>
        <v>Guadalajara: Capital de las niñas y los niños</v>
      </c>
      <c r="E415" s="89" t="str">
        <f ca="1">IFERROR(__xludf.DUMMYFUNCTION("""COMPUTED_VALUE"""),"Custodia, tutela, adopciones y acogimiento familiar")</f>
        <v>Custodia, tutela, adopciones y acogimiento familiar</v>
      </c>
      <c r="F415" s="89" t="str">
        <f ca="1">IFERROR(__xludf.DUMMYFUNCTION("""COMPUTED_VALUE"""),"A4C3. NNA integrados en familias.")</f>
        <v>A4C3. NNA integrados en familias.</v>
      </c>
      <c r="G415" s="89" t="str">
        <f ca="1">IFERROR(__xludf.DUMMYFUNCTION("""COMPUTED_VALUE"""),"Porcentaje de NNA integrados en familias, en 2023")</f>
        <v>Porcentaje de NNA integrados en familias, en 2023</v>
      </c>
      <c r="H415" s="89" t="str">
        <f ca="1">IFERROR(__xludf.DUMMYFUNCTION("""COMPUTED_VALUE"""),"HOM Julio")</f>
        <v>HOM Julio</v>
      </c>
      <c r="I415" s="89" t="str">
        <f ca="1">IFERROR(__xludf.DUMMYFUNCTION("""COMPUTED_VALUE"""),"Julio")</f>
        <v>Julio</v>
      </c>
      <c r="J415" s="89" t="str">
        <f ca="1">IFERROR(__xludf.DUMMYFUNCTION("""COMPUTED_VALUE"""),"HOM")</f>
        <v>HOM</v>
      </c>
      <c r="K415" s="92"/>
      <c r="L415" s="89" t="str">
        <f ca="1">IFERROR(__xludf.DUMMYFUNCTION("""COMPUTED_VALUE"""),"TRIMESTRE 3")</f>
        <v>TRIMESTRE 3</v>
      </c>
      <c r="M415" s="89" t="str">
        <f ca="1">IFERROR(__xludf.DUMMYFUNCTION("""COMPUTED_VALUE"""),"HOMBRES ADULTOS")</f>
        <v>HOMBRES ADULTOS</v>
      </c>
    </row>
    <row r="416" spans="1:13">
      <c r="A416" s="89" t="str">
        <f ca="1">IFERROR(__xludf.DUMMYFUNCTION("""COMPUTED_VALUE"""),"4.1.3.4")</f>
        <v>4.1.3.4</v>
      </c>
      <c r="B416" s="89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416" s="89" t="str">
        <f ca="1">IFERROR(__xludf.DUMMYFUNCTION("""COMPUTED_VALUE"""),"4. Programas")</f>
        <v>4. Programas</v>
      </c>
      <c r="D416" s="89" t="str">
        <f ca="1">IFERROR(__xludf.DUMMYFUNCTION("""COMPUTED_VALUE"""),"Guadalajara: Capital de las niñas y los niños")</f>
        <v>Guadalajara: Capital de las niñas y los niños</v>
      </c>
      <c r="E416" s="89" t="str">
        <f ca="1">IFERROR(__xludf.DUMMYFUNCTION("""COMPUTED_VALUE"""),"Custodia, tutela, adopciones y acogimiento familiar")</f>
        <v>Custodia, tutela, adopciones y acogimiento familiar</v>
      </c>
      <c r="F416" s="89" t="str">
        <f ca="1">IFERROR(__xludf.DUMMYFUNCTION("""COMPUTED_VALUE"""),"A4C3. NNA integrados en familias.")</f>
        <v>A4C3. NNA integrados en familias.</v>
      </c>
      <c r="G416" s="89" t="str">
        <f ca="1">IFERROR(__xludf.DUMMYFUNCTION("""COMPUTED_VALUE"""),"Porcentaje de NNA integrados en familias, en 2023")</f>
        <v>Porcentaje de NNA integrados en familias, en 2023</v>
      </c>
      <c r="H416" s="89" t="str">
        <f ca="1">IFERROR(__xludf.DUMMYFUNCTION("""COMPUTED_VALUE"""),"AMM Julio")</f>
        <v>AMM Julio</v>
      </c>
      <c r="I416" s="89" t="str">
        <f ca="1">IFERROR(__xludf.DUMMYFUNCTION("""COMPUTED_VALUE"""),"Julio")</f>
        <v>Julio</v>
      </c>
      <c r="J416" s="89" t="str">
        <f ca="1">IFERROR(__xludf.DUMMYFUNCTION("""COMPUTED_VALUE"""),"AMM")</f>
        <v>AMM</v>
      </c>
      <c r="K416" s="92"/>
      <c r="L416" s="89" t="str">
        <f ca="1">IFERROR(__xludf.DUMMYFUNCTION("""COMPUTED_VALUE"""),"TRIMESTRE 3")</f>
        <v>TRIMESTRE 3</v>
      </c>
      <c r="M416" s="89" t="str">
        <f ca="1">IFERROR(__xludf.DUMMYFUNCTION("""COMPUTED_VALUE"""),"ADULTA MAYOR MUJER")</f>
        <v>ADULTA MAYOR MUJER</v>
      </c>
    </row>
    <row r="417" spans="1:13">
      <c r="A417" s="89" t="str">
        <f ca="1">IFERROR(__xludf.DUMMYFUNCTION("""COMPUTED_VALUE"""),"4.1.3.4")</f>
        <v>4.1.3.4</v>
      </c>
      <c r="B417" s="89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417" s="89" t="str">
        <f ca="1">IFERROR(__xludf.DUMMYFUNCTION("""COMPUTED_VALUE"""),"4. Programas")</f>
        <v>4. Programas</v>
      </c>
      <c r="D417" s="89" t="str">
        <f ca="1">IFERROR(__xludf.DUMMYFUNCTION("""COMPUTED_VALUE"""),"Guadalajara: Capital de las niñas y los niños")</f>
        <v>Guadalajara: Capital de las niñas y los niños</v>
      </c>
      <c r="E417" s="89" t="str">
        <f ca="1">IFERROR(__xludf.DUMMYFUNCTION("""COMPUTED_VALUE"""),"Custodia, tutela, adopciones y acogimiento familiar")</f>
        <v>Custodia, tutela, adopciones y acogimiento familiar</v>
      </c>
      <c r="F417" s="89" t="str">
        <f ca="1">IFERROR(__xludf.DUMMYFUNCTION("""COMPUTED_VALUE"""),"A4C3. NNA integrados en familias.")</f>
        <v>A4C3. NNA integrados en familias.</v>
      </c>
      <c r="G417" s="89" t="str">
        <f ca="1">IFERROR(__xludf.DUMMYFUNCTION("""COMPUTED_VALUE"""),"Porcentaje de NNA integrados en familias, en 2023")</f>
        <v>Porcentaje de NNA integrados en familias, en 2023</v>
      </c>
      <c r="H417" s="89" t="str">
        <f ca="1">IFERROR(__xludf.DUMMYFUNCTION("""COMPUTED_VALUE"""),"AMH Julio")</f>
        <v>AMH Julio</v>
      </c>
      <c r="I417" s="89" t="str">
        <f ca="1">IFERROR(__xludf.DUMMYFUNCTION("""COMPUTED_VALUE"""),"Julio")</f>
        <v>Julio</v>
      </c>
      <c r="J417" s="89" t="str">
        <f ca="1">IFERROR(__xludf.DUMMYFUNCTION("""COMPUTED_VALUE"""),"AMH")</f>
        <v>AMH</v>
      </c>
      <c r="K417" s="92"/>
      <c r="L417" s="89" t="str">
        <f ca="1">IFERROR(__xludf.DUMMYFUNCTION("""COMPUTED_VALUE"""),"TRIMESTRE 3")</f>
        <v>TRIMESTRE 3</v>
      </c>
      <c r="M417" s="89" t="str">
        <f ca="1">IFERROR(__xludf.DUMMYFUNCTION("""COMPUTED_VALUE"""),"ADULTO MAYOR HOMBRE")</f>
        <v>ADULTO MAYOR HOMBRE</v>
      </c>
    </row>
    <row r="418" spans="1:13">
      <c r="A418" s="89" t="str">
        <f ca="1">IFERROR(__xludf.DUMMYFUNCTION("""COMPUTED_VALUE"""),"4.1.3.0")</f>
        <v>4.1.3.0</v>
      </c>
      <c r="B418" s="89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418" s="89" t="str">
        <f ca="1">IFERROR(__xludf.DUMMYFUNCTION("""COMPUTED_VALUE"""),"4. Programas")</f>
        <v>4. Programas</v>
      </c>
      <c r="D418" s="89" t="str">
        <f ca="1">IFERROR(__xludf.DUMMYFUNCTION("""COMPUTED_VALUE"""),"Guadalajara: Capital de las niñas y los niños")</f>
        <v>Guadalajara: Capital de las niñas y los niños</v>
      </c>
      <c r="E418" s="89" t="str">
        <f ca="1">IFERROR(__xludf.DUMMYFUNCTION("""COMPUTED_VALUE"""),"Custodia, tutela, adopciones y acogimiento familiar")</f>
        <v>Custodia, tutela, adopciones y acogimiento familiar</v>
      </c>
      <c r="F418" s="89" t="str">
        <f ca="1">IFERROR(__xludf.DUMMYFUNCTION("""COMPUTED_VALUE"""),"C3. NNA del municipio de Guadalajara que recibieron servicios para la protección y restitución de sus derechos")</f>
        <v>C3. NNA del municipio de Guadalajara que recibieron servicios para la protección y restitución de sus derechos</v>
      </c>
      <c r="G418" s="89" t="str">
        <f ca="1">IFERROR(__xludf.DUMMYFUNCTION("""COMPUTED_VALUE"""),"Porcentaje de NNA con al menos un derecho protegido y/o restituido por la DIPNNA, en 2023")</f>
        <v>Porcentaje de NNA con al menos un derecho protegido y/o restituido por la DIPNNA, en 2023</v>
      </c>
      <c r="H418" s="89" t="str">
        <f ca="1">IFERROR(__xludf.DUMMYFUNCTION("""COMPUTED_VALUE"""),"NAS Agosto")</f>
        <v>NAS Agosto</v>
      </c>
      <c r="I418" s="89" t="str">
        <f ca="1">IFERROR(__xludf.DUMMYFUNCTION("""COMPUTED_VALUE"""),"Agosto")</f>
        <v>Agosto</v>
      </c>
      <c r="J418" s="89" t="str">
        <f ca="1">IFERROR(__xludf.DUMMYFUNCTION("""COMPUTED_VALUE"""),"NAS")</f>
        <v>NAS</v>
      </c>
      <c r="K418" s="92">
        <f ca="1">IFERROR(__xludf.DUMMYFUNCTION("""COMPUTED_VALUE"""),116)</f>
        <v>116</v>
      </c>
      <c r="L418" s="89" t="str">
        <f ca="1">IFERROR(__xludf.DUMMYFUNCTION("""COMPUTED_VALUE"""),"TRIMESTRE 3")</f>
        <v>TRIMESTRE 3</v>
      </c>
      <c r="M418" s="89" t="str">
        <f ca="1">IFERROR(__xludf.DUMMYFUNCTION("""COMPUTED_VALUE"""),"NIÑAS")</f>
        <v>NIÑAS</v>
      </c>
    </row>
    <row r="419" spans="1:13">
      <c r="A419" s="89" t="str">
        <f ca="1">IFERROR(__xludf.DUMMYFUNCTION("""COMPUTED_VALUE"""),"4.1.3.0")</f>
        <v>4.1.3.0</v>
      </c>
      <c r="B419" s="89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419" s="89" t="str">
        <f ca="1">IFERROR(__xludf.DUMMYFUNCTION("""COMPUTED_VALUE"""),"4. Programas")</f>
        <v>4. Programas</v>
      </c>
      <c r="D419" s="89" t="str">
        <f ca="1">IFERROR(__xludf.DUMMYFUNCTION("""COMPUTED_VALUE"""),"Guadalajara: Capital de las niñas y los niños")</f>
        <v>Guadalajara: Capital de las niñas y los niños</v>
      </c>
      <c r="E419" s="89" t="str">
        <f ca="1">IFERROR(__xludf.DUMMYFUNCTION("""COMPUTED_VALUE"""),"Custodia, tutela, adopciones y acogimiento familiar")</f>
        <v>Custodia, tutela, adopciones y acogimiento familiar</v>
      </c>
      <c r="F419" s="89" t="str">
        <f ca="1">IFERROR(__xludf.DUMMYFUNCTION("""COMPUTED_VALUE"""),"C3. NNA del municipio de Guadalajara que recibieron servicios para la protección y restitución de sus derechos")</f>
        <v>C3. NNA del municipio de Guadalajara que recibieron servicios para la protección y restitución de sus derechos</v>
      </c>
      <c r="G419" s="89" t="str">
        <f ca="1">IFERROR(__xludf.DUMMYFUNCTION("""COMPUTED_VALUE"""),"Porcentaje de NNA con al menos un derecho protegido y/o restituido por la DIPNNA, en 2023")</f>
        <v>Porcentaje de NNA con al menos un derecho protegido y/o restituido por la DIPNNA, en 2023</v>
      </c>
      <c r="H419" s="89" t="str">
        <f ca="1">IFERROR(__xludf.DUMMYFUNCTION("""COMPUTED_VALUE"""),"NOS Agosto")</f>
        <v>NOS Agosto</v>
      </c>
      <c r="I419" s="89" t="str">
        <f ca="1">IFERROR(__xludf.DUMMYFUNCTION("""COMPUTED_VALUE"""),"Agosto")</f>
        <v>Agosto</v>
      </c>
      <c r="J419" s="89" t="str">
        <f ca="1">IFERROR(__xludf.DUMMYFUNCTION("""COMPUTED_VALUE"""),"NOS")</f>
        <v>NOS</v>
      </c>
      <c r="K419" s="92">
        <f ca="1">IFERROR(__xludf.DUMMYFUNCTION("""COMPUTED_VALUE"""),86)</f>
        <v>86</v>
      </c>
      <c r="L419" s="89" t="str">
        <f ca="1">IFERROR(__xludf.DUMMYFUNCTION("""COMPUTED_VALUE"""),"TRIMESTRE 3")</f>
        <v>TRIMESTRE 3</v>
      </c>
      <c r="M419" s="89" t="str">
        <f ca="1">IFERROR(__xludf.DUMMYFUNCTION("""COMPUTED_VALUE"""),"NIÑOS")</f>
        <v>NIÑOS</v>
      </c>
    </row>
    <row r="420" spans="1:13">
      <c r="A420" s="89" t="str">
        <f ca="1">IFERROR(__xludf.DUMMYFUNCTION("""COMPUTED_VALUE"""),"4.1.3.0")</f>
        <v>4.1.3.0</v>
      </c>
      <c r="B420" s="89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420" s="89" t="str">
        <f ca="1">IFERROR(__xludf.DUMMYFUNCTION("""COMPUTED_VALUE"""),"4. Programas")</f>
        <v>4. Programas</v>
      </c>
      <c r="D420" s="89" t="str">
        <f ca="1">IFERROR(__xludf.DUMMYFUNCTION("""COMPUTED_VALUE"""),"Guadalajara: Capital de las niñas y los niños")</f>
        <v>Guadalajara: Capital de las niñas y los niños</v>
      </c>
      <c r="E420" s="89" t="str">
        <f ca="1">IFERROR(__xludf.DUMMYFUNCTION("""COMPUTED_VALUE"""),"Custodia, tutela, adopciones y acogimiento familiar")</f>
        <v>Custodia, tutela, adopciones y acogimiento familiar</v>
      </c>
      <c r="F420" s="89" t="str">
        <f ca="1">IFERROR(__xludf.DUMMYFUNCTION("""COMPUTED_VALUE"""),"C3. NNA del municipio de Guadalajara que recibieron servicios para la protección y restitución de sus derechos")</f>
        <v>C3. NNA del municipio de Guadalajara que recibieron servicios para la protección y restitución de sus derechos</v>
      </c>
      <c r="G420" s="89" t="str">
        <f ca="1">IFERROR(__xludf.DUMMYFUNCTION("""COMPUTED_VALUE"""),"Porcentaje de NNA con al menos un derecho protegido y/o restituido por la DIPNNA, en 2023")</f>
        <v>Porcentaje de NNA con al menos un derecho protegido y/o restituido por la DIPNNA, en 2023</v>
      </c>
      <c r="H420" s="89" t="str">
        <f ca="1">IFERROR(__xludf.DUMMYFUNCTION("""COMPUTED_VALUE"""),"AM AGOSTO")</f>
        <v>AM AGOSTO</v>
      </c>
      <c r="I420" s="89" t="str">
        <f ca="1">IFERROR(__xludf.DUMMYFUNCTION("""COMPUTED_VALUE"""),"Agosto")</f>
        <v>Agosto</v>
      </c>
      <c r="J420" s="89" t="str">
        <f ca="1">IFERROR(__xludf.DUMMYFUNCTION("""COMPUTED_VALUE"""),"AM")</f>
        <v>AM</v>
      </c>
      <c r="K420" s="92">
        <f ca="1">IFERROR(__xludf.DUMMYFUNCTION("""COMPUTED_VALUE"""),44)</f>
        <v>44</v>
      </c>
      <c r="L420" s="89" t="str">
        <f ca="1">IFERROR(__xludf.DUMMYFUNCTION("""COMPUTED_VALUE"""),"TRIMESTRE 3")</f>
        <v>TRIMESTRE 3</v>
      </c>
      <c r="M420" s="89" t="str">
        <f ca="1">IFERROR(__xludf.DUMMYFUNCTION("""COMPUTED_VALUE"""),"ADOLESCENTES MUJERES")</f>
        <v>ADOLESCENTES MUJERES</v>
      </c>
    </row>
    <row r="421" spans="1:13">
      <c r="A421" s="89" t="str">
        <f ca="1">IFERROR(__xludf.DUMMYFUNCTION("""COMPUTED_VALUE"""),"4.1.3.0")</f>
        <v>4.1.3.0</v>
      </c>
      <c r="B421" s="89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421" s="89" t="str">
        <f ca="1">IFERROR(__xludf.DUMMYFUNCTION("""COMPUTED_VALUE"""),"4. Programas")</f>
        <v>4. Programas</v>
      </c>
      <c r="D421" s="89" t="str">
        <f ca="1">IFERROR(__xludf.DUMMYFUNCTION("""COMPUTED_VALUE"""),"Guadalajara: Capital de las niñas y los niños")</f>
        <v>Guadalajara: Capital de las niñas y los niños</v>
      </c>
      <c r="E421" s="89" t="str">
        <f ca="1">IFERROR(__xludf.DUMMYFUNCTION("""COMPUTED_VALUE"""),"Custodia, tutela, adopciones y acogimiento familiar")</f>
        <v>Custodia, tutela, adopciones y acogimiento familiar</v>
      </c>
      <c r="F421" s="89" t="str">
        <f ca="1">IFERROR(__xludf.DUMMYFUNCTION("""COMPUTED_VALUE"""),"C3. NNA del municipio de Guadalajara que recibieron servicios para la protección y restitución de sus derechos")</f>
        <v>C3. NNA del municipio de Guadalajara que recibieron servicios para la protección y restitución de sus derechos</v>
      </c>
      <c r="G421" s="89" t="str">
        <f ca="1">IFERROR(__xludf.DUMMYFUNCTION("""COMPUTED_VALUE"""),"Porcentaje de NNA con al menos un derecho protegido y/o restituido por la DIPNNA, en 2023")</f>
        <v>Porcentaje de NNA con al menos un derecho protegido y/o restituido por la DIPNNA, en 2023</v>
      </c>
      <c r="H421" s="89" t="str">
        <f ca="1">IFERROR(__xludf.DUMMYFUNCTION("""COMPUTED_VALUE"""),"AH AGOSTO")</f>
        <v>AH AGOSTO</v>
      </c>
      <c r="I421" s="89" t="str">
        <f ca="1">IFERROR(__xludf.DUMMYFUNCTION("""COMPUTED_VALUE"""),"Agosto")</f>
        <v>Agosto</v>
      </c>
      <c r="J421" s="89" t="str">
        <f ca="1">IFERROR(__xludf.DUMMYFUNCTION("""COMPUTED_VALUE"""),"AH")</f>
        <v>AH</v>
      </c>
      <c r="K421" s="92">
        <f ca="1">IFERROR(__xludf.DUMMYFUNCTION("""COMPUTED_VALUE"""),44)</f>
        <v>44</v>
      </c>
      <c r="L421" s="89" t="str">
        <f ca="1">IFERROR(__xludf.DUMMYFUNCTION("""COMPUTED_VALUE"""),"TRIMESTRE 3")</f>
        <v>TRIMESTRE 3</v>
      </c>
      <c r="M421" s="89" t="str">
        <f ca="1">IFERROR(__xludf.DUMMYFUNCTION("""COMPUTED_VALUE"""),"ADOLESCENTES HOMBRES")</f>
        <v>ADOLESCENTES HOMBRES</v>
      </c>
    </row>
    <row r="422" spans="1:13">
      <c r="A422" s="89" t="str">
        <f ca="1">IFERROR(__xludf.DUMMYFUNCTION("""COMPUTED_VALUE"""),"4.1.3.0")</f>
        <v>4.1.3.0</v>
      </c>
      <c r="B422" s="89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422" s="89" t="str">
        <f ca="1">IFERROR(__xludf.DUMMYFUNCTION("""COMPUTED_VALUE"""),"4. Programas")</f>
        <v>4. Programas</v>
      </c>
      <c r="D422" s="89" t="str">
        <f ca="1">IFERROR(__xludf.DUMMYFUNCTION("""COMPUTED_VALUE"""),"Guadalajara: Capital de las niñas y los niños")</f>
        <v>Guadalajara: Capital de las niñas y los niños</v>
      </c>
      <c r="E422" s="89" t="str">
        <f ca="1">IFERROR(__xludf.DUMMYFUNCTION("""COMPUTED_VALUE"""),"Custodia, tutela, adopciones y acogimiento familiar")</f>
        <v>Custodia, tutela, adopciones y acogimiento familiar</v>
      </c>
      <c r="F422" s="89" t="str">
        <f ca="1">IFERROR(__xludf.DUMMYFUNCTION("""COMPUTED_VALUE"""),"C3. NNA del municipio de Guadalajara que recibieron servicios para la protección y restitución de sus derechos")</f>
        <v>C3. NNA del municipio de Guadalajara que recibieron servicios para la protección y restitución de sus derechos</v>
      </c>
      <c r="G422" s="89" t="str">
        <f ca="1">IFERROR(__xludf.DUMMYFUNCTION("""COMPUTED_VALUE"""),"Porcentaje de NNA con al menos un derecho protegido y/o restituido por la DIPNNA, en 2023")</f>
        <v>Porcentaje de NNA con al menos un derecho protegido y/o restituido por la DIPNNA, en 2023</v>
      </c>
      <c r="H422" s="89" t="str">
        <f ca="1">IFERROR(__xludf.DUMMYFUNCTION("""COMPUTED_VALUE"""),"MUJ Agosto")</f>
        <v>MUJ Agosto</v>
      </c>
      <c r="I422" s="89" t="str">
        <f ca="1">IFERROR(__xludf.DUMMYFUNCTION("""COMPUTED_VALUE"""),"Agosto")</f>
        <v>Agosto</v>
      </c>
      <c r="J422" s="89" t="str">
        <f ca="1">IFERROR(__xludf.DUMMYFUNCTION("""COMPUTED_VALUE"""),"MUJ")</f>
        <v>MUJ</v>
      </c>
      <c r="K422" s="92"/>
      <c r="L422" s="89" t="str">
        <f ca="1">IFERROR(__xludf.DUMMYFUNCTION("""COMPUTED_VALUE"""),"TRIMESTRE 3")</f>
        <v>TRIMESTRE 3</v>
      </c>
      <c r="M422" s="89" t="str">
        <f ca="1">IFERROR(__xludf.DUMMYFUNCTION("""COMPUTED_VALUE"""),"MUJERES ADULTAS")</f>
        <v>MUJERES ADULTAS</v>
      </c>
    </row>
    <row r="423" spans="1:13">
      <c r="A423" s="89" t="str">
        <f ca="1">IFERROR(__xludf.DUMMYFUNCTION("""COMPUTED_VALUE"""),"4.1.3.0")</f>
        <v>4.1.3.0</v>
      </c>
      <c r="B423" s="89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423" s="89" t="str">
        <f ca="1">IFERROR(__xludf.DUMMYFUNCTION("""COMPUTED_VALUE"""),"4. Programas")</f>
        <v>4. Programas</v>
      </c>
      <c r="D423" s="89" t="str">
        <f ca="1">IFERROR(__xludf.DUMMYFUNCTION("""COMPUTED_VALUE"""),"Guadalajara: Capital de las niñas y los niños")</f>
        <v>Guadalajara: Capital de las niñas y los niños</v>
      </c>
      <c r="E423" s="89" t="str">
        <f ca="1">IFERROR(__xludf.DUMMYFUNCTION("""COMPUTED_VALUE"""),"Custodia, tutela, adopciones y acogimiento familiar")</f>
        <v>Custodia, tutela, adopciones y acogimiento familiar</v>
      </c>
      <c r="F423" s="89" t="str">
        <f ca="1">IFERROR(__xludf.DUMMYFUNCTION("""COMPUTED_VALUE"""),"C3. NNA del municipio de Guadalajara que recibieron servicios para la protección y restitución de sus derechos")</f>
        <v>C3. NNA del municipio de Guadalajara que recibieron servicios para la protección y restitución de sus derechos</v>
      </c>
      <c r="G423" s="89" t="str">
        <f ca="1">IFERROR(__xludf.DUMMYFUNCTION("""COMPUTED_VALUE"""),"Porcentaje de NNA con al menos un derecho protegido y/o restituido por la DIPNNA, en 2023")</f>
        <v>Porcentaje de NNA con al menos un derecho protegido y/o restituido por la DIPNNA, en 2023</v>
      </c>
      <c r="H423" s="89" t="str">
        <f ca="1">IFERROR(__xludf.DUMMYFUNCTION("""COMPUTED_VALUE"""),"HOM Agosto")</f>
        <v>HOM Agosto</v>
      </c>
      <c r="I423" s="89" t="str">
        <f ca="1">IFERROR(__xludf.DUMMYFUNCTION("""COMPUTED_VALUE"""),"Agosto")</f>
        <v>Agosto</v>
      </c>
      <c r="J423" s="89" t="str">
        <f ca="1">IFERROR(__xludf.DUMMYFUNCTION("""COMPUTED_VALUE"""),"HOM")</f>
        <v>HOM</v>
      </c>
      <c r="K423" s="92"/>
      <c r="L423" s="89" t="str">
        <f ca="1">IFERROR(__xludf.DUMMYFUNCTION("""COMPUTED_VALUE"""),"TRIMESTRE 3")</f>
        <v>TRIMESTRE 3</v>
      </c>
      <c r="M423" s="89" t="str">
        <f ca="1">IFERROR(__xludf.DUMMYFUNCTION("""COMPUTED_VALUE"""),"HOMBRES ADULTOS")</f>
        <v>HOMBRES ADULTOS</v>
      </c>
    </row>
    <row r="424" spans="1:13">
      <c r="A424" s="89" t="str">
        <f ca="1">IFERROR(__xludf.DUMMYFUNCTION("""COMPUTED_VALUE"""),"4.1.3.0")</f>
        <v>4.1.3.0</v>
      </c>
      <c r="B424" s="89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424" s="89" t="str">
        <f ca="1">IFERROR(__xludf.DUMMYFUNCTION("""COMPUTED_VALUE"""),"4. Programas")</f>
        <v>4. Programas</v>
      </c>
      <c r="D424" s="89" t="str">
        <f ca="1">IFERROR(__xludf.DUMMYFUNCTION("""COMPUTED_VALUE"""),"Guadalajara: Capital de las niñas y los niños")</f>
        <v>Guadalajara: Capital de las niñas y los niños</v>
      </c>
      <c r="E424" s="89" t="str">
        <f ca="1">IFERROR(__xludf.DUMMYFUNCTION("""COMPUTED_VALUE"""),"Custodia, tutela, adopciones y acogimiento familiar")</f>
        <v>Custodia, tutela, adopciones y acogimiento familiar</v>
      </c>
      <c r="F424" s="89" t="str">
        <f ca="1">IFERROR(__xludf.DUMMYFUNCTION("""COMPUTED_VALUE"""),"C3. NNA del municipio de Guadalajara que recibieron servicios para la protección y restitución de sus derechos")</f>
        <v>C3. NNA del municipio de Guadalajara que recibieron servicios para la protección y restitución de sus derechos</v>
      </c>
      <c r="G424" s="89" t="str">
        <f ca="1">IFERROR(__xludf.DUMMYFUNCTION("""COMPUTED_VALUE"""),"Porcentaje de NNA con al menos un derecho protegido y/o restituido por la DIPNNA, en 2023")</f>
        <v>Porcentaje de NNA con al menos un derecho protegido y/o restituido por la DIPNNA, en 2023</v>
      </c>
      <c r="H424" s="89" t="str">
        <f ca="1">IFERROR(__xludf.DUMMYFUNCTION("""COMPUTED_VALUE"""),"AMM Agosto")</f>
        <v>AMM Agosto</v>
      </c>
      <c r="I424" s="89" t="str">
        <f ca="1">IFERROR(__xludf.DUMMYFUNCTION("""COMPUTED_VALUE"""),"Agosto")</f>
        <v>Agosto</v>
      </c>
      <c r="J424" s="89" t="str">
        <f ca="1">IFERROR(__xludf.DUMMYFUNCTION("""COMPUTED_VALUE"""),"AMM")</f>
        <v>AMM</v>
      </c>
      <c r="K424" s="92"/>
      <c r="L424" s="89" t="str">
        <f ca="1">IFERROR(__xludf.DUMMYFUNCTION("""COMPUTED_VALUE"""),"TRIMESTRE 3")</f>
        <v>TRIMESTRE 3</v>
      </c>
      <c r="M424" s="89" t="str">
        <f ca="1">IFERROR(__xludf.DUMMYFUNCTION("""COMPUTED_VALUE"""),"ADULTA MAYOR MUJER")</f>
        <v>ADULTA MAYOR MUJER</v>
      </c>
    </row>
    <row r="425" spans="1:13">
      <c r="A425" s="89" t="str">
        <f ca="1">IFERROR(__xludf.DUMMYFUNCTION("""COMPUTED_VALUE"""),"4.1.3.0")</f>
        <v>4.1.3.0</v>
      </c>
      <c r="B425" s="89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425" s="89" t="str">
        <f ca="1">IFERROR(__xludf.DUMMYFUNCTION("""COMPUTED_VALUE"""),"4. Programas")</f>
        <v>4. Programas</v>
      </c>
      <c r="D425" s="89" t="str">
        <f ca="1">IFERROR(__xludf.DUMMYFUNCTION("""COMPUTED_VALUE"""),"Guadalajara: Capital de las niñas y los niños")</f>
        <v>Guadalajara: Capital de las niñas y los niños</v>
      </c>
      <c r="E425" s="89" t="str">
        <f ca="1">IFERROR(__xludf.DUMMYFUNCTION("""COMPUTED_VALUE"""),"Custodia, tutela, adopciones y acogimiento familiar")</f>
        <v>Custodia, tutela, adopciones y acogimiento familiar</v>
      </c>
      <c r="F425" s="89" t="str">
        <f ca="1">IFERROR(__xludf.DUMMYFUNCTION("""COMPUTED_VALUE"""),"C3. NNA del municipio de Guadalajara que recibieron servicios para la protección y restitución de sus derechos")</f>
        <v>C3. NNA del municipio de Guadalajara que recibieron servicios para la protección y restitución de sus derechos</v>
      </c>
      <c r="G425" s="89" t="str">
        <f ca="1">IFERROR(__xludf.DUMMYFUNCTION("""COMPUTED_VALUE"""),"Porcentaje de NNA con al menos un derecho protegido y/o restituido por la DIPNNA, en 2023")</f>
        <v>Porcentaje de NNA con al menos un derecho protegido y/o restituido por la DIPNNA, en 2023</v>
      </c>
      <c r="H425" s="89" t="str">
        <f ca="1">IFERROR(__xludf.DUMMYFUNCTION("""COMPUTED_VALUE"""),"AMH Agosto")</f>
        <v>AMH Agosto</v>
      </c>
      <c r="I425" s="89" t="str">
        <f ca="1">IFERROR(__xludf.DUMMYFUNCTION("""COMPUTED_VALUE"""),"Agosto")</f>
        <v>Agosto</v>
      </c>
      <c r="J425" s="89" t="str">
        <f ca="1">IFERROR(__xludf.DUMMYFUNCTION("""COMPUTED_VALUE"""),"AMH")</f>
        <v>AMH</v>
      </c>
      <c r="K425" s="92"/>
      <c r="L425" s="89" t="str">
        <f ca="1">IFERROR(__xludf.DUMMYFUNCTION("""COMPUTED_VALUE"""),"TRIMESTRE 3")</f>
        <v>TRIMESTRE 3</v>
      </c>
      <c r="M425" s="89" t="str">
        <f ca="1">IFERROR(__xludf.DUMMYFUNCTION("""COMPUTED_VALUE"""),"ADULTO MAYOR HOMBRE")</f>
        <v>ADULTO MAYOR HOMBRE</v>
      </c>
    </row>
    <row r="426" spans="1:13">
      <c r="A426" s="89" t="str">
        <f ca="1">IFERROR(__xludf.DUMMYFUNCTION("""COMPUTED_VALUE"""),"4.1.3.1")</f>
        <v>4.1.3.1</v>
      </c>
      <c r="B426" s="89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426" s="89" t="str">
        <f ca="1">IFERROR(__xludf.DUMMYFUNCTION("""COMPUTED_VALUE"""),"4. Programas")</f>
        <v>4. Programas</v>
      </c>
      <c r="D426" s="89" t="str">
        <f ca="1">IFERROR(__xludf.DUMMYFUNCTION("""COMPUTED_VALUE"""),"Guadalajara: Capital de las niñas y los niños")</f>
        <v>Guadalajara: Capital de las niñas y los niños</v>
      </c>
      <c r="E426" s="89" t="str">
        <f ca="1">IFERROR(__xludf.DUMMYFUNCTION("""COMPUTED_VALUE"""),"Custodia, tutela, adopciones y acogimiento familiar")</f>
        <v>Custodia, tutela, adopciones y acogimiento familiar</v>
      </c>
      <c r="F426" s="89" t="str">
        <f ca="1">IFERROR(__xludf.DUMMYFUNCTION("""COMPUTED_VALUE"""),"A1C3, Nuevas medidas de protección dictadas atendidas")</f>
        <v>A1C3, Nuevas medidas de protección dictadas atendidas</v>
      </c>
      <c r="G426" s="89" t="str">
        <f ca="1">IFERROR(__xludf.DUMMYFUNCTION("""COMPUTED_VALUE"""),"Porcentaje de NNA a los que se les dio seguimientos en las nuevas medidas de protección dictadas en 2023")</f>
        <v>Porcentaje de NNA a los que se les dio seguimientos en las nuevas medidas de protección dictadas en 2023</v>
      </c>
      <c r="H426" s="89" t="str">
        <f ca="1">IFERROR(__xludf.DUMMYFUNCTION("""COMPUTED_VALUE"""),"NAS Agosto")</f>
        <v>NAS Agosto</v>
      </c>
      <c r="I426" s="89" t="str">
        <f ca="1">IFERROR(__xludf.DUMMYFUNCTION("""COMPUTED_VALUE"""),"Agosto")</f>
        <v>Agosto</v>
      </c>
      <c r="J426" s="89" t="str">
        <f ca="1">IFERROR(__xludf.DUMMYFUNCTION("""COMPUTED_VALUE"""),"NAS")</f>
        <v>NAS</v>
      </c>
      <c r="K426" s="92">
        <f ca="1">IFERROR(__xludf.DUMMYFUNCTION("""COMPUTED_VALUE"""),8)</f>
        <v>8</v>
      </c>
      <c r="L426" s="89" t="str">
        <f ca="1">IFERROR(__xludf.DUMMYFUNCTION("""COMPUTED_VALUE"""),"TRIMESTRE 3")</f>
        <v>TRIMESTRE 3</v>
      </c>
      <c r="M426" s="89" t="str">
        <f ca="1">IFERROR(__xludf.DUMMYFUNCTION("""COMPUTED_VALUE"""),"NIÑAS")</f>
        <v>NIÑAS</v>
      </c>
    </row>
    <row r="427" spans="1:13">
      <c r="A427" s="89" t="str">
        <f ca="1">IFERROR(__xludf.DUMMYFUNCTION("""COMPUTED_VALUE"""),"4.1.3.1")</f>
        <v>4.1.3.1</v>
      </c>
      <c r="B427" s="89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427" s="89" t="str">
        <f ca="1">IFERROR(__xludf.DUMMYFUNCTION("""COMPUTED_VALUE"""),"4. Programas")</f>
        <v>4. Programas</v>
      </c>
      <c r="D427" s="89" t="str">
        <f ca="1">IFERROR(__xludf.DUMMYFUNCTION("""COMPUTED_VALUE"""),"Guadalajara: Capital de las niñas y los niños")</f>
        <v>Guadalajara: Capital de las niñas y los niños</v>
      </c>
      <c r="E427" s="89" t="str">
        <f ca="1">IFERROR(__xludf.DUMMYFUNCTION("""COMPUTED_VALUE"""),"Custodia, tutela, adopciones y acogimiento familiar")</f>
        <v>Custodia, tutela, adopciones y acogimiento familiar</v>
      </c>
      <c r="F427" s="89" t="str">
        <f ca="1">IFERROR(__xludf.DUMMYFUNCTION("""COMPUTED_VALUE"""),"A1C3, Nuevas medidas de protección dictadas atendidas")</f>
        <v>A1C3, Nuevas medidas de protección dictadas atendidas</v>
      </c>
      <c r="G427" s="89" t="str">
        <f ca="1">IFERROR(__xludf.DUMMYFUNCTION("""COMPUTED_VALUE"""),"Porcentaje de NNA a los que se les dio seguimientos en las nuevas medidas de protección dictadas en 2023")</f>
        <v>Porcentaje de NNA a los que se les dio seguimientos en las nuevas medidas de protección dictadas en 2023</v>
      </c>
      <c r="H427" s="89" t="str">
        <f ca="1">IFERROR(__xludf.DUMMYFUNCTION("""COMPUTED_VALUE"""),"NOS Agosto")</f>
        <v>NOS Agosto</v>
      </c>
      <c r="I427" s="89" t="str">
        <f ca="1">IFERROR(__xludf.DUMMYFUNCTION("""COMPUTED_VALUE"""),"Agosto")</f>
        <v>Agosto</v>
      </c>
      <c r="J427" s="89" t="str">
        <f ca="1">IFERROR(__xludf.DUMMYFUNCTION("""COMPUTED_VALUE"""),"NOS")</f>
        <v>NOS</v>
      </c>
      <c r="K427" s="92">
        <f ca="1">IFERROR(__xludf.DUMMYFUNCTION("""COMPUTED_VALUE"""),7)</f>
        <v>7</v>
      </c>
      <c r="L427" s="89" t="str">
        <f ca="1">IFERROR(__xludf.DUMMYFUNCTION("""COMPUTED_VALUE"""),"TRIMESTRE 3")</f>
        <v>TRIMESTRE 3</v>
      </c>
      <c r="M427" s="89" t="str">
        <f ca="1">IFERROR(__xludf.DUMMYFUNCTION("""COMPUTED_VALUE"""),"NIÑOS")</f>
        <v>NIÑOS</v>
      </c>
    </row>
    <row r="428" spans="1:13">
      <c r="A428" s="89" t="str">
        <f ca="1">IFERROR(__xludf.DUMMYFUNCTION("""COMPUTED_VALUE"""),"4.1.3.1")</f>
        <v>4.1.3.1</v>
      </c>
      <c r="B428" s="89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428" s="89" t="str">
        <f ca="1">IFERROR(__xludf.DUMMYFUNCTION("""COMPUTED_VALUE"""),"4. Programas")</f>
        <v>4. Programas</v>
      </c>
      <c r="D428" s="89" t="str">
        <f ca="1">IFERROR(__xludf.DUMMYFUNCTION("""COMPUTED_VALUE"""),"Guadalajara: Capital de las niñas y los niños")</f>
        <v>Guadalajara: Capital de las niñas y los niños</v>
      </c>
      <c r="E428" s="89" t="str">
        <f ca="1">IFERROR(__xludf.DUMMYFUNCTION("""COMPUTED_VALUE"""),"Custodia, tutela, adopciones y acogimiento familiar")</f>
        <v>Custodia, tutela, adopciones y acogimiento familiar</v>
      </c>
      <c r="F428" s="89" t="str">
        <f ca="1">IFERROR(__xludf.DUMMYFUNCTION("""COMPUTED_VALUE"""),"A1C3, Nuevas medidas de protección dictadas atendidas")</f>
        <v>A1C3, Nuevas medidas de protección dictadas atendidas</v>
      </c>
      <c r="G428" s="89" t="str">
        <f ca="1">IFERROR(__xludf.DUMMYFUNCTION("""COMPUTED_VALUE"""),"Porcentaje de NNA a los que se les dio seguimientos en las nuevas medidas de protección dictadas en 2023")</f>
        <v>Porcentaje de NNA a los que se les dio seguimientos en las nuevas medidas de protección dictadas en 2023</v>
      </c>
      <c r="H428" s="89" t="str">
        <f ca="1">IFERROR(__xludf.DUMMYFUNCTION("""COMPUTED_VALUE"""),"AM AGOSTO")</f>
        <v>AM AGOSTO</v>
      </c>
      <c r="I428" s="89" t="str">
        <f ca="1">IFERROR(__xludf.DUMMYFUNCTION("""COMPUTED_VALUE"""),"Agosto")</f>
        <v>Agosto</v>
      </c>
      <c r="J428" s="89" t="str">
        <f ca="1">IFERROR(__xludf.DUMMYFUNCTION("""COMPUTED_VALUE"""),"AM")</f>
        <v>AM</v>
      </c>
      <c r="K428" s="92">
        <f ca="1">IFERROR(__xludf.DUMMYFUNCTION("""COMPUTED_VALUE"""),4)</f>
        <v>4</v>
      </c>
      <c r="L428" s="89" t="str">
        <f ca="1">IFERROR(__xludf.DUMMYFUNCTION("""COMPUTED_VALUE"""),"TRIMESTRE 3")</f>
        <v>TRIMESTRE 3</v>
      </c>
      <c r="M428" s="89" t="str">
        <f ca="1">IFERROR(__xludf.DUMMYFUNCTION("""COMPUTED_VALUE"""),"ADOLESCENTES MUJERES")</f>
        <v>ADOLESCENTES MUJERES</v>
      </c>
    </row>
    <row r="429" spans="1:13">
      <c r="A429" s="89" t="str">
        <f ca="1">IFERROR(__xludf.DUMMYFUNCTION("""COMPUTED_VALUE"""),"4.1.3.1")</f>
        <v>4.1.3.1</v>
      </c>
      <c r="B429" s="89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429" s="89" t="str">
        <f ca="1">IFERROR(__xludf.DUMMYFUNCTION("""COMPUTED_VALUE"""),"4. Programas")</f>
        <v>4. Programas</v>
      </c>
      <c r="D429" s="89" t="str">
        <f ca="1">IFERROR(__xludf.DUMMYFUNCTION("""COMPUTED_VALUE"""),"Guadalajara: Capital de las niñas y los niños")</f>
        <v>Guadalajara: Capital de las niñas y los niños</v>
      </c>
      <c r="E429" s="89" t="str">
        <f ca="1">IFERROR(__xludf.DUMMYFUNCTION("""COMPUTED_VALUE"""),"Custodia, tutela, adopciones y acogimiento familiar")</f>
        <v>Custodia, tutela, adopciones y acogimiento familiar</v>
      </c>
      <c r="F429" s="89" t="str">
        <f ca="1">IFERROR(__xludf.DUMMYFUNCTION("""COMPUTED_VALUE"""),"A1C3, Nuevas medidas de protección dictadas atendidas")</f>
        <v>A1C3, Nuevas medidas de protección dictadas atendidas</v>
      </c>
      <c r="G429" s="89" t="str">
        <f ca="1">IFERROR(__xludf.DUMMYFUNCTION("""COMPUTED_VALUE"""),"Porcentaje de NNA a los que se les dio seguimientos en las nuevas medidas de protección dictadas en 2023")</f>
        <v>Porcentaje de NNA a los que se les dio seguimientos en las nuevas medidas de protección dictadas en 2023</v>
      </c>
      <c r="H429" s="89" t="str">
        <f ca="1">IFERROR(__xludf.DUMMYFUNCTION("""COMPUTED_VALUE"""),"AH AGOSTO")</f>
        <v>AH AGOSTO</v>
      </c>
      <c r="I429" s="89" t="str">
        <f ca="1">IFERROR(__xludf.DUMMYFUNCTION("""COMPUTED_VALUE"""),"Agosto")</f>
        <v>Agosto</v>
      </c>
      <c r="J429" s="89" t="str">
        <f ca="1">IFERROR(__xludf.DUMMYFUNCTION("""COMPUTED_VALUE"""),"AH")</f>
        <v>AH</v>
      </c>
      <c r="K429" s="92">
        <f ca="1">IFERROR(__xludf.DUMMYFUNCTION("""COMPUTED_VALUE"""),3)</f>
        <v>3</v>
      </c>
      <c r="L429" s="89" t="str">
        <f ca="1">IFERROR(__xludf.DUMMYFUNCTION("""COMPUTED_VALUE"""),"TRIMESTRE 3")</f>
        <v>TRIMESTRE 3</v>
      </c>
      <c r="M429" s="89" t="str">
        <f ca="1">IFERROR(__xludf.DUMMYFUNCTION("""COMPUTED_VALUE"""),"ADOLESCENTES HOMBRES")</f>
        <v>ADOLESCENTES HOMBRES</v>
      </c>
    </row>
    <row r="430" spans="1:13">
      <c r="A430" s="89" t="str">
        <f ca="1">IFERROR(__xludf.DUMMYFUNCTION("""COMPUTED_VALUE"""),"4.1.3.1")</f>
        <v>4.1.3.1</v>
      </c>
      <c r="B430" s="89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430" s="89" t="str">
        <f ca="1">IFERROR(__xludf.DUMMYFUNCTION("""COMPUTED_VALUE"""),"4. Programas")</f>
        <v>4. Programas</v>
      </c>
      <c r="D430" s="89" t="str">
        <f ca="1">IFERROR(__xludf.DUMMYFUNCTION("""COMPUTED_VALUE"""),"Guadalajara: Capital de las niñas y los niños")</f>
        <v>Guadalajara: Capital de las niñas y los niños</v>
      </c>
      <c r="E430" s="89" t="str">
        <f ca="1">IFERROR(__xludf.DUMMYFUNCTION("""COMPUTED_VALUE"""),"Custodia, tutela, adopciones y acogimiento familiar")</f>
        <v>Custodia, tutela, adopciones y acogimiento familiar</v>
      </c>
      <c r="F430" s="89" t="str">
        <f ca="1">IFERROR(__xludf.DUMMYFUNCTION("""COMPUTED_VALUE"""),"A1C3, Nuevas medidas de protección dictadas atendidas")</f>
        <v>A1C3, Nuevas medidas de protección dictadas atendidas</v>
      </c>
      <c r="G430" s="89" t="str">
        <f ca="1">IFERROR(__xludf.DUMMYFUNCTION("""COMPUTED_VALUE"""),"Porcentaje de NNA a los que se les dio seguimientos en las nuevas medidas de protección dictadas en 2023")</f>
        <v>Porcentaje de NNA a los que se les dio seguimientos en las nuevas medidas de protección dictadas en 2023</v>
      </c>
      <c r="H430" s="89" t="str">
        <f ca="1">IFERROR(__xludf.DUMMYFUNCTION("""COMPUTED_VALUE"""),"MUJ Agosto")</f>
        <v>MUJ Agosto</v>
      </c>
      <c r="I430" s="89" t="str">
        <f ca="1">IFERROR(__xludf.DUMMYFUNCTION("""COMPUTED_VALUE"""),"Agosto")</f>
        <v>Agosto</v>
      </c>
      <c r="J430" s="89" t="str">
        <f ca="1">IFERROR(__xludf.DUMMYFUNCTION("""COMPUTED_VALUE"""),"MUJ")</f>
        <v>MUJ</v>
      </c>
      <c r="K430" s="92"/>
      <c r="L430" s="89" t="str">
        <f ca="1">IFERROR(__xludf.DUMMYFUNCTION("""COMPUTED_VALUE"""),"TRIMESTRE 3")</f>
        <v>TRIMESTRE 3</v>
      </c>
      <c r="M430" s="89" t="str">
        <f ca="1">IFERROR(__xludf.DUMMYFUNCTION("""COMPUTED_VALUE"""),"MUJERES ADULTAS")</f>
        <v>MUJERES ADULTAS</v>
      </c>
    </row>
    <row r="431" spans="1:13">
      <c r="A431" s="89" t="str">
        <f ca="1">IFERROR(__xludf.DUMMYFUNCTION("""COMPUTED_VALUE"""),"4.1.3.1")</f>
        <v>4.1.3.1</v>
      </c>
      <c r="B431" s="89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431" s="89" t="str">
        <f ca="1">IFERROR(__xludf.DUMMYFUNCTION("""COMPUTED_VALUE"""),"4. Programas")</f>
        <v>4. Programas</v>
      </c>
      <c r="D431" s="89" t="str">
        <f ca="1">IFERROR(__xludf.DUMMYFUNCTION("""COMPUTED_VALUE"""),"Guadalajara: Capital de las niñas y los niños")</f>
        <v>Guadalajara: Capital de las niñas y los niños</v>
      </c>
      <c r="E431" s="89" t="str">
        <f ca="1">IFERROR(__xludf.DUMMYFUNCTION("""COMPUTED_VALUE"""),"Custodia, tutela, adopciones y acogimiento familiar")</f>
        <v>Custodia, tutela, adopciones y acogimiento familiar</v>
      </c>
      <c r="F431" s="89" t="str">
        <f ca="1">IFERROR(__xludf.DUMMYFUNCTION("""COMPUTED_VALUE"""),"A1C3, Nuevas medidas de protección dictadas atendidas")</f>
        <v>A1C3, Nuevas medidas de protección dictadas atendidas</v>
      </c>
      <c r="G431" s="89" t="str">
        <f ca="1">IFERROR(__xludf.DUMMYFUNCTION("""COMPUTED_VALUE"""),"Porcentaje de NNA a los que se les dio seguimientos en las nuevas medidas de protección dictadas en 2023")</f>
        <v>Porcentaje de NNA a los que se les dio seguimientos en las nuevas medidas de protección dictadas en 2023</v>
      </c>
      <c r="H431" s="89" t="str">
        <f ca="1">IFERROR(__xludf.DUMMYFUNCTION("""COMPUTED_VALUE"""),"HOM Agosto")</f>
        <v>HOM Agosto</v>
      </c>
      <c r="I431" s="89" t="str">
        <f ca="1">IFERROR(__xludf.DUMMYFUNCTION("""COMPUTED_VALUE"""),"Agosto")</f>
        <v>Agosto</v>
      </c>
      <c r="J431" s="89" t="str">
        <f ca="1">IFERROR(__xludf.DUMMYFUNCTION("""COMPUTED_VALUE"""),"HOM")</f>
        <v>HOM</v>
      </c>
      <c r="K431" s="92"/>
      <c r="L431" s="89" t="str">
        <f ca="1">IFERROR(__xludf.DUMMYFUNCTION("""COMPUTED_VALUE"""),"TRIMESTRE 3")</f>
        <v>TRIMESTRE 3</v>
      </c>
      <c r="M431" s="89" t="str">
        <f ca="1">IFERROR(__xludf.DUMMYFUNCTION("""COMPUTED_VALUE"""),"HOMBRES ADULTOS")</f>
        <v>HOMBRES ADULTOS</v>
      </c>
    </row>
    <row r="432" spans="1:13">
      <c r="A432" s="89" t="str">
        <f ca="1">IFERROR(__xludf.DUMMYFUNCTION("""COMPUTED_VALUE"""),"4.1.3.1")</f>
        <v>4.1.3.1</v>
      </c>
      <c r="B432" s="89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432" s="89" t="str">
        <f ca="1">IFERROR(__xludf.DUMMYFUNCTION("""COMPUTED_VALUE"""),"4. Programas")</f>
        <v>4. Programas</v>
      </c>
      <c r="D432" s="89" t="str">
        <f ca="1">IFERROR(__xludf.DUMMYFUNCTION("""COMPUTED_VALUE"""),"Guadalajara: Capital de las niñas y los niños")</f>
        <v>Guadalajara: Capital de las niñas y los niños</v>
      </c>
      <c r="E432" s="89" t="str">
        <f ca="1">IFERROR(__xludf.DUMMYFUNCTION("""COMPUTED_VALUE"""),"Custodia, tutela, adopciones y acogimiento familiar")</f>
        <v>Custodia, tutela, adopciones y acogimiento familiar</v>
      </c>
      <c r="F432" s="89" t="str">
        <f ca="1">IFERROR(__xludf.DUMMYFUNCTION("""COMPUTED_VALUE"""),"A1C3, Nuevas medidas de protección dictadas atendidas")</f>
        <v>A1C3, Nuevas medidas de protección dictadas atendidas</v>
      </c>
      <c r="G432" s="89" t="str">
        <f ca="1">IFERROR(__xludf.DUMMYFUNCTION("""COMPUTED_VALUE"""),"Porcentaje de NNA a los que se les dio seguimientos en las nuevas medidas de protección dictadas en 2023")</f>
        <v>Porcentaje de NNA a los que se les dio seguimientos en las nuevas medidas de protección dictadas en 2023</v>
      </c>
      <c r="H432" s="89" t="str">
        <f ca="1">IFERROR(__xludf.DUMMYFUNCTION("""COMPUTED_VALUE"""),"AMM Agosto")</f>
        <v>AMM Agosto</v>
      </c>
      <c r="I432" s="89" t="str">
        <f ca="1">IFERROR(__xludf.DUMMYFUNCTION("""COMPUTED_VALUE"""),"Agosto")</f>
        <v>Agosto</v>
      </c>
      <c r="J432" s="89" t="str">
        <f ca="1">IFERROR(__xludf.DUMMYFUNCTION("""COMPUTED_VALUE"""),"AMM")</f>
        <v>AMM</v>
      </c>
      <c r="K432" s="92"/>
      <c r="L432" s="89" t="str">
        <f ca="1">IFERROR(__xludf.DUMMYFUNCTION("""COMPUTED_VALUE"""),"TRIMESTRE 3")</f>
        <v>TRIMESTRE 3</v>
      </c>
      <c r="M432" s="89" t="str">
        <f ca="1">IFERROR(__xludf.DUMMYFUNCTION("""COMPUTED_VALUE"""),"ADULTA MAYOR MUJER")</f>
        <v>ADULTA MAYOR MUJER</v>
      </c>
    </row>
    <row r="433" spans="1:13">
      <c r="A433" s="89" t="str">
        <f ca="1">IFERROR(__xludf.DUMMYFUNCTION("""COMPUTED_VALUE"""),"4.1.3.1")</f>
        <v>4.1.3.1</v>
      </c>
      <c r="B433" s="89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433" s="89" t="str">
        <f ca="1">IFERROR(__xludf.DUMMYFUNCTION("""COMPUTED_VALUE"""),"4. Programas")</f>
        <v>4. Programas</v>
      </c>
      <c r="D433" s="89" t="str">
        <f ca="1">IFERROR(__xludf.DUMMYFUNCTION("""COMPUTED_VALUE"""),"Guadalajara: Capital de las niñas y los niños")</f>
        <v>Guadalajara: Capital de las niñas y los niños</v>
      </c>
      <c r="E433" s="89" t="str">
        <f ca="1">IFERROR(__xludf.DUMMYFUNCTION("""COMPUTED_VALUE"""),"Custodia, tutela, adopciones y acogimiento familiar")</f>
        <v>Custodia, tutela, adopciones y acogimiento familiar</v>
      </c>
      <c r="F433" s="89" t="str">
        <f ca="1">IFERROR(__xludf.DUMMYFUNCTION("""COMPUTED_VALUE"""),"A1C3, Nuevas medidas de protección dictadas atendidas")</f>
        <v>A1C3, Nuevas medidas de protección dictadas atendidas</v>
      </c>
      <c r="G433" s="89" t="str">
        <f ca="1">IFERROR(__xludf.DUMMYFUNCTION("""COMPUTED_VALUE"""),"Porcentaje de NNA a los que se les dio seguimientos en las nuevas medidas de protección dictadas en 2023")</f>
        <v>Porcentaje de NNA a los que se les dio seguimientos en las nuevas medidas de protección dictadas en 2023</v>
      </c>
      <c r="H433" s="89" t="str">
        <f ca="1">IFERROR(__xludf.DUMMYFUNCTION("""COMPUTED_VALUE"""),"AMH Agosto")</f>
        <v>AMH Agosto</v>
      </c>
      <c r="I433" s="89" t="str">
        <f ca="1">IFERROR(__xludf.DUMMYFUNCTION("""COMPUTED_VALUE"""),"Agosto")</f>
        <v>Agosto</v>
      </c>
      <c r="J433" s="89" t="str">
        <f ca="1">IFERROR(__xludf.DUMMYFUNCTION("""COMPUTED_VALUE"""),"AMH")</f>
        <v>AMH</v>
      </c>
      <c r="K433" s="92"/>
      <c r="L433" s="89" t="str">
        <f ca="1">IFERROR(__xludf.DUMMYFUNCTION("""COMPUTED_VALUE"""),"TRIMESTRE 3")</f>
        <v>TRIMESTRE 3</v>
      </c>
      <c r="M433" s="89" t="str">
        <f ca="1">IFERROR(__xludf.DUMMYFUNCTION("""COMPUTED_VALUE"""),"ADULTO MAYOR HOMBRE")</f>
        <v>ADULTO MAYOR HOMBRE</v>
      </c>
    </row>
    <row r="434" spans="1:13">
      <c r="A434" s="89" t="str">
        <f ca="1">IFERROR(__xludf.DUMMYFUNCTION("""COMPUTED_VALUE"""),"4.1.3.2")</f>
        <v>4.1.3.2</v>
      </c>
      <c r="B434" s="89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434" s="89" t="str">
        <f ca="1">IFERROR(__xludf.DUMMYFUNCTION("""COMPUTED_VALUE"""),"4. Programas")</f>
        <v>4. Programas</v>
      </c>
      <c r="D434" s="89" t="str">
        <f ca="1">IFERROR(__xludf.DUMMYFUNCTION("""COMPUTED_VALUE"""),"Guadalajara: Capital de las niñas y los niños")</f>
        <v>Guadalajara: Capital de las niñas y los niños</v>
      </c>
      <c r="E434" s="89" t="str">
        <f ca="1">IFERROR(__xludf.DUMMYFUNCTION("""COMPUTED_VALUE"""),"Custodia, tutela, adopciones y acogimiento familiar")</f>
        <v>Custodia, tutela, adopciones y acogimiento familiar</v>
      </c>
      <c r="F434" s="89" t="str">
        <f ca="1">IFERROR(__xludf.DUMMYFUNCTION("""COMPUTED_VALUE"""),"A2C3. Medidas de protección dictadas que se les dio seguimiento")</f>
        <v>A2C3. Medidas de protección dictadas que se les dio seguimiento</v>
      </c>
      <c r="G434" s="89" t="str">
        <f ca="1">IFERROR(__xludf.DUMMYFUNCTION("""COMPUTED_VALUE"""),"Porcentaje de NNA a los que se les dio seguimientos en las medidas de protección dictadas, en 2023")</f>
        <v>Porcentaje de NNA a los que se les dio seguimientos en las medidas de protección dictadas, en 2023</v>
      </c>
      <c r="H434" s="89" t="str">
        <f ca="1">IFERROR(__xludf.DUMMYFUNCTION("""COMPUTED_VALUE"""),"NAS Agosto")</f>
        <v>NAS Agosto</v>
      </c>
      <c r="I434" s="89" t="str">
        <f ca="1">IFERROR(__xludf.DUMMYFUNCTION("""COMPUTED_VALUE"""),"Agosto")</f>
        <v>Agosto</v>
      </c>
      <c r="J434" s="89" t="str">
        <f ca="1">IFERROR(__xludf.DUMMYFUNCTION("""COMPUTED_VALUE"""),"NAS")</f>
        <v>NAS</v>
      </c>
      <c r="K434" s="92">
        <f ca="1">IFERROR(__xludf.DUMMYFUNCTION("""COMPUTED_VALUE"""),40)</f>
        <v>40</v>
      </c>
      <c r="L434" s="89" t="str">
        <f ca="1">IFERROR(__xludf.DUMMYFUNCTION("""COMPUTED_VALUE"""),"TRIMESTRE 3")</f>
        <v>TRIMESTRE 3</v>
      </c>
      <c r="M434" s="89" t="str">
        <f ca="1">IFERROR(__xludf.DUMMYFUNCTION("""COMPUTED_VALUE"""),"NIÑAS")</f>
        <v>NIÑAS</v>
      </c>
    </row>
    <row r="435" spans="1:13">
      <c r="A435" s="89" t="str">
        <f ca="1">IFERROR(__xludf.DUMMYFUNCTION("""COMPUTED_VALUE"""),"4.1.3.2")</f>
        <v>4.1.3.2</v>
      </c>
      <c r="B435" s="89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435" s="89" t="str">
        <f ca="1">IFERROR(__xludf.DUMMYFUNCTION("""COMPUTED_VALUE"""),"4. Programas")</f>
        <v>4. Programas</v>
      </c>
      <c r="D435" s="89" t="str">
        <f ca="1">IFERROR(__xludf.DUMMYFUNCTION("""COMPUTED_VALUE"""),"Guadalajara: Capital de las niñas y los niños")</f>
        <v>Guadalajara: Capital de las niñas y los niños</v>
      </c>
      <c r="E435" s="89" t="str">
        <f ca="1">IFERROR(__xludf.DUMMYFUNCTION("""COMPUTED_VALUE"""),"Custodia, tutela, adopciones y acogimiento familiar")</f>
        <v>Custodia, tutela, adopciones y acogimiento familiar</v>
      </c>
      <c r="F435" s="89" t="str">
        <f ca="1">IFERROR(__xludf.DUMMYFUNCTION("""COMPUTED_VALUE"""),"A2C3. Medidas de protección dictadas que se les dio seguimiento")</f>
        <v>A2C3. Medidas de protección dictadas que se les dio seguimiento</v>
      </c>
      <c r="G435" s="89" t="str">
        <f ca="1">IFERROR(__xludf.DUMMYFUNCTION("""COMPUTED_VALUE"""),"Porcentaje de NNA a los que se les dio seguimientos en las medidas de protección dictadas, en 2023")</f>
        <v>Porcentaje de NNA a los que se les dio seguimientos en las medidas de protección dictadas, en 2023</v>
      </c>
      <c r="H435" s="89" t="str">
        <f ca="1">IFERROR(__xludf.DUMMYFUNCTION("""COMPUTED_VALUE"""),"NOS Agosto")</f>
        <v>NOS Agosto</v>
      </c>
      <c r="I435" s="89" t="str">
        <f ca="1">IFERROR(__xludf.DUMMYFUNCTION("""COMPUTED_VALUE"""),"Agosto")</f>
        <v>Agosto</v>
      </c>
      <c r="J435" s="89" t="str">
        <f ca="1">IFERROR(__xludf.DUMMYFUNCTION("""COMPUTED_VALUE"""),"NOS")</f>
        <v>NOS</v>
      </c>
      <c r="K435" s="92">
        <f ca="1">IFERROR(__xludf.DUMMYFUNCTION("""COMPUTED_VALUE"""),46)</f>
        <v>46</v>
      </c>
      <c r="L435" s="89" t="str">
        <f ca="1">IFERROR(__xludf.DUMMYFUNCTION("""COMPUTED_VALUE"""),"TRIMESTRE 3")</f>
        <v>TRIMESTRE 3</v>
      </c>
      <c r="M435" s="89" t="str">
        <f ca="1">IFERROR(__xludf.DUMMYFUNCTION("""COMPUTED_VALUE"""),"NIÑOS")</f>
        <v>NIÑOS</v>
      </c>
    </row>
    <row r="436" spans="1:13">
      <c r="A436" s="89" t="str">
        <f ca="1">IFERROR(__xludf.DUMMYFUNCTION("""COMPUTED_VALUE"""),"4.1.3.2")</f>
        <v>4.1.3.2</v>
      </c>
      <c r="B436" s="89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436" s="89" t="str">
        <f ca="1">IFERROR(__xludf.DUMMYFUNCTION("""COMPUTED_VALUE"""),"4. Programas")</f>
        <v>4. Programas</v>
      </c>
      <c r="D436" s="89" t="str">
        <f ca="1">IFERROR(__xludf.DUMMYFUNCTION("""COMPUTED_VALUE"""),"Guadalajara: Capital de las niñas y los niños")</f>
        <v>Guadalajara: Capital de las niñas y los niños</v>
      </c>
      <c r="E436" s="89" t="str">
        <f ca="1">IFERROR(__xludf.DUMMYFUNCTION("""COMPUTED_VALUE"""),"Custodia, tutela, adopciones y acogimiento familiar")</f>
        <v>Custodia, tutela, adopciones y acogimiento familiar</v>
      </c>
      <c r="F436" s="89" t="str">
        <f ca="1">IFERROR(__xludf.DUMMYFUNCTION("""COMPUTED_VALUE"""),"A2C3. Medidas de protección dictadas que se les dio seguimiento")</f>
        <v>A2C3. Medidas de protección dictadas que se les dio seguimiento</v>
      </c>
      <c r="G436" s="89" t="str">
        <f ca="1">IFERROR(__xludf.DUMMYFUNCTION("""COMPUTED_VALUE"""),"Porcentaje de NNA a los que se les dio seguimientos en las medidas de protección dictadas, en 2023")</f>
        <v>Porcentaje de NNA a los que se les dio seguimientos en las medidas de protección dictadas, en 2023</v>
      </c>
      <c r="H436" s="89" t="str">
        <f ca="1">IFERROR(__xludf.DUMMYFUNCTION("""COMPUTED_VALUE"""),"AM AGOSTO")</f>
        <v>AM AGOSTO</v>
      </c>
      <c r="I436" s="89" t="str">
        <f ca="1">IFERROR(__xludf.DUMMYFUNCTION("""COMPUTED_VALUE"""),"Agosto")</f>
        <v>Agosto</v>
      </c>
      <c r="J436" s="89" t="str">
        <f ca="1">IFERROR(__xludf.DUMMYFUNCTION("""COMPUTED_VALUE"""),"AM")</f>
        <v>AM</v>
      </c>
      <c r="K436" s="92">
        <f ca="1">IFERROR(__xludf.DUMMYFUNCTION("""COMPUTED_VALUE"""),30)</f>
        <v>30</v>
      </c>
      <c r="L436" s="89" t="str">
        <f ca="1">IFERROR(__xludf.DUMMYFUNCTION("""COMPUTED_VALUE"""),"TRIMESTRE 3")</f>
        <v>TRIMESTRE 3</v>
      </c>
      <c r="M436" s="89" t="str">
        <f ca="1">IFERROR(__xludf.DUMMYFUNCTION("""COMPUTED_VALUE"""),"ADOLESCENTES MUJERES")</f>
        <v>ADOLESCENTES MUJERES</v>
      </c>
    </row>
    <row r="437" spans="1:13">
      <c r="A437" s="89" t="str">
        <f ca="1">IFERROR(__xludf.DUMMYFUNCTION("""COMPUTED_VALUE"""),"4.1.3.2")</f>
        <v>4.1.3.2</v>
      </c>
      <c r="B437" s="89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437" s="89" t="str">
        <f ca="1">IFERROR(__xludf.DUMMYFUNCTION("""COMPUTED_VALUE"""),"4. Programas")</f>
        <v>4. Programas</v>
      </c>
      <c r="D437" s="89" t="str">
        <f ca="1">IFERROR(__xludf.DUMMYFUNCTION("""COMPUTED_VALUE"""),"Guadalajara: Capital de las niñas y los niños")</f>
        <v>Guadalajara: Capital de las niñas y los niños</v>
      </c>
      <c r="E437" s="89" t="str">
        <f ca="1">IFERROR(__xludf.DUMMYFUNCTION("""COMPUTED_VALUE"""),"Custodia, tutela, adopciones y acogimiento familiar")</f>
        <v>Custodia, tutela, adopciones y acogimiento familiar</v>
      </c>
      <c r="F437" s="89" t="str">
        <f ca="1">IFERROR(__xludf.DUMMYFUNCTION("""COMPUTED_VALUE"""),"A2C3. Medidas de protección dictadas que se les dio seguimiento")</f>
        <v>A2C3. Medidas de protección dictadas que se les dio seguimiento</v>
      </c>
      <c r="G437" s="89" t="str">
        <f ca="1">IFERROR(__xludf.DUMMYFUNCTION("""COMPUTED_VALUE"""),"Porcentaje de NNA a los que se les dio seguimientos en las medidas de protección dictadas, en 2023")</f>
        <v>Porcentaje de NNA a los que se les dio seguimientos en las medidas de protección dictadas, en 2023</v>
      </c>
      <c r="H437" s="89" t="str">
        <f ca="1">IFERROR(__xludf.DUMMYFUNCTION("""COMPUTED_VALUE"""),"AH AGOSTO")</f>
        <v>AH AGOSTO</v>
      </c>
      <c r="I437" s="89" t="str">
        <f ca="1">IFERROR(__xludf.DUMMYFUNCTION("""COMPUTED_VALUE"""),"Agosto")</f>
        <v>Agosto</v>
      </c>
      <c r="J437" s="89" t="str">
        <f ca="1">IFERROR(__xludf.DUMMYFUNCTION("""COMPUTED_VALUE"""),"AH")</f>
        <v>AH</v>
      </c>
      <c r="K437" s="92">
        <f ca="1">IFERROR(__xludf.DUMMYFUNCTION("""COMPUTED_VALUE"""),25)</f>
        <v>25</v>
      </c>
      <c r="L437" s="89" t="str">
        <f ca="1">IFERROR(__xludf.DUMMYFUNCTION("""COMPUTED_VALUE"""),"TRIMESTRE 3")</f>
        <v>TRIMESTRE 3</v>
      </c>
      <c r="M437" s="89" t="str">
        <f ca="1">IFERROR(__xludf.DUMMYFUNCTION("""COMPUTED_VALUE"""),"ADOLESCENTES HOMBRES")</f>
        <v>ADOLESCENTES HOMBRES</v>
      </c>
    </row>
    <row r="438" spans="1:13">
      <c r="A438" s="89" t="str">
        <f ca="1">IFERROR(__xludf.DUMMYFUNCTION("""COMPUTED_VALUE"""),"4.1.3.2")</f>
        <v>4.1.3.2</v>
      </c>
      <c r="B438" s="89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438" s="89" t="str">
        <f ca="1">IFERROR(__xludf.DUMMYFUNCTION("""COMPUTED_VALUE"""),"4. Programas")</f>
        <v>4. Programas</v>
      </c>
      <c r="D438" s="89" t="str">
        <f ca="1">IFERROR(__xludf.DUMMYFUNCTION("""COMPUTED_VALUE"""),"Guadalajara: Capital de las niñas y los niños")</f>
        <v>Guadalajara: Capital de las niñas y los niños</v>
      </c>
      <c r="E438" s="89" t="str">
        <f ca="1">IFERROR(__xludf.DUMMYFUNCTION("""COMPUTED_VALUE"""),"Custodia, tutela, adopciones y acogimiento familiar")</f>
        <v>Custodia, tutela, adopciones y acogimiento familiar</v>
      </c>
      <c r="F438" s="89" t="str">
        <f ca="1">IFERROR(__xludf.DUMMYFUNCTION("""COMPUTED_VALUE"""),"A2C3. Medidas de protección dictadas que se les dio seguimiento")</f>
        <v>A2C3. Medidas de protección dictadas que se les dio seguimiento</v>
      </c>
      <c r="G438" s="89" t="str">
        <f ca="1">IFERROR(__xludf.DUMMYFUNCTION("""COMPUTED_VALUE"""),"Porcentaje de NNA a los que se les dio seguimientos en las medidas de protección dictadas, en 2023")</f>
        <v>Porcentaje de NNA a los que se les dio seguimientos en las medidas de protección dictadas, en 2023</v>
      </c>
      <c r="H438" s="89" t="str">
        <f ca="1">IFERROR(__xludf.DUMMYFUNCTION("""COMPUTED_VALUE"""),"MUJ Agosto")</f>
        <v>MUJ Agosto</v>
      </c>
      <c r="I438" s="89" t="str">
        <f ca="1">IFERROR(__xludf.DUMMYFUNCTION("""COMPUTED_VALUE"""),"Agosto")</f>
        <v>Agosto</v>
      </c>
      <c r="J438" s="89" t="str">
        <f ca="1">IFERROR(__xludf.DUMMYFUNCTION("""COMPUTED_VALUE"""),"MUJ")</f>
        <v>MUJ</v>
      </c>
      <c r="K438" s="92"/>
      <c r="L438" s="89" t="str">
        <f ca="1">IFERROR(__xludf.DUMMYFUNCTION("""COMPUTED_VALUE"""),"TRIMESTRE 3")</f>
        <v>TRIMESTRE 3</v>
      </c>
      <c r="M438" s="89" t="str">
        <f ca="1">IFERROR(__xludf.DUMMYFUNCTION("""COMPUTED_VALUE"""),"MUJERES ADULTAS")</f>
        <v>MUJERES ADULTAS</v>
      </c>
    </row>
    <row r="439" spans="1:13">
      <c r="A439" s="89" t="str">
        <f ca="1">IFERROR(__xludf.DUMMYFUNCTION("""COMPUTED_VALUE"""),"4.1.3.2")</f>
        <v>4.1.3.2</v>
      </c>
      <c r="B439" s="89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439" s="89" t="str">
        <f ca="1">IFERROR(__xludf.DUMMYFUNCTION("""COMPUTED_VALUE"""),"4. Programas")</f>
        <v>4. Programas</v>
      </c>
      <c r="D439" s="89" t="str">
        <f ca="1">IFERROR(__xludf.DUMMYFUNCTION("""COMPUTED_VALUE"""),"Guadalajara: Capital de las niñas y los niños")</f>
        <v>Guadalajara: Capital de las niñas y los niños</v>
      </c>
      <c r="E439" s="89" t="str">
        <f ca="1">IFERROR(__xludf.DUMMYFUNCTION("""COMPUTED_VALUE"""),"Custodia, tutela, adopciones y acogimiento familiar")</f>
        <v>Custodia, tutela, adopciones y acogimiento familiar</v>
      </c>
      <c r="F439" s="89" t="str">
        <f ca="1">IFERROR(__xludf.DUMMYFUNCTION("""COMPUTED_VALUE"""),"A2C3. Medidas de protección dictadas que se les dio seguimiento")</f>
        <v>A2C3. Medidas de protección dictadas que se les dio seguimiento</v>
      </c>
      <c r="G439" s="89" t="str">
        <f ca="1">IFERROR(__xludf.DUMMYFUNCTION("""COMPUTED_VALUE"""),"Porcentaje de NNA a los que se les dio seguimientos en las medidas de protección dictadas, en 2023")</f>
        <v>Porcentaje de NNA a los que se les dio seguimientos en las medidas de protección dictadas, en 2023</v>
      </c>
      <c r="H439" s="89" t="str">
        <f ca="1">IFERROR(__xludf.DUMMYFUNCTION("""COMPUTED_VALUE"""),"HOM Agosto")</f>
        <v>HOM Agosto</v>
      </c>
      <c r="I439" s="89" t="str">
        <f ca="1">IFERROR(__xludf.DUMMYFUNCTION("""COMPUTED_VALUE"""),"Agosto")</f>
        <v>Agosto</v>
      </c>
      <c r="J439" s="89" t="str">
        <f ca="1">IFERROR(__xludf.DUMMYFUNCTION("""COMPUTED_VALUE"""),"HOM")</f>
        <v>HOM</v>
      </c>
      <c r="K439" s="92"/>
      <c r="L439" s="89" t="str">
        <f ca="1">IFERROR(__xludf.DUMMYFUNCTION("""COMPUTED_VALUE"""),"TRIMESTRE 3")</f>
        <v>TRIMESTRE 3</v>
      </c>
      <c r="M439" s="89" t="str">
        <f ca="1">IFERROR(__xludf.DUMMYFUNCTION("""COMPUTED_VALUE"""),"HOMBRES ADULTOS")</f>
        <v>HOMBRES ADULTOS</v>
      </c>
    </row>
    <row r="440" spans="1:13">
      <c r="A440" s="89" t="str">
        <f ca="1">IFERROR(__xludf.DUMMYFUNCTION("""COMPUTED_VALUE"""),"4.1.3.2")</f>
        <v>4.1.3.2</v>
      </c>
      <c r="B440" s="89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440" s="89" t="str">
        <f ca="1">IFERROR(__xludf.DUMMYFUNCTION("""COMPUTED_VALUE"""),"4. Programas")</f>
        <v>4. Programas</v>
      </c>
      <c r="D440" s="89" t="str">
        <f ca="1">IFERROR(__xludf.DUMMYFUNCTION("""COMPUTED_VALUE"""),"Guadalajara: Capital de las niñas y los niños")</f>
        <v>Guadalajara: Capital de las niñas y los niños</v>
      </c>
      <c r="E440" s="89" t="str">
        <f ca="1">IFERROR(__xludf.DUMMYFUNCTION("""COMPUTED_VALUE"""),"Custodia, tutela, adopciones y acogimiento familiar")</f>
        <v>Custodia, tutela, adopciones y acogimiento familiar</v>
      </c>
      <c r="F440" s="89" t="str">
        <f ca="1">IFERROR(__xludf.DUMMYFUNCTION("""COMPUTED_VALUE"""),"A2C3. Medidas de protección dictadas que se les dio seguimiento")</f>
        <v>A2C3. Medidas de protección dictadas que se les dio seguimiento</v>
      </c>
      <c r="G440" s="89" t="str">
        <f ca="1">IFERROR(__xludf.DUMMYFUNCTION("""COMPUTED_VALUE"""),"Porcentaje de NNA a los que se les dio seguimientos en las medidas de protección dictadas, en 2023")</f>
        <v>Porcentaje de NNA a los que se les dio seguimientos en las medidas de protección dictadas, en 2023</v>
      </c>
      <c r="H440" s="89" t="str">
        <f ca="1">IFERROR(__xludf.DUMMYFUNCTION("""COMPUTED_VALUE"""),"AMM Agosto")</f>
        <v>AMM Agosto</v>
      </c>
      <c r="I440" s="89" t="str">
        <f ca="1">IFERROR(__xludf.DUMMYFUNCTION("""COMPUTED_VALUE"""),"Agosto")</f>
        <v>Agosto</v>
      </c>
      <c r="J440" s="89" t="str">
        <f ca="1">IFERROR(__xludf.DUMMYFUNCTION("""COMPUTED_VALUE"""),"AMM")</f>
        <v>AMM</v>
      </c>
      <c r="K440" s="92"/>
      <c r="L440" s="89" t="str">
        <f ca="1">IFERROR(__xludf.DUMMYFUNCTION("""COMPUTED_VALUE"""),"TRIMESTRE 3")</f>
        <v>TRIMESTRE 3</v>
      </c>
      <c r="M440" s="89" t="str">
        <f ca="1">IFERROR(__xludf.DUMMYFUNCTION("""COMPUTED_VALUE"""),"ADULTA MAYOR MUJER")</f>
        <v>ADULTA MAYOR MUJER</v>
      </c>
    </row>
    <row r="441" spans="1:13">
      <c r="A441" s="89" t="str">
        <f ca="1">IFERROR(__xludf.DUMMYFUNCTION("""COMPUTED_VALUE"""),"4.1.3.2")</f>
        <v>4.1.3.2</v>
      </c>
      <c r="B441" s="89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441" s="89" t="str">
        <f ca="1">IFERROR(__xludf.DUMMYFUNCTION("""COMPUTED_VALUE"""),"4. Programas")</f>
        <v>4. Programas</v>
      </c>
      <c r="D441" s="89" t="str">
        <f ca="1">IFERROR(__xludf.DUMMYFUNCTION("""COMPUTED_VALUE"""),"Guadalajara: Capital de las niñas y los niños")</f>
        <v>Guadalajara: Capital de las niñas y los niños</v>
      </c>
      <c r="E441" s="89" t="str">
        <f ca="1">IFERROR(__xludf.DUMMYFUNCTION("""COMPUTED_VALUE"""),"Custodia, tutela, adopciones y acogimiento familiar")</f>
        <v>Custodia, tutela, adopciones y acogimiento familiar</v>
      </c>
      <c r="F441" s="89" t="str">
        <f ca="1">IFERROR(__xludf.DUMMYFUNCTION("""COMPUTED_VALUE"""),"A2C3. Medidas de protección dictadas que se les dio seguimiento")</f>
        <v>A2C3. Medidas de protección dictadas que se les dio seguimiento</v>
      </c>
      <c r="G441" s="89" t="str">
        <f ca="1">IFERROR(__xludf.DUMMYFUNCTION("""COMPUTED_VALUE"""),"Porcentaje de NNA a los que se les dio seguimientos en las medidas de protección dictadas, en 2023")</f>
        <v>Porcentaje de NNA a los que se les dio seguimientos en las medidas de protección dictadas, en 2023</v>
      </c>
      <c r="H441" s="89" t="str">
        <f ca="1">IFERROR(__xludf.DUMMYFUNCTION("""COMPUTED_VALUE"""),"AMH Agosto")</f>
        <v>AMH Agosto</v>
      </c>
      <c r="I441" s="89" t="str">
        <f ca="1">IFERROR(__xludf.DUMMYFUNCTION("""COMPUTED_VALUE"""),"Agosto")</f>
        <v>Agosto</v>
      </c>
      <c r="J441" s="89" t="str">
        <f ca="1">IFERROR(__xludf.DUMMYFUNCTION("""COMPUTED_VALUE"""),"AMH")</f>
        <v>AMH</v>
      </c>
      <c r="K441" s="92"/>
      <c r="L441" s="89" t="str">
        <f ca="1">IFERROR(__xludf.DUMMYFUNCTION("""COMPUTED_VALUE"""),"TRIMESTRE 3")</f>
        <v>TRIMESTRE 3</v>
      </c>
      <c r="M441" s="89" t="str">
        <f ca="1">IFERROR(__xludf.DUMMYFUNCTION("""COMPUTED_VALUE"""),"ADULTO MAYOR HOMBRE")</f>
        <v>ADULTO MAYOR HOMBRE</v>
      </c>
    </row>
    <row r="442" spans="1:13">
      <c r="A442" s="89" t="str">
        <f ca="1">IFERROR(__xludf.DUMMYFUNCTION("""COMPUTED_VALUE"""),"4.1.3.4")</f>
        <v>4.1.3.4</v>
      </c>
      <c r="B442" s="89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442" s="89" t="str">
        <f ca="1">IFERROR(__xludf.DUMMYFUNCTION("""COMPUTED_VALUE"""),"4. Programas")</f>
        <v>4. Programas</v>
      </c>
      <c r="D442" s="89" t="str">
        <f ca="1">IFERROR(__xludf.DUMMYFUNCTION("""COMPUTED_VALUE"""),"Guadalajara: Capital de las niñas y los niños")</f>
        <v>Guadalajara: Capital de las niñas y los niños</v>
      </c>
      <c r="E442" s="89" t="str">
        <f ca="1">IFERROR(__xludf.DUMMYFUNCTION("""COMPUTED_VALUE"""),"Custodia, tutela, adopciones y acogimiento familiar")</f>
        <v>Custodia, tutela, adopciones y acogimiento familiar</v>
      </c>
      <c r="F442" s="89" t="str">
        <f ca="1">IFERROR(__xludf.DUMMYFUNCTION("""COMPUTED_VALUE"""),"A4C3. NNA integrados en familias.")</f>
        <v>A4C3. NNA integrados en familias.</v>
      </c>
      <c r="G442" s="89" t="str">
        <f ca="1">IFERROR(__xludf.DUMMYFUNCTION("""COMPUTED_VALUE"""),"Porcentaje de NNA integrados en familias, en 2023")</f>
        <v>Porcentaje de NNA integrados en familias, en 2023</v>
      </c>
      <c r="H442" s="89" t="str">
        <f ca="1">IFERROR(__xludf.DUMMYFUNCTION("""COMPUTED_VALUE"""),"NAS Agosto")</f>
        <v>NAS Agosto</v>
      </c>
      <c r="I442" s="89" t="str">
        <f ca="1">IFERROR(__xludf.DUMMYFUNCTION("""COMPUTED_VALUE"""),"Agosto")</f>
        <v>Agosto</v>
      </c>
      <c r="J442" s="89" t="str">
        <f ca="1">IFERROR(__xludf.DUMMYFUNCTION("""COMPUTED_VALUE"""),"NAS")</f>
        <v>NAS</v>
      </c>
      <c r="K442" s="92">
        <f ca="1">IFERROR(__xludf.DUMMYFUNCTION("""COMPUTED_VALUE"""),4)</f>
        <v>4</v>
      </c>
      <c r="L442" s="89" t="str">
        <f ca="1">IFERROR(__xludf.DUMMYFUNCTION("""COMPUTED_VALUE"""),"TRIMESTRE 3")</f>
        <v>TRIMESTRE 3</v>
      </c>
      <c r="M442" s="89" t="str">
        <f ca="1">IFERROR(__xludf.DUMMYFUNCTION("""COMPUTED_VALUE"""),"NIÑAS")</f>
        <v>NIÑAS</v>
      </c>
    </row>
    <row r="443" spans="1:13">
      <c r="A443" s="89" t="str">
        <f ca="1">IFERROR(__xludf.DUMMYFUNCTION("""COMPUTED_VALUE"""),"4.1.3.4")</f>
        <v>4.1.3.4</v>
      </c>
      <c r="B443" s="89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443" s="89" t="str">
        <f ca="1">IFERROR(__xludf.DUMMYFUNCTION("""COMPUTED_VALUE"""),"4. Programas")</f>
        <v>4. Programas</v>
      </c>
      <c r="D443" s="89" t="str">
        <f ca="1">IFERROR(__xludf.DUMMYFUNCTION("""COMPUTED_VALUE"""),"Guadalajara: Capital de las niñas y los niños")</f>
        <v>Guadalajara: Capital de las niñas y los niños</v>
      </c>
      <c r="E443" s="89" t="str">
        <f ca="1">IFERROR(__xludf.DUMMYFUNCTION("""COMPUTED_VALUE"""),"Custodia, tutela, adopciones y acogimiento familiar")</f>
        <v>Custodia, tutela, adopciones y acogimiento familiar</v>
      </c>
      <c r="F443" s="89" t="str">
        <f ca="1">IFERROR(__xludf.DUMMYFUNCTION("""COMPUTED_VALUE"""),"A4C3. NNA integrados en familias.")</f>
        <v>A4C3. NNA integrados en familias.</v>
      </c>
      <c r="G443" s="89" t="str">
        <f ca="1">IFERROR(__xludf.DUMMYFUNCTION("""COMPUTED_VALUE"""),"Porcentaje de NNA integrados en familias, en 2023")</f>
        <v>Porcentaje de NNA integrados en familias, en 2023</v>
      </c>
      <c r="H443" s="89" t="str">
        <f ca="1">IFERROR(__xludf.DUMMYFUNCTION("""COMPUTED_VALUE"""),"NOS Agosto")</f>
        <v>NOS Agosto</v>
      </c>
      <c r="I443" s="89" t="str">
        <f ca="1">IFERROR(__xludf.DUMMYFUNCTION("""COMPUTED_VALUE"""),"Agosto")</f>
        <v>Agosto</v>
      </c>
      <c r="J443" s="89" t="str">
        <f ca="1">IFERROR(__xludf.DUMMYFUNCTION("""COMPUTED_VALUE"""),"NOS")</f>
        <v>NOS</v>
      </c>
      <c r="K443" s="92">
        <f ca="1">IFERROR(__xludf.DUMMYFUNCTION("""COMPUTED_VALUE"""),8)</f>
        <v>8</v>
      </c>
      <c r="L443" s="89" t="str">
        <f ca="1">IFERROR(__xludf.DUMMYFUNCTION("""COMPUTED_VALUE"""),"TRIMESTRE 3")</f>
        <v>TRIMESTRE 3</v>
      </c>
      <c r="M443" s="89" t="str">
        <f ca="1">IFERROR(__xludf.DUMMYFUNCTION("""COMPUTED_VALUE"""),"NIÑOS")</f>
        <v>NIÑOS</v>
      </c>
    </row>
    <row r="444" spans="1:13">
      <c r="A444" s="89" t="str">
        <f ca="1">IFERROR(__xludf.DUMMYFUNCTION("""COMPUTED_VALUE"""),"4.1.3.4")</f>
        <v>4.1.3.4</v>
      </c>
      <c r="B444" s="89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444" s="89" t="str">
        <f ca="1">IFERROR(__xludf.DUMMYFUNCTION("""COMPUTED_VALUE"""),"4. Programas")</f>
        <v>4. Programas</v>
      </c>
      <c r="D444" s="89" t="str">
        <f ca="1">IFERROR(__xludf.DUMMYFUNCTION("""COMPUTED_VALUE"""),"Guadalajara: Capital de las niñas y los niños")</f>
        <v>Guadalajara: Capital de las niñas y los niños</v>
      </c>
      <c r="E444" s="89" t="str">
        <f ca="1">IFERROR(__xludf.DUMMYFUNCTION("""COMPUTED_VALUE"""),"Custodia, tutela, adopciones y acogimiento familiar")</f>
        <v>Custodia, tutela, adopciones y acogimiento familiar</v>
      </c>
      <c r="F444" s="89" t="str">
        <f ca="1">IFERROR(__xludf.DUMMYFUNCTION("""COMPUTED_VALUE"""),"A4C3. NNA integrados en familias.")</f>
        <v>A4C3. NNA integrados en familias.</v>
      </c>
      <c r="G444" s="89" t="str">
        <f ca="1">IFERROR(__xludf.DUMMYFUNCTION("""COMPUTED_VALUE"""),"Porcentaje de NNA integrados en familias, en 2023")</f>
        <v>Porcentaje de NNA integrados en familias, en 2023</v>
      </c>
      <c r="H444" s="89" t="str">
        <f ca="1">IFERROR(__xludf.DUMMYFUNCTION("""COMPUTED_VALUE"""),"AM AGOSTO")</f>
        <v>AM AGOSTO</v>
      </c>
      <c r="I444" s="89" t="str">
        <f ca="1">IFERROR(__xludf.DUMMYFUNCTION("""COMPUTED_VALUE"""),"Agosto")</f>
        <v>Agosto</v>
      </c>
      <c r="J444" s="89" t="str">
        <f ca="1">IFERROR(__xludf.DUMMYFUNCTION("""COMPUTED_VALUE"""),"AM")</f>
        <v>AM</v>
      </c>
      <c r="K444" s="92">
        <f ca="1">IFERROR(__xludf.DUMMYFUNCTION("""COMPUTED_VALUE"""),0)</f>
        <v>0</v>
      </c>
      <c r="L444" s="89" t="str">
        <f ca="1">IFERROR(__xludf.DUMMYFUNCTION("""COMPUTED_VALUE"""),"TRIMESTRE 3")</f>
        <v>TRIMESTRE 3</v>
      </c>
      <c r="M444" s="89" t="str">
        <f ca="1">IFERROR(__xludf.DUMMYFUNCTION("""COMPUTED_VALUE"""),"ADOLESCENTES MUJERES")</f>
        <v>ADOLESCENTES MUJERES</v>
      </c>
    </row>
    <row r="445" spans="1:13">
      <c r="A445" s="89" t="str">
        <f ca="1">IFERROR(__xludf.DUMMYFUNCTION("""COMPUTED_VALUE"""),"4.1.3.4")</f>
        <v>4.1.3.4</v>
      </c>
      <c r="B445" s="89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445" s="89" t="str">
        <f ca="1">IFERROR(__xludf.DUMMYFUNCTION("""COMPUTED_VALUE"""),"4. Programas")</f>
        <v>4. Programas</v>
      </c>
      <c r="D445" s="89" t="str">
        <f ca="1">IFERROR(__xludf.DUMMYFUNCTION("""COMPUTED_VALUE"""),"Guadalajara: Capital de las niñas y los niños")</f>
        <v>Guadalajara: Capital de las niñas y los niños</v>
      </c>
      <c r="E445" s="89" t="str">
        <f ca="1">IFERROR(__xludf.DUMMYFUNCTION("""COMPUTED_VALUE"""),"Custodia, tutela, adopciones y acogimiento familiar")</f>
        <v>Custodia, tutela, adopciones y acogimiento familiar</v>
      </c>
      <c r="F445" s="89" t="str">
        <f ca="1">IFERROR(__xludf.DUMMYFUNCTION("""COMPUTED_VALUE"""),"A4C3. NNA integrados en familias.")</f>
        <v>A4C3. NNA integrados en familias.</v>
      </c>
      <c r="G445" s="89" t="str">
        <f ca="1">IFERROR(__xludf.DUMMYFUNCTION("""COMPUTED_VALUE"""),"Porcentaje de NNA integrados en familias, en 2023")</f>
        <v>Porcentaje de NNA integrados en familias, en 2023</v>
      </c>
      <c r="H445" s="89" t="str">
        <f ca="1">IFERROR(__xludf.DUMMYFUNCTION("""COMPUTED_VALUE"""),"AH AGOSTO")</f>
        <v>AH AGOSTO</v>
      </c>
      <c r="I445" s="89" t="str">
        <f ca="1">IFERROR(__xludf.DUMMYFUNCTION("""COMPUTED_VALUE"""),"Agosto")</f>
        <v>Agosto</v>
      </c>
      <c r="J445" s="89" t="str">
        <f ca="1">IFERROR(__xludf.DUMMYFUNCTION("""COMPUTED_VALUE"""),"AH")</f>
        <v>AH</v>
      </c>
      <c r="K445" s="92">
        <f ca="1">IFERROR(__xludf.DUMMYFUNCTION("""COMPUTED_VALUE"""),0)</f>
        <v>0</v>
      </c>
      <c r="L445" s="89" t="str">
        <f ca="1">IFERROR(__xludf.DUMMYFUNCTION("""COMPUTED_VALUE"""),"TRIMESTRE 3")</f>
        <v>TRIMESTRE 3</v>
      </c>
      <c r="M445" s="89" t="str">
        <f ca="1">IFERROR(__xludf.DUMMYFUNCTION("""COMPUTED_VALUE"""),"ADOLESCENTES HOMBRES")</f>
        <v>ADOLESCENTES HOMBRES</v>
      </c>
    </row>
    <row r="446" spans="1:13">
      <c r="A446" s="89" t="str">
        <f ca="1">IFERROR(__xludf.DUMMYFUNCTION("""COMPUTED_VALUE"""),"4.1.3.4")</f>
        <v>4.1.3.4</v>
      </c>
      <c r="B446" s="89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446" s="89" t="str">
        <f ca="1">IFERROR(__xludf.DUMMYFUNCTION("""COMPUTED_VALUE"""),"4. Programas")</f>
        <v>4. Programas</v>
      </c>
      <c r="D446" s="89" t="str">
        <f ca="1">IFERROR(__xludf.DUMMYFUNCTION("""COMPUTED_VALUE"""),"Guadalajara: Capital de las niñas y los niños")</f>
        <v>Guadalajara: Capital de las niñas y los niños</v>
      </c>
      <c r="E446" s="89" t="str">
        <f ca="1">IFERROR(__xludf.DUMMYFUNCTION("""COMPUTED_VALUE"""),"Custodia, tutela, adopciones y acogimiento familiar")</f>
        <v>Custodia, tutela, adopciones y acogimiento familiar</v>
      </c>
      <c r="F446" s="89" t="str">
        <f ca="1">IFERROR(__xludf.DUMMYFUNCTION("""COMPUTED_VALUE"""),"A4C3. NNA integrados en familias.")</f>
        <v>A4C3. NNA integrados en familias.</v>
      </c>
      <c r="G446" s="89" t="str">
        <f ca="1">IFERROR(__xludf.DUMMYFUNCTION("""COMPUTED_VALUE"""),"Porcentaje de NNA integrados en familias, en 2023")</f>
        <v>Porcentaje de NNA integrados en familias, en 2023</v>
      </c>
      <c r="H446" s="89" t="str">
        <f ca="1">IFERROR(__xludf.DUMMYFUNCTION("""COMPUTED_VALUE"""),"MUJ Agosto")</f>
        <v>MUJ Agosto</v>
      </c>
      <c r="I446" s="89" t="str">
        <f ca="1">IFERROR(__xludf.DUMMYFUNCTION("""COMPUTED_VALUE"""),"Agosto")</f>
        <v>Agosto</v>
      </c>
      <c r="J446" s="89" t="str">
        <f ca="1">IFERROR(__xludf.DUMMYFUNCTION("""COMPUTED_VALUE"""),"MUJ")</f>
        <v>MUJ</v>
      </c>
      <c r="K446" s="92"/>
      <c r="L446" s="89" t="str">
        <f ca="1">IFERROR(__xludf.DUMMYFUNCTION("""COMPUTED_VALUE"""),"TRIMESTRE 3")</f>
        <v>TRIMESTRE 3</v>
      </c>
      <c r="M446" s="89" t="str">
        <f ca="1">IFERROR(__xludf.DUMMYFUNCTION("""COMPUTED_VALUE"""),"MUJERES ADULTAS")</f>
        <v>MUJERES ADULTAS</v>
      </c>
    </row>
    <row r="447" spans="1:13">
      <c r="A447" s="89" t="str">
        <f ca="1">IFERROR(__xludf.DUMMYFUNCTION("""COMPUTED_VALUE"""),"4.1.3.4")</f>
        <v>4.1.3.4</v>
      </c>
      <c r="B447" s="89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447" s="89" t="str">
        <f ca="1">IFERROR(__xludf.DUMMYFUNCTION("""COMPUTED_VALUE"""),"4. Programas")</f>
        <v>4. Programas</v>
      </c>
      <c r="D447" s="89" t="str">
        <f ca="1">IFERROR(__xludf.DUMMYFUNCTION("""COMPUTED_VALUE"""),"Guadalajara: Capital de las niñas y los niños")</f>
        <v>Guadalajara: Capital de las niñas y los niños</v>
      </c>
      <c r="E447" s="89" t="str">
        <f ca="1">IFERROR(__xludf.DUMMYFUNCTION("""COMPUTED_VALUE"""),"Custodia, tutela, adopciones y acogimiento familiar")</f>
        <v>Custodia, tutela, adopciones y acogimiento familiar</v>
      </c>
      <c r="F447" s="89" t="str">
        <f ca="1">IFERROR(__xludf.DUMMYFUNCTION("""COMPUTED_VALUE"""),"A4C3. NNA integrados en familias.")</f>
        <v>A4C3. NNA integrados en familias.</v>
      </c>
      <c r="G447" s="89" t="str">
        <f ca="1">IFERROR(__xludf.DUMMYFUNCTION("""COMPUTED_VALUE"""),"Porcentaje de NNA integrados en familias, en 2023")</f>
        <v>Porcentaje de NNA integrados en familias, en 2023</v>
      </c>
      <c r="H447" s="89" t="str">
        <f ca="1">IFERROR(__xludf.DUMMYFUNCTION("""COMPUTED_VALUE"""),"HOM Agosto")</f>
        <v>HOM Agosto</v>
      </c>
      <c r="I447" s="89" t="str">
        <f ca="1">IFERROR(__xludf.DUMMYFUNCTION("""COMPUTED_VALUE"""),"Agosto")</f>
        <v>Agosto</v>
      </c>
      <c r="J447" s="89" t="str">
        <f ca="1">IFERROR(__xludf.DUMMYFUNCTION("""COMPUTED_VALUE"""),"HOM")</f>
        <v>HOM</v>
      </c>
      <c r="K447" s="92"/>
      <c r="L447" s="89" t="str">
        <f ca="1">IFERROR(__xludf.DUMMYFUNCTION("""COMPUTED_VALUE"""),"TRIMESTRE 3")</f>
        <v>TRIMESTRE 3</v>
      </c>
      <c r="M447" s="89" t="str">
        <f ca="1">IFERROR(__xludf.DUMMYFUNCTION("""COMPUTED_VALUE"""),"HOMBRES ADULTOS")</f>
        <v>HOMBRES ADULTOS</v>
      </c>
    </row>
    <row r="448" spans="1:13">
      <c r="A448" s="89" t="str">
        <f ca="1">IFERROR(__xludf.DUMMYFUNCTION("""COMPUTED_VALUE"""),"4.1.3.4")</f>
        <v>4.1.3.4</v>
      </c>
      <c r="B448" s="89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448" s="89" t="str">
        <f ca="1">IFERROR(__xludf.DUMMYFUNCTION("""COMPUTED_VALUE"""),"4. Programas")</f>
        <v>4. Programas</v>
      </c>
      <c r="D448" s="89" t="str">
        <f ca="1">IFERROR(__xludf.DUMMYFUNCTION("""COMPUTED_VALUE"""),"Guadalajara: Capital de las niñas y los niños")</f>
        <v>Guadalajara: Capital de las niñas y los niños</v>
      </c>
      <c r="E448" s="89" t="str">
        <f ca="1">IFERROR(__xludf.DUMMYFUNCTION("""COMPUTED_VALUE"""),"Custodia, tutela, adopciones y acogimiento familiar")</f>
        <v>Custodia, tutela, adopciones y acogimiento familiar</v>
      </c>
      <c r="F448" s="89" t="str">
        <f ca="1">IFERROR(__xludf.DUMMYFUNCTION("""COMPUTED_VALUE"""),"A4C3. NNA integrados en familias.")</f>
        <v>A4C3. NNA integrados en familias.</v>
      </c>
      <c r="G448" s="89" t="str">
        <f ca="1">IFERROR(__xludf.DUMMYFUNCTION("""COMPUTED_VALUE"""),"Porcentaje de NNA integrados en familias, en 2023")</f>
        <v>Porcentaje de NNA integrados en familias, en 2023</v>
      </c>
      <c r="H448" s="89" t="str">
        <f ca="1">IFERROR(__xludf.DUMMYFUNCTION("""COMPUTED_VALUE"""),"AMM Agosto")</f>
        <v>AMM Agosto</v>
      </c>
      <c r="I448" s="89" t="str">
        <f ca="1">IFERROR(__xludf.DUMMYFUNCTION("""COMPUTED_VALUE"""),"Agosto")</f>
        <v>Agosto</v>
      </c>
      <c r="J448" s="89" t="str">
        <f ca="1">IFERROR(__xludf.DUMMYFUNCTION("""COMPUTED_VALUE"""),"AMM")</f>
        <v>AMM</v>
      </c>
      <c r="K448" s="92"/>
      <c r="L448" s="89" t="str">
        <f ca="1">IFERROR(__xludf.DUMMYFUNCTION("""COMPUTED_VALUE"""),"TRIMESTRE 3")</f>
        <v>TRIMESTRE 3</v>
      </c>
      <c r="M448" s="89" t="str">
        <f ca="1">IFERROR(__xludf.DUMMYFUNCTION("""COMPUTED_VALUE"""),"ADULTA MAYOR MUJER")</f>
        <v>ADULTA MAYOR MUJER</v>
      </c>
    </row>
    <row r="449" spans="1:13">
      <c r="A449" s="89" t="str">
        <f ca="1">IFERROR(__xludf.DUMMYFUNCTION("""COMPUTED_VALUE"""),"4.1.3.4")</f>
        <v>4.1.3.4</v>
      </c>
      <c r="B449" s="89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449" s="89" t="str">
        <f ca="1">IFERROR(__xludf.DUMMYFUNCTION("""COMPUTED_VALUE"""),"4. Programas")</f>
        <v>4. Programas</v>
      </c>
      <c r="D449" s="89" t="str">
        <f ca="1">IFERROR(__xludf.DUMMYFUNCTION("""COMPUTED_VALUE"""),"Guadalajara: Capital de las niñas y los niños")</f>
        <v>Guadalajara: Capital de las niñas y los niños</v>
      </c>
      <c r="E449" s="89" t="str">
        <f ca="1">IFERROR(__xludf.DUMMYFUNCTION("""COMPUTED_VALUE"""),"Custodia, tutela, adopciones y acogimiento familiar")</f>
        <v>Custodia, tutela, adopciones y acogimiento familiar</v>
      </c>
      <c r="F449" s="89" t="str">
        <f ca="1">IFERROR(__xludf.DUMMYFUNCTION("""COMPUTED_VALUE"""),"A4C3. NNA integrados en familias.")</f>
        <v>A4C3. NNA integrados en familias.</v>
      </c>
      <c r="G449" s="89" t="str">
        <f ca="1">IFERROR(__xludf.DUMMYFUNCTION("""COMPUTED_VALUE"""),"Porcentaje de NNA integrados en familias, en 2023")</f>
        <v>Porcentaje de NNA integrados en familias, en 2023</v>
      </c>
      <c r="H449" s="89" t="str">
        <f ca="1">IFERROR(__xludf.DUMMYFUNCTION("""COMPUTED_VALUE"""),"AMH Agosto")</f>
        <v>AMH Agosto</v>
      </c>
      <c r="I449" s="89" t="str">
        <f ca="1">IFERROR(__xludf.DUMMYFUNCTION("""COMPUTED_VALUE"""),"Agosto")</f>
        <v>Agosto</v>
      </c>
      <c r="J449" s="89" t="str">
        <f ca="1">IFERROR(__xludf.DUMMYFUNCTION("""COMPUTED_VALUE"""),"AMH")</f>
        <v>AMH</v>
      </c>
      <c r="K449" s="92"/>
      <c r="L449" s="89" t="str">
        <f ca="1">IFERROR(__xludf.DUMMYFUNCTION("""COMPUTED_VALUE"""),"TRIMESTRE 3")</f>
        <v>TRIMESTRE 3</v>
      </c>
      <c r="M449" s="89" t="str">
        <f ca="1">IFERROR(__xludf.DUMMYFUNCTION("""COMPUTED_VALUE"""),"ADULTO MAYOR HOMBRE")</f>
        <v>ADULTO MAYOR HOMBRE</v>
      </c>
    </row>
    <row r="450" spans="1:13">
      <c r="A450" s="89" t="str">
        <f ca="1">IFERROR(__xludf.DUMMYFUNCTION("""COMPUTED_VALUE"""),"4.1.3.0")</f>
        <v>4.1.3.0</v>
      </c>
      <c r="B450" s="89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450" s="89" t="str">
        <f ca="1">IFERROR(__xludf.DUMMYFUNCTION("""COMPUTED_VALUE"""),"4. Programas")</f>
        <v>4. Programas</v>
      </c>
      <c r="D450" s="89" t="str">
        <f ca="1">IFERROR(__xludf.DUMMYFUNCTION("""COMPUTED_VALUE"""),"Guadalajara: Capital de las niñas y los niños")</f>
        <v>Guadalajara: Capital de las niñas y los niños</v>
      </c>
      <c r="E450" s="89" t="str">
        <f ca="1">IFERROR(__xludf.DUMMYFUNCTION("""COMPUTED_VALUE"""),"Custodia, tutela, adopciones y acogimiento familiar")</f>
        <v>Custodia, tutela, adopciones y acogimiento familiar</v>
      </c>
      <c r="F450" s="89" t="str">
        <f ca="1">IFERROR(__xludf.DUMMYFUNCTION("""COMPUTED_VALUE"""),"C3. NNA del municipio de Guadalajara que recibieron servicios para la protección y restitución de sus derechos")</f>
        <v>C3. NNA del municipio de Guadalajara que recibieron servicios para la protección y restitución de sus derechos</v>
      </c>
      <c r="G450" s="89" t="str">
        <f ca="1">IFERROR(__xludf.DUMMYFUNCTION("""COMPUTED_VALUE"""),"Porcentaje de NNA con al menos un derecho protegido y/o restituido por la DIPNNA, en 2023")</f>
        <v>Porcentaje de NNA con al menos un derecho protegido y/o restituido por la DIPNNA, en 2023</v>
      </c>
      <c r="H450" s="89" t="str">
        <f ca="1">IFERROR(__xludf.DUMMYFUNCTION("""COMPUTED_VALUE"""),"NAS Septiembre")</f>
        <v>NAS Septiembre</v>
      </c>
      <c r="I450" s="89" t="str">
        <f ca="1">IFERROR(__xludf.DUMMYFUNCTION("""COMPUTED_VALUE"""),"Septiembre")</f>
        <v>Septiembre</v>
      </c>
      <c r="J450" s="89" t="str">
        <f ca="1">IFERROR(__xludf.DUMMYFUNCTION("""COMPUTED_VALUE"""),"NAS")</f>
        <v>NAS</v>
      </c>
      <c r="K450" s="92">
        <f ca="1">IFERROR(__xludf.DUMMYFUNCTION("""COMPUTED_VALUE"""),47)</f>
        <v>47</v>
      </c>
      <c r="L450" s="89" t="str">
        <f ca="1">IFERROR(__xludf.DUMMYFUNCTION("""COMPUTED_VALUE"""),"TRIMESTRE 3")</f>
        <v>TRIMESTRE 3</v>
      </c>
      <c r="M450" s="89" t="str">
        <f ca="1">IFERROR(__xludf.DUMMYFUNCTION("""COMPUTED_VALUE"""),"NIÑAS")</f>
        <v>NIÑAS</v>
      </c>
    </row>
    <row r="451" spans="1:13">
      <c r="A451" s="89" t="str">
        <f ca="1">IFERROR(__xludf.DUMMYFUNCTION("""COMPUTED_VALUE"""),"4.1.3.0")</f>
        <v>4.1.3.0</v>
      </c>
      <c r="B451" s="89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451" s="89" t="str">
        <f ca="1">IFERROR(__xludf.DUMMYFUNCTION("""COMPUTED_VALUE"""),"4. Programas")</f>
        <v>4. Programas</v>
      </c>
      <c r="D451" s="89" t="str">
        <f ca="1">IFERROR(__xludf.DUMMYFUNCTION("""COMPUTED_VALUE"""),"Guadalajara: Capital de las niñas y los niños")</f>
        <v>Guadalajara: Capital de las niñas y los niños</v>
      </c>
      <c r="E451" s="89" t="str">
        <f ca="1">IFERROR(__xludf.DUMMYFUNCTION("""COMPUTED_VALUE"""),"Custodia, tutela, adopciones y acogimiento familiar")</f>
        <v>Custodia, tutela, adopciones y acogimiento familiar</v>
      </c>
      <c r="F451" s="89" t="str">
        <f ca="1">IFERROR(__xludf.DUMMYFUNCTION("""COMPUTED_VALUE"""),"C3. NNA del municipio de Guadalajara que recibieron servicios para la protección y restitución de sus derechos")</f>
        <v>C3. NNA del municipio de Guadalajara que recibieron servicios para la protección y restitución de sus derechos</v>
      </c>
      <c r="G451" s="89" t="str">
        <f ca="1">IFERROR(__xludf.DUMMYFUNCTION("""COMPUTED_VALUE"""),"Porcentaje de NNA con al menos un derecho protegido y/o restituido por la DIPNNA, en 2023")</f>
        <v>Porcentaje de NNA con al menos un derecho protegido y/o restituido por la DIPNNA, en 2023</v>
      </c>
      <c r="H451" s="89" t="str">
        <f ca="1">IFERROR(__xludf.DUMMYFUNCTION("""COMPUTED_VALUE"""),"NOS Septiembre")</f>
        <v>NOS Septiembre</v>
      </c>
      <c r="I451" s="89" t="str">
        <f ca="1">IFERROR(__xludf.DUMMYFUNCTION("""COMPUTED_VALUE"""),"Septiembre")</f>
        <v>Septiembre</v>
      </c>
      <c r="J451" s="89" t="str">
        <f ca="1">IFERROR(__xludf.DUMMYFUNCTION("""COMPUTED_VALUE"""),"NOS")</f>
        <v>NOS</v>
      </c>
      <c r="K451" s="92">
        <f ca="1">IFERROR(__xludf.DUMMYFUNCTION("""COMPUTED_VALUE"""),50)</f>
        <v>50</v>
      </c>
      <c r="L451" s="89" t="str">
        <f ca="1">IFERROR(__xludf.DUMMYFUNCTION("""COMPUTED_VALUE"""),"TRIMESTRE 3")</f>
        <v>TRIMESTRE 3</v>
      </c>
      <c r="M451" s="89" t="str">
        <f ca="1">IFERROR(__xludf.DUMMYFUNCTION("""COMPUTED_VALUE"""),"NIÑOS")</f>
        <v>NIÑOS</v>
      </c>
    </row>
    <row r="452" spans="1:13">
      <c r="A452" s="89" t="str">
        <f ca="1">IFERROR(__xludf.DUMMYFUNCTION("""COMPUTED_VALUE"""),"4.1.3.0")</f>
        <v>4.1.3.0</v>
      </c>
      <c r="B452" s="89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452" s="89" t="str">
        <f ca="1">IFERROR(__xludf.DUMMYFUNCTION("""COMPUTED_VALUE"""),"4. Programas")</f>
        <v>4. Programas</v>
      </c>
      <c r="D452" s="89" t="str">
        <f ca="1">IFERROR(__xludf.DUMMYFUNCTION("""COMPUTED_VALUE"""),"Guadalajara: Capital de las niñas y los niños")</f>
        <v>Guadalajara: Capital de las niñas y los niños</v>
      </c>
      <c r="E452" s="89" t="str">
        <f ca="1">IFERROR(__xludf.DUMMYFUNCTION("""COMPUTED_VALUE"""),"Custodia, tutela, adopciones y acogimiento familiar")</f>
        <v>Custodia, tutela, adopciones y acogimiento familiar</v>
      </c>
      <c r="F452" s="89" t="str">
        <f ca="1">IFERROR(__xludf.DUMMYFUNCTION("""COMPUTED_VALUE"""),"C3. NNA del municipio de Guadalajara que recibieron servicios para la protección y restitución de sus derechos")</f>
        <v>C3. NNA del municipio de Guadalajara que recibieron servicios para la protección y restitución de sus derechos</v>
      </c>
      <c r="G452" s="89" t="str">
        <f ca="1">IFERROR(__xludf.DUMMYFUNCTION("""COMPUTED_VALUE"""),"Porcentaje de NNA con al menos un derecho protegido y/o restituido por la DIPNNA, en 2023")</f>
        <v>Porcentaje de NNA con al menos un derecho protegido y/o restituido por la DIPNNA, en 2023</v>
      </c>
      <c r="H452" s="89" t="str">
        <f ca="1">IFERROR(__xludf.DUMMYFUNCTION("""COMPUTED_VALUE"""),"AM SEPTIEMBRE")</f>
        <v>AM SEPTIEMBRE</v>
      </c>
      <c r="I452" s="89" t="str">
        <f ca="1">IFERROR(__xludf.DUMMYFUNCTION("""COMPUTED_VALUE"""),"Septiembre")</f>
        <v>Septiembre</v>
      </c>
      <c r="J452" s="89" t="str">
        <f ca="1">IFERROR(__xludf.DUMMYFUNCTION("""COMPUTED_VALUE"""),"AM")</f>
        <v>AM</v>
      </c>
      <c r="K452" s="92">
        <f ca="1">IFERROR(__xludf.DUMMYFUNCTION("""COMPUTED_VALUE"""),26)</f>
        <v>26</v>
      </c>
      <c r="L452" s="89" t="str">
        <f ca="1">IFERROR(__xludf.DUMMYFUNCTION("""COMPUTED_VALUE"""),"TRIMESTRE 3")</f>
        <v>TRIMESTRE 3</v>
      </c>
      <c r="M452" s="89" t="str">
        <f ca="1">IFERROR(__xludf.DUMMYFUNCTION("""COMPUTED_VALUE"""),"ADOLESCENTES MUJERES")</f>
        <v>ADOLESCENTES MUJERES</v>
      </c>
    </row>
    <row r="453" spans="1:13">
      <c r="A453" s="89" t="str">
        <f ca="1">IFERROR(__xludf.DUMMYFUNCTION("""COMPUTED_VALUE"""),"4.1.3.0")</f>
        <v>4.1.3.0</v>
      </c>
      <c r="B453" s="89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453" s="89" t="str">
        <f ca="1">IFERROR(__xludf.DUMMYFUNCTION("""COMPUTED_VALUE"""),"4. Programas")</f>
        <v>4. Programas</v>
      </c>
      <c r="D453" s="89" t="str">
        <f ca="1">IFERROR(__xludf.DUMMYFUNCTION("""COMPUTED_VALUE"""),"Guadalajara: Capital de las niñas y los niños")</f>
        <v>Guadalajara: Capital de las niñas y los niños</v>
      </c>
      <c r="E453" s="89" t="str">
        <f ca="1">IFERROR(__xludf.DUMMYFUNCTION("""COMPUTED_VALUE"""),"Custodia, tutela, adopciones y acogimiento familiar")</f>
        <v>Custodia, tutela, adopciones y acogimiento familiar</v>
      </c>
      <c r="F453" s="89" t="str">
        <f ca="1">IFERROR(__xludf.DUMMYFUNCTION("""COMPUTED_VALUE"""),"C3. NNA del municipio de Guadalajara que recibieron servicios para la protección y restitución de sus derechos")</f>
        <v>C3. NNA del municipio de Guadalajara que recibieron servicios para la protección y restitución de sus derechos</v>
      </c>
      <c r="G453" s="89" t="str">
        <f ca="1">IFERROR(__xludf.DUMMYFUNCTION("""COMPUTED_VALUE"""),"Porcentaje de NNA con al menos un derecho protegido y/o restituido por la DIPNNA, en 2023")</f>
        <v>Porcentaje de NNA con al menos un derecho protegido y/o restituido por la DIPNNA, en 2023</v>
      </c>
      <c r="H453" s="89" t="str">
        <f ca="1">IFERROR(__xludf.DUMMYFUNCTION("""COMPUTED_VALUE"""),"AH SEPTIEMBRE")</f>
        <v>AH SEPTIEMBRE</v>
      </c>
      <c r="I453" s="89" t="str">
        <f ca="1">IFERROR(__xludf.DUMMYFUNCTION("""COMPUTED_VALUE"""),"Septiembre")</f>
        <v>Septiembre</v>
      </c>
      <c r="J453" s="89" t="str">
        <f ca="1">IFERROR(__xludf.DUMMYFUNCTION("""COMPUTED_VALUE"""),"AH")</f>
        <v>AH</v>
      </c>
      <c r="K453" s="92">
        <f ca="1">IFERROR(__xludf.DUMMYFUNCTION("""COMPUTED_VALUE"""),20)</f>
        <v>20</v>
      </c>
      <c r="L453" s="89" t="str">
        <f ca="1">IFERROR(__xludf.DUMMYFUNCTION("""COMPUTED_VALUE"""),"TRIMESTRE 3")</f>
        <v>TRIMESTRE 3</v>
      </c>
      <c r="M453" s="89" t="str">
        <f ca="1">IFERROR(__xludf.DUMMYFUNCTION("""COMPUTED_VALUE"""),"ADOLESCENTES HOMBRES")</f>
        <v>ADOLESCENTES HOMBRES</v>
      </c>
    </row>
    <row r="454" spans="1:13">
      <c r="A454" s="89" t="str">
        <f ca="1">IFERROR(__xludf.DUMMYFUNCTION("""COMPUTED_VALUE"""),"4.1.3.0")</f>
        <v>4.1.3.0</v>
      </c>
      <c r="B454" s="89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454" s="89" t="str">
        <f ca="1">IFERROR(__xludf.DUMMYFUNCTION("""COMPUTED_VALUE"""),"4. Programas")</f>
        <v>4. Programas</v>
      </c>
      <c r="D454" s="89" t="str">
        <f ca="1">IFERROR(__xludf.DUMMYFUNCTION("""COMPUTED_VALUE"""),"Guadalajara: Capital de las niñas y los niños")</f>
        <v>Guadalajara: Capital de las niñas y los niños</v>
      </c>
      <c r="E454" s="89" t="str">
        <f ca="1">IFERROR(__xludf.DUMMYFUNCTION("""COMPUTED_VALUE"""),"Custodia, tutela, adopciones y acogimiento familiar")</f>
        <v>Custodia, tutela, adopciones y acogimiento familiar</v>
      </c>
      <c r="F454" s="89" t="str">
        <f ca="1">IFERROR(__xludf.DUMMYFUNCTION("""COMPUTED_VALUE"""),"C3. NNA del municipio de Guadalajara que recibieron servicios para la protección y restitución de sus derechos")</f>
        <v>C3. NNA del municipio de Guadalajara que recibieron servicios para la protección y restitución de sus derechos</v>
      </c>
      <c r="G454" s="89" t="str">
        <f ca="1">IFERROR(__xludf.DUMMYFUNCTION("""COMPUTED_VALUE"""),"Porcentaje de NNA con al menos un derecho protegido y/o restituido por la DIPNNA, en 2023")</f>
        <v>Porcentaje de NNA con al menos un derecho protegido y/o restituido por la DIPNNA, en 2023</v>
      </c>
      <c r="H454" s="89" t="str">
        <f ca="1">IFERROR(__xludf.DUMMYFUNCTION("""COMPUTED_VALUE"""),"MUJ Septiembre")</f>
        <v>MUJ Septiembre</v>
      </c>
      <c r="I454" s="89" t="str">
        <f ca="1">IFERROR(__xludf.DUMMYFUNCTION("""COMPUTED_VALUE"""),"Septiembre")</f>
        <v>Septiembre</v>
      </c>
      <c r="J454" s="89" t="str">
        <f ca="1">IFERROR(__xludf.DUMMYFUNCTION("""COMPUTED_VALUE"""),"MUJ")</f>
        <v>MUJ</v>
      </c>
      <c r="K454" s="92"/>
      <c r="L454" s="89" t="str">
        <f ca="1">IFERROR(__xludf.DUMMYFUNCTION("""COMPUTED_VALUE"""),"TRIMESTRE 3")</f>
        <v>TRIMESTRE 3</v>
      </c>
      <c r="M454" s="89" t="str">
        <f ca="1">IFERROR(__xludf.DUMMYFUNCTION("""COMPUTED_VALUE"""),"MUJERES ADULTAS")</f>
        <v>MUJERES ADULTAS</v>
      </c>
    </row>
    <row r="455" spans="1:13">
      <c r="A455" s="89" t="str">
        <f ca="1">IFERROR(__xludf.DUMMYFUNCTION("""COMPUTED_VALUE"""),"4.1.3.0")</f>
        <v>4.1.3.0</v>
      </c>
      <c r="B455" s="89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455" s="89" t="str">
        <f ca="1">IFERROR(__xludf.DUMMYFUNCTION("""COMPUTED_VALUE"""),"4. Programas")</f>
        <v>4. Programas</v>
      </c>
      <c r="D455" s="89" t="str">
        <f ca="1">IFERROR(__xludf.DUMMYFUNCTION("""COMPUTED_VALUE"""),"Guadalajara: Capital de las niñas y los niños")</f>
        <v>Guadalajara: Capital de las niñas y los niños</v>
      </c>
      <c r="E455" s="89" t="str">
        <f ca="1">IFERROR(__xludf.DUMMYFUNCTION("""COMPUTED_VALUE"""),"Custodia, tutela, adopciones y acogimiento familiar")</f>
        <v>Custodia, tutela, adopciones y acogimiento familiar</v>
      </c>
      <c r="F455" s="89" t="str">
        <f ca="1">IFERROR(__xludf.DUMMYFUNCTION("""COMPUTED_VALUE"""),"C3. NNA del municipio de Guadalajara que recibieron servicios para la protección y restitución de sus derechos")</f>
        <v>C3. NNA del municipio de Guadalajara que recibieron servicios para la protección y restitución de sus derechos</v>
      </c>
      <c r="G455" s="89" t="str">
        <f ca="1">IFERROR(__xludf.DUMMYFUNCTION("""COMPUTED_VALUE"""),"Porcentaje de NNA con al menos un derecho protegido y/o restituido por la DIPNNA, en 2023")</f>
        <v>Porcentaje de NNA con al menos un derecho protegido y/o restituido por la DIPNNA, en 2023</v>
      </c>
      <c r="H455" s="89" t="str">
        <f ca="1">IFERROR(__xludf.DUMMYFUNCTION("""COMPUTED_VALUE"""),"HOM Septiembre")</f>
        <v>HOM Septiembre</v>
      </c>
      <c r="I455" s="89" t="str">
        <f ca="1">IFERROR(__xludf.DUMMYFUNCTION("""COMPUTED_VALUE"""),"Septiembre")</f>
        <v>Septiembre</v>
      </c>
      <c r="J455" s="89" t="str">
        <f ca="1">IFERROR(__xludf.DUMMYFUNCTION("""COMPUTED_VALUE"""),"HOM")</f>
        <v>HOM</v>
      </c>
      <c r="K455" s="92"/>
      <c r="L455" s="89" t="str">
        <f ca="1">IFERROR(__xludf.DUMMYFUNCTION("""COMPUTED_VALUE"""),"TRIMESTRE 3")</f>
        <v>TRIMESTRE 3</v>
      </c>
      <c r="M455" s="89" t="str">
        <f ca="1">IFERROR(__xludf.DUMMYFUNCTION("""COMPUTED_VALUE"""),"HOMBRES ADULTOS")</f>
        <v>HOMBRES ADULTOS</v>
      </c>
    </row>
    <row r="456" spans="1:13">
      <c r="A456" s="89" t="str">
        <f ca="1">IFERROR(__xludf.DUMMYFUNCTION("""COMPUTED_VALUE"""),"4.1.3.0")</f>
        <v>4.1.3.0</v>
      </c>
      <c r="B456" s="89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456" s="89" t="str">
        <f ca="1">IFERROR(__xludf.DUMMYFUNCTION("""COMPUTED_VALUE"""),"4. Programas")</f>
        <v>4. Programas</v>
      </c>
      <c r="D456" s="89" t="str">
        <f ca="1">IFERROR(__xludf.DUMMYFUNCTION("""COMPUTED_VALUE"""),"Guadalajara: Capital de las niñas y los niños")</f>
        <v>Guadalajara: Capital de las niñas y los niños</v>
      </c>
      <c r="E456" s="89" t="str">
        <f ca="1">IFERROR(__xludf.DUMMYFUNCTION("""COMPUTED_VALUE"""),"Custodia, tutela, adopciones y acogimiento familiar")</f>
        <v>Custodia, tutela, adopciones y acogimiento familiar</v>
      </c>
      <c r="F456" s="89" t="str">
        <f ca="1">IFERROR(__xludf.DUMMYFUNCTION("""COMPUTED_VALUE"""),"C3. NNA del municipio de Guadalajara que recibieron servicios para la protección y restitución de sus derechos")</f>
        <v>C3. NNA del municipio de Guadalajara que recibieron servicios para la protección y restitución de sus derechos</v>
      </c>
      <c r="G456" s="89" t="str">
        <f ca="1">IFERROR(__xludf.DUMMYFUNCTION("""COMPUTED_VALUE"""),"Porcentaje de NNA con al menos un derecho protegido y/o restituido por la DIPNNA, en 2023")</f>
        <v>Porcentaje de NNA con al menos un derecho protegido y/o restituido por la DIPNNA, en 2023</v>
      </c>
      <c r="H456" s="89" t="str">
        <f ca="1">IFERROR(__xludf.DUMMYFUNCTION("""COMPUTED_VALUE"""),"AMM Septiembre")</f>
        <v>AMM Septiembre</v>
      </c>
      <c r="I456" s="89" t="str">
        <f ca="1">IFERROR(__xludf.DUMMYFUNCTION("""COMPUTED_VALUE"""),"Septiembre")</f>
        <v>Septiembre</v>
      </c>
      <c r="J456" s="89" t="str">
        <f ca="1">IFERROR(__xludf.DUMMYFUNCTION("""COMPUTED_VALUE"""),"AMM")</f>
        <v>AMM</v>
      </c>
      <c r="K456" s="92"/>
      <c r="L456" s="89" t="str">
        <f ca="1">IFERROR(__xludf.DUMMYFUNCTION("""COMPUTED_VALUE"""),"TRIMESTRE 3")</f>
        <v>TRIMESTRE 3</v>
      </c>
      <c r="M456" s="89" t="str">
        <f ca="1">IFERROR(__xludf.DUMMYFUNCTION("""COMPUTED_VALUE"""),"ADULTA MAYOR MUJER")</f>
        <v>ADULTA MAYOR MUJER</v>
      </c>
    </row>
    <row r="457" spans="1:13">
      <c r="A457" s="89" t="str">
        <f ca="1">IFERROR(__xludf.DUMMYFUNCTION("""COMPUTED_VALUE"""),"4.1.3.0")</f>
        <v>4.1.3.0</v>
      </c>
      <c r="B457" s="89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457" s="89" t="str">
        <f ca="1">IFERROR(__xludf.DUMMYFUNCTION("""COMPUTED_VALUE"""),"4. Programas")</f>
        <v>4. Programas</v>
      </c>
      <c r="D457" s="89" t="str">
        <f ca="1">IFERROR(__xludf.DUMMYFUNCTION("""COMPUTED_VALUE"""),"Guadalajara: Capital de las niñas y los niños")</f>
        <v>Guadalajara: Capital de las niñas y los niños</v>
      </c>
      <c r="E457" s="89" t="str">
        <f ca="1">IFERROR(__xludf.DUMMYFUNCTION("""COMPUTED_VALUE"""),"Custodia, tutela, adopciones y acogimiento familiar")</f>
        <v>Custodia, tutela, adopciones y acogimiento familiar</v>
      </c>
      <c r="F457" s="89" t="str">
        <f ca="1">IFERROR(__xludf.DUMMYFUNCTION("""COMPUTED_VALUE"""),"C3. NNA del municipio de Guadalajara que recibieron servicios para la protección y restitución de sus derechos")</f>
        <v>C3. NNA del municipio de Guadalajara que recibieron servicios para la protección y restitución de sus derechos</v>
      </c>
      <c r="G457" s="89" t="str">
        <f ca="1">IFERROR(__xludf.DUMMYFUNCTION("""COMPUTED_VALUE"""),"Porcentaje de NNA con al menos un derecho protegido y/o restituido por la DIPNNA, en 2023")</f>
        <v>Porcentaje de NNA con al menos un derecho protegido y/o restituido por la DIPNNA, en 2023</v>
      </c>
      <c r="H457" s="89" t="str">
        <f ca="1">IFERROR(__xludf.DUMMYFUNCTION("""COMPUTED_VALUE"""),"AMH Septiembre")</f>
        <v>AMH Septiembre</v>
      </c>
      <c r="I457" s="89" t="str">
        <f ca="1">IFERROR(__xludf.DUMMYFUNCTION("""COMPUTED_VALUE"""),"Septiembre")</f>
        <v>Septiembre</v>
      </c>
      <c r="J457" s="89" t="str">
        <f ca="1">IFERROR(__xludf.DUMMYFUNCTION("""COMPUTED_VALUE"""),"AMH")</f>
        <v>AMH</v>
      </c>
      <c r="K457" s="92"/>
      <c r="L457" s="89" t="str">
        <f ca="1">IFERROR(__xludf.DUMMYFUNCTION("""COMPUTED_VALUE"""),"TRIMESTRE 3")</f>
        <v>TRIMESTRE 3</v>
      </c>
      <c r="M457" s="89" t="str">
        <f ca="1">IFERROR(__xludf.DUMMYFUNCTION("""COMPUTED_VALUE"""),"ADULTO MAYOR HOMBRE")</f>
        <v>ADULTO MAYOR HOMBRE</v>
      </c>
    </row>
    <row r="458" spans="1:13">
      <c r="A458" s="89" t="str">
        <f ca="1">IFERROR(__xludf.DUMMYFUNCTION("""COMPUTED_VALUE"""),"4.1.3.1")</f>
        <v>4.1.3.1</v>
      </c>
      <c r="B458" s="89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458" s="89" t="str">
        <f ca="1">IFERROR(__xludf.DUMMYFUNCTION("""COMPUTED_VALUE"""),"4. Programas")</f>
        <v>4. Programas</v>
      </c>
      <c r="D458" s="89" t="str">
        <f ca="1">IFERROR(__xludf.DUMMYFUNCTION("""COMPUTED_VALUE"""),"Guadalajara: Capital de las niñas y los niños")</f>
        <v>Guadalajara: Capital de las niñas y los niños</v>
      </c>
      <c r="E458" s="89" t="str">
        <f ca="1">IFERROR(__xludf.DUMMYFUNCTION("""COMPUTED_VALUE"""),"Custodia, tutela, adopciones y acogimiento familiar")</f>
        <v>Custodia, tutela, adopciones y acogimiento familiar</v>
      </c>
      <c r="F458" s="89" t="str">
        <f ca="1">IFERROR(__xludf.DUMMYFUNCTION("""COMPUTED_VALUE"""),"A1C3, Nuevas medidas de protección dictadas atendidas")</f>
        <v>A1C3, Nuevas medidas de protección dictadas atendidas</v>
      </c>
      <c r="G458" s="89" t="str">
        <f ca="1">IFERROR(__xludf.DUMMYFUNCTION("""COMPUTED_VALUE"""),"Porcentaje de NNA a los que se les dio seguimientos en las nuevas medidas de protección dictadas en 2023")</f>
        <v>Porcentaje de NNA a los que se les dio seguimientos en las nuevas medidas de protección dictadas en 2023</v>
      </c>
      <c r="H458" s="89" t="str">
        <f ca="1">IFERROR(__xludf.DUMMYFUNCTION("""COMPUTED_VALUE"""),"NAS Septiembre")</f>
        <v>NAS Septiembre</v>
      </c>
      <c r="I458" s="89" t="str">
        <f ca="1">IFERROR(__xludf.DUMMYFUNCTION("""COMPUTED_VALUE"""),"Septiembre")</f>
        <v>Septiembre</v>
      </c>
      <c r="J458" s="89" t="str">
        <f ca="1">IFERROR(__xludf.DUMMYFUNCTION("""COMPUTED_VALUE"""),"NAS")</f>
        <v>NAS</v>
      </c>
      <c r="K458" s="92">
        <f ca="1">IFERROR(__xludf.DUMMYFUNCTION("""COMPUTED_VALUE"""),8)</f>
        <v>8</v>
      </c>
      <c r="L458" s="89" t="str">
        <f ca="1">IFERROR(__xludf.DUMMYFUNCTION("""COMPUTED_VALUE"""),"TRIMESTRE 3")</f>
        <v>TRIMESTRE 3</v>
      </c>
      <c r="M458" s="89" t="str">
        <f ca="1">IFERROR(__xludf.DUMMYFUNCTION("""COMPUTED_VALUE"""),"NIÑAS")</f>
        <v>NIÑAS</v>
      </c>
    </row>
    <row r="459" spans="1:13">
      <c r="A459" s="89" t="str">
        <f ca="1">IFERROR(__xludf.DUMMYFUNCTION("""COMPUTED_VALUE"""),"4.1.3.1")</f>
        <v>4.1.3.1</v>
      </c>
      <c r="B459" s="89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459" s="89" t="str">
        <f ca="1">IFERROR(__xludf.DUMMYFUNCTION("""COMPUTED_VALUE"""),"4. Programas")</f>
        <v>4. Programas</v>
      </c>
      <c r="D459" s="89" t="str">
        <f ca="1">IFERROR(__xludf.DUMMYFUNCTION("""COMPUTED_VALUE"""),"Guadalajara: Capital de las niñas y los niños")</f>
        <v>Guadalajara: Capital de las niñas y los niños</v>
      </c>
      <c r="E459" s="89" t="str">
        <f ca="1">IFERROR(__xludf.DUMMYFUNCTION("""COMPUTED_VALUE"""),"Custodia, tutela, adopciones y acogimiento familiar")</f>
        <v>Custodia, tutela, adopciones y acogimiento familiar</v>
      </c>
      <c r="F459" s="89" t="str">
        <f ca="1">IFERROR(__xludf.DUMMYFUNCTION("""COMPUTED_VALUE"""),"A1C3, Nuevas medidas de protección dictadas atendidas")</f>
        <v>A1C3, Nuevas medidas de protección dictadas atendidas</v>
      </c>
      <c r="G459" s="89" t="str">
        <f ca="1">IFERROR(__xludf.DUMMYFUNCTION("""COMPUTED_VALUE"""),"Porcentaje de NNA a los que se les dio seguimientos en las nuevas medidas de protección dictadas en 2023")</f>
        <v>Porcentaje de NNA a los que se les dio seguimientos en las nuevas medidas de protección dictadas en 2023</v>
      </c>
      <c r="H459" s="89" t="str">
        <f ca="1">IFERROR(__xludf.DUMMYFUNCTION("""COMPUTED_VALUE"""),"NOS Septiembre")</f>
        <v>NOS Septiembre</v>
      </c>
      <c r="I459" s="89" t="str">
        <f ca="1">IFERROR(__xludf.DUMMYFUNCTION("""COMPUTED_VALUE"""),"Septiembre")</f>
        <v>Septiembre</v>
      </c>
      <c r="J459" s="89" t="str">
        <f ca="1">IFERROR(__xludf.DUMMYFUNCTION("""COMPUTED_VALUE"""),"NOS")</f>
        <v>NOS</v>
      </c>
      <c r="K459" s="92">
        <f ca="1">IFERROR(__xludf.DUMMYFUNCTION("""COMPUTED_VALUE"""),6)</f>
        <v>6</v>
      </c>
      <c r="L459" s="89" t="str">
        <f ca="1">IFERROR(__xludf.DUMMYFUNCTION("""COMPUTED_VALUE"""),"TRIMESTRE 3")</f>
        <v>TRIMESTRE 3</v>
      </c>
      <c r="M459" s="89" t="str">
        <f ca="1">IFERROR(__xludf.DUMMYFUNCTION("""COMPUTED_VALUE"""),"NIÑOS")</f>
        <v>NIÑOS</v>
      </c>
    </row>
    <row r="460" spans="1:13">
      <c r="A460" s="89" t="str">
        <f ca="1">IFERROR(__xludf.DUMMYFUNCTION("""COMPUTED_VALUE"""),"4.1.3.1")</f>
        <v>4.1.3.1</v>
      </c>
      <c r="B460" s="89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460" s="89" t="str">
        <f ca="1">IFERROR(__xludf.DUMMYFUNCTION("""COMPUTED_VALUE"""),"4. Programas")</f>
        <v>4. Programas</v>
      </c>
      <c r="D460" s="89" t="str">
        <f ca="1">IFERROR(__xludf.DUMMYFUNCTION("""COMPUTED_VALUE"""),"Guadalajara: Capital de las niñas y los niños")</f>
        <v>Guadalajara: Capital de las niñas y los niños</v>
      </c>
      <c r="E460" s="89" t="str">
        <f ca="1">IFERROR(__xludf.DUMMYFUNCTION("""COMPUTED_VALUE"""),"Custodia, tutela, adopciones y acogimiento familiar")</f>
        <v>Custodia, tutela, adopciones y acogimiento familiar</v>
      </c>
      <c r="F460" s="89" t="str">
        <f ca="1">IFERROR(__xludf.DUMMYFUNCTION("""COMPUTED_VALUE"""),"A1C3, Nuevas medidas de protección dictadas atendidas")</f>
        <v>A1C3, Nuevas medidas de protección dictadas atendidas</v>
      </c>
      <c r="G460" s="89" t="str">
        <f ca="1">IFERROR(__xludf.DUMMYFUNCTION("""COMPUTED_VALUE"""),"Porcentaje de NNA a los que se les dio seguimientos en las nuevas medidas de protección dictadas en 2023")</f>
        <v>Porcentaje de NNA a los que se les dio seguimientos en las nuevas medidas de protección dictadas en 2023</v>
      </c>
      <c r="H460" s="89" t="str">
        <f ca="1">IFERROR(__xludf.DUMMYFUNCTION("""COMPUTED_VALUE"""),"AM SEPTIEMBRE")</f>
        <v>AM SEPTIEMBRE</v>
      </c>
      <c r="I460" s="89" t="str">
        <f ca="1">IFERROR(__xludf.DUMMYFUNCTION("""COMPUTED_VALUE"""),"Septiembre")</f>
        <v>Septiembre</v>
      </c>
      <c r="J460" s="89" t="str">
        <f ca="1">IFERROR(__xludf.DUMMYFUNCTION("""COMPUTED_VALUE"""),"AM")</f>
        <v>AM</v>
      </c>
      <c r="K460" s="92"/>
      <c r="L460" s="89" t="str">
        <f ca="1">IFERROR(__xludf.DUMMYFUNCTION("""COMPUTED_VALUE"""),"TRIMESTRE 3")</f>
        <v>TRIMESTRE 3</v>
      </c>
      <c r="M460" s="89" t="str">
        <f ca="1">IFERROR(__xludf.DUMMYFUNCTION("""COMPUTED_VALUE"""),"ADOLESCENTES MUJERES")</f>
        <v>ADOLESCENTES MUJERES</v>
      </c>
    </row>
    <row r="461" spans="1:13">
      <c r="A461" s="89" t="str">
        <f ca="1">IFERROR(__xludf.DUMMYFUNCTION("""COMPUTED_VALUE"""),"4.1.3.1")</f>
        <v>4.1.3.1</v>
      </c>
      <c r="B461" s="89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461" s="89" t="str">
        <f ca="1">IFERROR(__xludf.DUMMYFUNCTION("""COMPUTED_VALUE"""),"4. Programas")</f>
        <v>4. Programas</v>
      </c>
      <c r="D461" s="89" t="str">
        <f ca="1">IFERROR(__xludf.DUMMYFUNCTION("""COMPUTED_VALUE"""),"Guadalajara: Capital de las niñas y los niños")</f>
        <v>Guadalajara: Capital de las niñas y los niños</v>
      </c>
      <c r="E461" s="89" t="str">
        <f ca="1">IFERROR(__xludf.DUMMYFUNCTION("""COMPUTED_VALUE"""),"Custodia, tutela, adopciones y acogimiento familiar")</f>
        <v>Custodia, tutela, adopciones y acogimiento familiar</v>
      </c>
      <c r="F461" s="89" t="str">
        <f ca="1">IFERROR(__xludf.DUMMYFUNCTION("""COMPUTED_VALUE"""),"A1C3, Nuevas medidas de protección dictadas atendidas")</f>
        <v>A1C3, Nuevas medidas de protección dictadas atendidas</v>
      </c>
      <c r="G461" s="89" t="str">
        <f ca="1">IFERROR(__xludf.DUMMYFUNCTION("""COMPUTED_VALUE"""),"Porcentaje de NNA a los que se les dio seguimientos en las nuevas medidas de protección dictadas en 2023")</f>
        <v>Porcentaje de NNA a los que se les dio seguimientos en las nuevas medidas de protección dictadas en 2023</v>
      </c>
      <c r="H461" s="89" t="str">
        <f ca="1">IFERROR(__xludf.DUMMYFUNCTION("""COMPUTED_VALUE"""),"AH SEPTIEMBRE")</f>
        <v>AH SEPTIEMBRE</v>
      </c>
      <c r="I461" s="89" t="str">
        <f ca="1">IFERROR(__xludf.DUMMYFUNCTION("""COMPUTED_VALUE"""),"Septiembre")</f>
        <v>Septiembre</v>
      </c>
      <c r="J461" s="89" t="str">
        <f ca="1">IFERROR(__xludf.DUMMYFUNCTION("""COMPUTED_VALUE"""),"AH")</f>
        <v>AH</v>
      </c>
      <c r="K461" s="92"/>
      <c r="L461" s="89" t="str">
        <f ca="1">IFERROR(__xludf.DUMMYFUNCTION("""COMPUTED_VALUE"""),"TRIMESTRE 3")</f>
        <v>TRIMESTRE 3</v>
      </c>
      <c r="M461" s="89" t="str">
        <f ca="1">IFERROR(__xludf.DUMMYFUNCTION("""COMPUTED_VALUE"""),"ADOLESCENTES HOMBRES")</f>
        <v>ADOLESCENTES HOMBRES</v>
      </c>
    </row>
    <row r="462" spans="1:13">
      <c r="A462" s="89" t="str">
        <f ca="1">IFERROR(__xludf.DUMMYFUNCTION("""COMPUTED_VALUE"""),"4.1.3.1")</f>
        <v>4.1.3.1</v>
      </c>
      <c r="B462" s="89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462" s="89" t="str">
        <f ca="1">IFERROR(__xludf.DUMMYFUNCTION("""COMPUTED_VALUE"""),"4. Programas")</f>
        <v>4. Programas</v>
      </c>
      <c r="D462" s="89" t="str">
        <f ca="1">IFERROR(__xludf.DUMMYFUNCTION("""COMPUTED_VALUE"""),"Guadalajara: Capital de las niñas y los niños")</f>
        <v>Guadalajara: Capital de las niñas y los niños</v>
      </c>
      <c r="E462" s="89" t="str">
        <f ca="1">IFERROR(__xludf.DUMMYFUNCTION("""COMPUTED_VALUE"""),"Custodia, tutela, adopciones y acogimiento familiar")</f>
        <v>Custodia, tutela, adopciones y acogimiento familiar</v>
      </c>
      <c r="F462" s="89" t="str">
        <f ca="1">IFERROR(__xludf.DUMMYFUNCTION("""COMPUTED_VALUE"""),"A1C3, Nuevas medidas de protección dictadas atendidas")</f>
        <v>A1C3, Nuevas medidas de protección dictadas atendidas</v>
      </c>
      <c r="G462" s="89" t="str">
        <f ca="1">IFERROR(__xludf.DUMMYFUNCTION("""COMPUTED_VALUE"""),"Porcentaje de NNA a los que se les dio seguimientos en las nuevas medidas de protección dictadas en 2023")</f>
        <v>Porcentaje de NNA a los que se les dio seguimientos en las nuevas medidas de protección dictadas en 2023</v>
      </c>
      <c r="H462" s="89" t="str">
        <f ca="1">IFERROR(__xludf.DUMMYFUNCTION("""COMPUTED_VALUE"""),"MUJ Septiembre")</f>
        <v>MUJ Septiembre</v>
      </c>
      <c r="I462" s="89" t="str">
        <f ca="1">IFERROR(__xludf.DUMMYFUNCTION("""COMPUTED_VALUE"""),"Septiembre")</f>
        <v>Septiembre</v>
      </c>
      <c r="J462" s="89" t="str">
        <f ca="1">IFERROR(__xludf.DUMMYFUNCTION("""COMPUTED_VALUE"""),"MUJ")</f>
        <v>MUJ</v>
      </c>
      <c r="K462" s="92"/>
      <c r="L462" s="89" t="str">
        <f ca="1">IFERROR(__xludf.DUMMYFUNCTION("""COMPUTED_VALUE"""),"TRIMESTRE 3")</f>
        <v>TRIMESTRE 3</v>
      </c>
      <c r="M462" s="89" t="str">
        <f ca="1">IFERROR(__xludf.DUMMYFUNCTION("""COMPUTED_VALUE"""),"MUJERES ADULTAS")</f>
        <v>MUJERES ADULTAS</v>
      </c>
    </row>
    <row r="463" spans="1:13">
      <c r="A463" s="89" t="str">
        <f ca="1">IFERROR(__xludf.DUMMYFUNCTION("""COMPUTED_VALUE"""),"4.1.3.1")</f>
        <v>4.1.3.1</v>
      </c>
      <c r="B463" s="89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463" s="89" t="str">
        <f ca="1">IFERROR(__xludf.DUMMYFUNCTION("""COMPUTED_VALUE"""),"4. Programas")</f>
        <v>4. Programas</v>
      </c>
      <c r="D463" s="89" t="str">
        <f ca="1">IFERROR(__xludf.DUMMYFUNCTION("""COMPUTED_VALUE"""),"Guadalajara: Capital de las niñas y los niños")</f>
        <v>Guadalajara: Capital de las niñas y los niños</v>
      </c>
      <c r="E463" s="89" t="str">
        <f ca="1">IFERROR(__xludf.DUMMYFUNCTION("""COMPUTED_VALUE"""),"Custodia, tutela, adopciones y acogimiento familiar")</f>
        <v>Custodia, tutela, adopciones y acogimiento familiar</v>
      </c>
      <c r="F463" s="89" t="str">
        <f ca="1">IFERROR(__xludf.DUMMYFUNCTION("""COMPUTED_VALUE"""),"A1C3, Nuevas medidas de protección dictadas atendidas")</f>
        <v>A1C3, Nuevas medidas de protección dictadas atendidas</v>
      </c>
      <c r="G463" s="89" t="str">
        <f ca="1">IFERROR(__xludf.DUMMYFUNCTION("""COMPUTED_VALUE"""),"Porcentaje de NNA a los que se les dio seguimientos en las nuevas medidas de protección dictadas en 2023")</f>
        <v>Porcentaje de NNA a los que se les dio seguimientos en las nuevas medidas de protección dictadas en 2023</v>
      </c>
      <c r="H463" s="89" t="str">
        <f ca="1">IFERROR(__xludf.DUMMYFUNCTION("""COMPUTED_VALUE"""),"HOM Septiembre")</f>
        <v>HOM Septiembre</v>
      </c>
      <c r="I463" s="89" t="str">
        <f ca="1">IFERROR(__xludf.DUMMYFUNCTION("""COMPUTED_VALUE"""),"Septiembre")</f>
        <v>Septiembre</v>
      </c>
      <c r="J463" s="89" t="str">
        <f ca="1">IFERROR(__xludf.DUMMYFUNCTION("""COMPUTED_VALUE"""),"HOM")</f>
        <v>HOM</v>
      </c>
      <c r="K463" s="92"/>
      <c r="L463" s="89" t="str">
        <f ca="1">IFERROR(__xludf.DUMMYFUNCTION("""COMPUTED_VALUE"""),"TRIMESTRE 3")</f>
        <v>TRIMESTRE 3</v>
      </c>
      <c r="M463" s="89" t="str">
        <f ca="1">IFERROR(__xludf.DUMMYFUNCTION("""COMPUTED_VALUE"""),"HOMBRES ADULTOS")</f>
        <v>HOMBRES ADULTOS</v>
      </c>
    </row>
    <row r="464" spans="1:13">
      <c r="A464" s="89" t="str">
        <f ca="1">IFERROR(__xludf.DUMMYFUNCTION("""COMPUTED_VALUE"""),"4.1.3.1")</f>
        <v>4.1.3.1</v>
      </c>
      <c r="B464" s="89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464" s="89" t="str">
        <f ca="1">IFERROR(__xludf.DUMMYFUNCTION("""COMPUTED_VALUE"""),"4. Programas")</f>
        <v>4. Programas</v>
      </c>
      <c r="D464" s="89" t="str">
        <f ca="1">IFERROR(__xludf.DUMMYFUNCTION("""COMPUTED_VALUE"""),"Guadalajara: Capital de las niñas y los niños")</f>
        <v>Guadalajara: Capital de las niñas y los niños</v>
      </c>
      <c r="E464" s="89" t="str">
        <f ca="1">IFERROR(__xludf.DUMMYFUNCTION("""COMPUTED_VALUE"""),"Custodia, tutela, adopciones y acogimiento familiar")</f>
        <v>Custodia, tutela, adopciones y acogimiento familiar</v>
      </c>
      <c r="F464" s="89" t="str">
        <f ca="1">IFERROR(__xludf.DUMMYFUNCTION("""COMPUTED_VALUE"""),"A1C3, Nuevas medidas de protección dictadas atendidas")</f>
        <v>A1C3, Nuevas medidas de protección dictadas atendidas</v>
      </c>
      <c r="G464" s="89" t="str">
        <f ca="1">IFERROR(__xludf.DUMMYFUNCTION("""COMPUTED_VALUE"""),"Porcentaje de NNA a los que se les dio seguimientos en las nuevas medidas de protección dictadas en 2023")</f>
        <v>Porcentaje de NNA a los que se les dio seguimientos en las nuevas medidas de protección dictadas en 2023</v>
      </c>
      <c r="H464" s="89" t="str">
        <f ca="1">IFERROR(__xludf.DUMMYFUNCTION("""COMPUTED_VALUE"""),"AMM Septiembre")</f>
        <v>AMM Septiembre</v>
      </c>
      <c r="I464" s="89" t="str">
        <f ca="1">IFERROR(__xludf.DUMMYFUNCTION("""COMPUTED_VALUE"""),"Septiembre")</f>
        <v>Septiembre</v>
      </c>
      <c r="J464" s="89" t="str">
        <f ca="1">IFERROR(__xludf.DUMMYFUNCTION("""COMPUTED_VALUE"""),"AMM")</f>
        <v>AMM</v>
      </c>
      <c r="K464" s="92"/>
      <c r="L464" s="89" t="str">
        <f ca="1">IFERROR(__xludf.DUMMYFUNCTION("""COMPUTED_VALUE"""),"TRIMESTRE 3")</f>
        <v>TRIMESTRE 3</v>
      </c>
      <c r="M464" s="89" t="str">
        <f ca="1">IFERROR(__xludf.DUMMYFUNCTION("""COMPUTED_VALUE"""),"ADULTA MAYOR MUJER")</f>
        <v>ADULTA MAYOR MUJER</v>
      </c>
    </row>
    <row r="465" spans="1:13">
      <c r="A465" s="89" t="str">
        <f ca="1">IFERROR(__xludf.DUMMYFUNCTION("""COMPUTED_VALUE"""),"4.1.3.1")</f>
        <v>4.1.3.1</v>
      </c>
      <c r="B465" s="89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465" s="89" t="str">
        <f ca="1">IFERROR(__xludf.DUMMYFUNCTION("""COMPUTED_VALUE"""),"4. Programas")</f>
        <v>4. Programas</v>
      </c>
      <c r="D465" s="89" t="str">
        <f ca="1">IFERROR(__xludf.DUMMYFUNCTION("""COMPUTED_VALUE"""),"Guadalajara: Capital de las niñas y los niños")</f>
        <v>Guadalajara: Capital de las niñas y los niños</v>
      </c>
      <c r="E465" s="89" t="str">
        <f ca="1">IFERROR(__xludf.DUMMYFUNCTION("""COMPUTED_VALUE"""),"Custodia, tutela, adopciones y acogimiento familiar")</f>
        <v>Custodia, tutela, adopciones y acogimiento familiar</v>
      </c>
      <c r="F465" s="89" t="str">
        <f ca="1">IFERROR(__xludf.DUMMYFUNCTION("""COMPUTED_VALUE"""),"A1C3, Nuevas medidas de protección dictadas atendidas")</f>
        <v>A1C3, Nuevas medidas de protección dictadas atendidas</v>
      </c>
      <c r="G465" s="89" t="str">
        <f ca="1">IFERROR(__xludf.DUMMYFUNCTION("""COMPUTED_VALUE"""),"Porcentaje de NNA a los que se les dio seguimientos en las nuevas medidas de protección dictadas en 2023")</f>
        <v>Porcentaje de NNA a los que se les dio seguimientos en las nuevas medidas de protección dictadas en 2023</v>
      </c>
      <c r="H465" s="89" t="str">
        <f ca="1">IFERROR(__xludf.DUMMYFUNCTION("""COMPUTED_VALUE"""),"AMH Septiembre")</f>
        <v>AMH Septiembre</v>
      </c>
      <c r="I465" s="89" t="str">
        <f ca="1">IFERROR(__xludf.DUMMYFUNCTION("""COMPUTED_VALUE"""),"Septiembre")</f>
        <v>Septiembre</v>
      </c>
      <c r="J465" s="89" t="str">
        <f ca="1">IFERROR(__xludf.DUMMYFUNCTION("""COMPUTED_VALUE"""),"AMH")</f>
        <v>AMH</v>
      </c>
      <c r="K465" s="92"/>
      <c r="L465" s="89" t="str">
        <f ca="1">IFERROR(__xludf.DUMMYFUNCTION("""COMPUTED_VALUE"""),"TRIMESTRE 3")</f>
        <v>TRIMESTRE 3</v>
      </c>
      <c r="M465" s="89" t="str">
        <f ca="1">IFERROR(__xludf.DUMMYFUNCTION("""COMPUTED_VALUE"""),"ADULTO MAYOR HOMBRE")</f>
        <v>ADULTO MAYOR HOMBRE</v>
      </c>
    </row>
    <row r="466" spans="1:13">
      <c r="A466" s="89" t="str">
        <f ca="1">IFERROR(__xludf.DUMMYFUNCTION("""COMPUTED_VALUE"""),"4.1.3.2")</f>
        <v>4.1.3.2</v>
      </c>
      <c r="B466" s="89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466" s="89" t="str">
        <f ca="1">IFERROR(__xludf.DUMMYFUNCTION("""COMPUTED_VALUE"""),"4. Programas")</f>
        <v>4. Programas</v>
      </c>
      <c r="D466" s="89" t="str">
        <f ca="1">IFERROR(__xludf.DUMMYFUNCTION("""COMPUTED_VALUE"""),"Guadalajara: Capital de las niñas y los niños")</f>
        <v>Guadalajara: Capital de las niñas y los niños</v>
      </c>
      <c r="E466" s="89" t="str">
        <f ca="1">IFERROR(__xludf.DUMMYFUNCTION("""COMPUTED_VALUE"""),"Custodia, tutela, adopciones y acogimiento familiar")</f>
        <v>Custodia, tutela, adopciones y acogimiento familiar</v>
      </c>
      <c r="F466" s="89" t="str">
        <f ca="1">IFERROR(__xludf.DUMMYFUNCTION("""COMPUTED_VALUE"""),"A2C3. Medidas de protección dictadas que se les dio seguimiento")</f>
        <v>A2C3. Medidas de protección dictadas que se les dio seguimiento</v>
      </c>
      <c r="G466" s="89" t="str">
        <f ca="1">IFERROR(__xludf.DUMMYFUNCTION("""COMPUTED_VALUE"""),"Porcentaje de NNA a los que se les dio seguimientos en las medidas de protección dictadas, en 2023")</f>
        <v>Porcentaje de NNA a los que se les dio seguimientos en las medidas de protección dictadas, en 2023</v>
      </c>
      <c r="H466" s="89" t="str">
        <f ca="1">IFERROR(__xludf.DUMMYFUNCTION("""COMPUTED_VALUE"""),"NAS Septiembre")</f>
        <v>NAS Septiembre</v>
      </c>
      <c r="I466" s="89" t="str">
        <f ca="1">IFERROR(__xludf.DUMMYFUNCTION("""COMPUTED_VALUE"""),"Septiembre")</f>
        <v>Septiembre</v>
      </c>
      <c r="J466" s="89" t="str">
        <f ca="1">IFERROR(__xludf.DUMMYFUNCTION("""COMPUTED_VALUE"""),"NAS")</f>
        <v>NAS</v>
      </c>
      <c r="K466" s="92">
        <f ca="1">IFERROR(__xludf.DUMMYFUNCTION("""COMPUTED_VALUE"""),38)</f>
        <v>38</v>
      </c>
      <c r="L466" s="89" t="str">
        <f ca="1">IFERROR(__xludf.DUMMYFUNCTION("""COMPUTED_VALUE"""),"TRIMESTRE 3")</f>
        <v>TRIMESTRE 3</v>
      </c>
      <c r="M466" s="89" t="str">
        <f ca="1">IFERROR(__xludf.DUMMYFUNCTION("""COMPUTED_VALUE"""),"NIÑAS")</f>
        <v>NIÑAS</v>
      </c>
    </row>
    <row r="467" spans="1:13">
      <c r="A467" s="89" t="str">
        <f ca="1">IFERROR(__xludf.DUMMYFUNCTION("""COMPUTED_VALUE"""),"4.1.3.2")</f>
        <v>4.1.3.2</v>
      </c>
      <c r="B467" s="89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467" s="89" t="str">
        <f ca="1">IFERROR(__xludf.DUMMYFUNCTION("""COMPUTED_VALUE"""),"4. Programas")</f>
        <v>4. Programas</v>
      </c>
      <c r="D467" s="89" t="str">
        <f ca="1">IFERROR(__xludf.DUMMYFUNCTION("""COMPUTED_VALUE"""),"Guadalajara: Capital de las niñas y los niños")</f>
        <v>Guadalajara: Capital de las niñas y los niños</v>
      </c>
      <c r="E467" s="89" t="str">
        <f ca="1">IFERROR(__xludf.DUMMYFUNCTION("""COMPUTED_VALUE"""),"Custodia, tutela, adopciones y acogimiento familiar")</f>
        <v>Custodia, tutela, adopciones y acogimiento familiar</v>
      </c>
      <c r="F467" s="89" t="str">
        <f ca="1">IFERROR(__xludf.DUMMYFUNCTION("""COMPUTED_VALUE"""),"A2C3. Medidas de protección dictadas que se les dio seguimiento")</f>
        <v>A2C3. Medidas de protección dictadas que se les dio seguimiento</v>
      </c>
      <c r="G467" s="89" t="str">
        <f ca="1">IFERROR(__xludf.DUMMYFUNCTION("""COMPUTED_VALUE"""),"Porcentaje de NNA a los que se les dio seguimientos en las medidas de protección dictadas, en 2023")</f>
        <v>Porcentaje de NNA a los que se les dio seguimientos en las medidas de protección dictadas, en 2023</v>
      </c>
      <c r="H467" s="89" t="str">
        <f ca="1">IFERROR(__xludf.DUMMYFUNCTION("""COMPUTED_VALUE"""),"NOS Septiembre")</f>
        <v>NOS Septiembre</v>
      </c>
      <c r="I467" s="89" t="str">
        <f ca="1">IFERROR(__xludf.DUMMYFUNCTION("""COMPUTED_VALUE"""),"Septiembre")</f>
        <v>Septiembre</v>
      </c>
      <c r="J467" s="89" t="str">
        <f ca="1">IFERROR(__xludf.DUMMYFUNCTION("""COMPUTED_VALUE"""),"NOS")</f>
        <v>NOS</v>
      </c>
      <c r="K467" s="92">
        <f ca="1">IFERROR(__xludf.DUMMYFUNCTION("""COMPUTED_VALUE"""),20)</f>
        <v>20</v>
      </c>
      <c r="L467" s="89" t="str">
        <f ca="1">IFERROR(__xludf.DUMMYFUNCTION("""COMPUTED_VALUE"""),"TRIMESTRE 3")</f>
        <v>TRIMESTRE 3</v>
      </c>
      <c r="M467" s="89" t="str">
        <f ca="1">IFERROR(__xludf.DUMMYFUNCTION("""COMPUTED_VALUE"""),"NIÑOS")</f>
        <v>NIÑOS</v>
      </c>
    </row>
    <row r="468" spans="1:13">
      <c r="A468" s="89" t="str">
        <f ca="1">IFERROR(__xludf.DUMMYFUNCTION("""COMPUTED_VALUE"""),"4.1.3.2")</f>
        <v>4.1.3.2</v>
      </c>
      <c r="B468" s="89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468" s="89" t="str">
        <f ca="1">IFERROR(__xludf.DUMMYFUNCTION("""COMPUTED_VALUE"""),"4. Programas")</f>
        <v>4. Programas</v>
      </c>
      <c r="D468" s="89" t="str">
        <f ca="1">IFERROR(__xludf.DUMMYFUNCTION("""COMPUTED_VALUE"""),"Guadalajara: Capital de las niñas y los niños")</f>
        <v>Guadalajara: Capital de las niñas y los niños</v>
      </c>
      <c r="E468" s="89" t="str">
        <f ca="1">IFERROR(__xludf.DUMMYFUNCTION("""COMPUTED_VALUE"""),"Custodia, tutela, adopciones y acogimiento familiar")</f>
        <v>Custodia, tutela, adopciones y acogimiento familiar</v>
      </c>
      <c r="F468" s="89" t="str">
        <f ca="1">IFERROR(__xludf.DUMMYFUNCTION("""COMPUTED_VALUE"""),"A2C3. Medidas de protección dictadas que se les dio seguimiento")</f>
        <v>A2C3. Medidas de protección dictadas que se les dio seguimiento</v>
      </c>
      <c r="G468" s="89" t="str">
        <f ca="1">IFERROR(__xludf.DUMMYFUNCTION("""COMPUTED_VALUE"""),"Porcentaje de NNA a los que se les dio seguimientos en las medidas de protección dictadas, en 2023")</f>
        <v>Porcentaje de NNA a los que se les dio seguimientos en las medidas de protección dictadas, en 2023</v>
      </c>
      <c r="H468" s="89" t="str">
        <f ca="1">IFERROR(__xludf.DUMMYFUNCTION("""COMPUTED_VALUE"""),"AM SEPTIEMBRE")</f>
        <v>AM SEPTIEMBRE</v>
      </c>
      <c r="I468" s="89" t="str">
        <f ca="1">IFERROR(__xludf.DUMMYFUNCTION("""COMPUTED_VALUE"""),"Septiembre")</f>
        <v>Septiembre</v>
      </c>
      <c r="J468" s="89" t="str">
        <f ca="1">IFERROR(__xludf.DUMMYFUNCTION("""COMPUTED_VALUE"""),"AM")</f>
        <v>AM</v>
      </c>
      <c r="K468" s="92">
        <f ca="1">IFERROR(__xludf.DUMMYFUNCTION("""COMPUTED_VALUE"""),12)</f>
        <v>12</v>
      </c>
      <c r="L468" s="89" t="str">
        <f ca="1">IFERROR(__xludf.DUMMYFUNCTION("""COMPUTED_VALUE"""),"TRIMESTRE 3")</f>
        <v>TRIMESTRE 3</v>
      </c>
      <c r="M468" s="89" t="str">
        <f ca="1">IFERROR(__xludf.DUMMYFUNCTION("""COMPUTED_VALUE"""),"ADOLESCENTES MUJERES")</f>
        <v>ADOLESCENTES MUJERES</v>
      </c>
    </row>
    <row r="469" spans="1:13">
      <c r="A469" s="89" t="str">
        <f ca="1">IFERROR(__xludf.DUMMYFUNCTION("""COMPUTED_VALUE"""),"4.1.3.2")</f>
        <v>4.1.3.2</v>
      </c>
      <c r="B469" s="89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469" s="89" t="str">
        <f ca="1">IFERROR(__xludf.DUMMYFUNCTION("""COMPUTED_VALUE"""),"4. Programas")</f>
        <v>4. Programas</v>
      </c>
      <c r="D469" s="89" t="str">
        <f ca="1">IFERROR(__xludf.DUMMYFUNCTION("""COMPUTED_VALUE"""),"Guadalajara: Capital de las niñas y los niños")</f>
        <v>Guadalajara: Capital de las niñas y los niños</v>
      </c>
      <c r="E469" s="89" t="str">
        <f ca="1">IFERROR(__xludf.DUMMYFUNCTION("""COMPUTED_VALUE"""),"Custodia, tutela, adopciones y acogimiento familiar")</f>
        <v>Custodia, tutela, adopciones y acogimiento familiar</v>
      </c>
      <c r="F469" s="89" t="str">
        <f ca="1">IFERROR(__xludf.DUMMYFUNCTION("""COMPUTED_VALUE"""),"A2C3. Medidas de protección dictadas que se les dio seguimiento")</f>
        <v>A2C3. Medidas de protección dictadas que se les dio seguimiento</v>
      </c>
      <c r="G469" s="89" t="str">
        <f ca="1">IFERROR(__xludf.DUMMYFUNCTION("""COMPUTED_VALUE"""),"Porcentaje de NNA a los que se les dio seguimientos en las medidas de protección dictadas, en 2023")</f>
        <v>Porcentaje de NNA a los que se les dio seguimientos en las medidas de protección dictadas, en 2023</v>
      </c>
      <c r="H469" s="89" t="str">
        <f ca="1">IFERROR(__xludf.DUMMYFUNCTION("""COMPUTED_VALUE"""),"AH SEPTIEMBRE")</f>
        <v>AH SEPTIEMBRE</v>
      </c>
      <c r="I469" s="89" t="str">
        <f ca="1">IFERROR(__xludf.DUMMYFUNCTION("""COMPUTED_VALUE"""),"Septiembre")</f>
        <v>Septiembre</v>
      </c>
      <c r="J469" s="89" t="str">
        <f ca="1">IFERROR(__xludf.DUMMYFUNCTION("""COMPUTED_VALUE"""),"AH")</f>
        <v>AH</v>
      </c>
      <c r="K469" s="92">
        <f ca="1">IFERROR(__xludf.DUMMYFUNCTION("""COMPUTED_VALUE"""),14)</f>
        <v>14</v>
      </c>
      <c r="L469" s="89" t="str">
        <f ca="1">IFERROR(__xludf.DUMMYFUNCTION("""COMPUTED_VALUE"""),"TRIMESTRE 3")</f>
        <v>TRIMESTRE 3</v>
      </c>
      <c r="M469" s="89" t="str">
        <f ca="1">IFERROR(__xludf.DUMMYFUNCTION("""COMPUTED_VALUE"""),"ADOLESCENTES HOMBRES")</f>
        <v>ADOLESCENTES HOMBRES</v>
      </c>
    </row>
    <row r="470" spans="1:13">
      <c r="A470" s="89" t="str">
        <f ca="1">IFERROR(__xludf.DUMMYFUNCTION("""COMPUTED_VALUE"""),"4.1.3.2")</f>
        <v>4.1.3.2</v>
      </c>
      <c r="B470" s="89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470" s="89" t="str">
        <f ca="1">IFERROR(__xludf.DUMMYFUNCTION("""COMPUTED_VALUE"""),"4. Programas")</f>
        <v>4. Programas</v>
      </c>
      <c r="D470" s="89" t="str">
        <f ca="1">IFERROR(__xludf.DUMMYFUNCTION("""COMPUTED_VALUE"""),"Guadalajara: Capital de las niñas y los niños")</f>
        <v>Guadalajara: Capital de las niñas y los niños</v>
      </c>
      <c r="E470" s="89" t="str">
        <f ca="1">IFERROR(__xludf.DUMMYFUNCTION("""COMPUTED_VALUE"""),"Custodia, tutela, adopciones y acogimiento familiar")</f>
        <v>Custodia, tutela, adopciones y acogimiento familiar</v>
      </c>
      <c r="F470" s="89" t="str">
        <f ca="1">IFERROR(__xludf.DUMMYFUNCTION("""COMPUTED_VALUE"""),"A2C3. Medidas de protección dictadas que se les dio seguimiento")</f>
        <v>A2C3. Medidas de protección dictadas que se les dio seguimiento</v>
      </c>
      <c r="G470" s="89" t="str">
        <f ca="1">IFERROR(__xludf.DUMMYFUNCTION("""COMPUTED_VALUE"""),"Porcentaje de NNA a los que se les dio seguimientos en las medidas de protección dictadas, en 2023")</f>
        <v>Porcentaje de NNA a los que se les dio seguimientos en las medidas de protección dictadas, en 2023</v>
      </c>
      <c r="H470" s="89" t="str">
        <f ca="1">IFERROR(__xludf.DUMMYFUNCTION("""COMPUTED_VALUE"""),"MUJ Septiembre")</f>
        <v>MUJ Septiembre</v>
      </c>
      <c r="I470" s="89" t="str">
        <f ca="1">IFERROR(__xludf.DUMMYFUNCTION("""COMPUTED_VALUE"""),"Septiembre")</f>
        <v>Septiembre</v>
      </c>
      <c r="J470" s="89" t="str">
        <f ca="1">IFERROR(__xludf.DUMMYFUNCTION("""COMPUTED_VALUE"""),"MUJ")</f>
        <v>MUJ</v>
      </c>
      <c r="K470" s="92"/>
      <c r="L470" s="89" t="str">
        <f ca="1">IFERROR(__xludf.DUMMYFUNCTION("""COMPUTED_VALUE"""),"TRIMESTRE 3")</f>
        <v>TRIMESTRE 3</v>
      </c>
      <c r="M470" s="89" t="str">
        <f ca="1">IFERROR(__xludf.DUMMYFUNCTION("""COMPUTED_VALUE"""),"MUJERES ADULTAS")</f>
        <v>MUJERES ADULTAS</v>
      </c>
    </row>
    <row r="471" spans="1:13">
      <c r="A471" s="89" t="str">
        <f ca="1">IFERROR(__xludf.DUMMYFUNCTION("""COMPUTED_VALUE"""),"4.1.3.2")</f>
        <v>4.1.3.2</v>
      </c>
      <c r="B471" s="89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471" s="89" t="str">
        <f ca="1">IFERROR(__xludf.DUMMYFUNCTION("""COMPUTED_VALUE"""),"4. Programas")</f>
        <v>4. Programas</v>
      </c>
      <c r="D471" s="89" t="str">
        <f ca="1">IFERROR(__xludf.DUMMYFUNCTION("""COMPUTED_VALUE"""),"Guadalajara: Capital de las niñas y los niños")</f>
        <v>Guadalajara: Capital de las niñas y los niños</v>
      </c>
      <c r="E471" s="89" t="str">
        <f ca="1">IFERROR(__xludf.DUMMYFUNCTION("""COMPUTED_VALUE"""),"Custodia, tutela, adopciones y acogimiento familiar")</f>
        <v>Custodia, tutela, adopciones y acogimiento familiar</v>
      </c>
      <c r="F471" s="89" t="str">
        <f ca="1">IFERROR(__xludf.DUMMYFUNCTION("""COMPUTED_VALUE"""),"A2C3. Medidas de protección dictadas que se les dio seguimiento")</f>
        <v>A2C3. Medidas de protección dictadas que se les dio seguimiento</v>
      </c>
      <c r="G471" s="89" t="str">
        <f ca="1">IFERROR(__xludf.DUMMYFUNCTION("""COMPUTED_VALUE"""),"Porcentaje de NNA a los que se les dio seguimientos en las medidas de protección dictadas, en 2023")</f>
        <v>Porcentaje de NNA a los que se les dio seguimientos en las medidas de protección dictadas, en 2023</v>
      </c>
      <c r="H471" s="89" t="str">
        <f ca="1">IFERROR(__xludf.DUMMYFUNCTION("""COMPUTED_VALUE"""),"HOM Septiembre")</f>
        <v>HOM Septiembre</v>
      </c>
      <c r="I471" s="89" t="str">
        <f ca="1">IFERROR(__xludf.DUMMYFUNCTION("""COMPUTED_VALUE"""),"Septiembre")</f>
        <v>Septiembre</v>
      </c>
      <c r="J471" s="89" t="str">
        <f ca="1">IFERROR(__xludf.DUMMYFUNCTION("""COMPUTED_VALUE"""),"HOM")</f>
        <v>HOM</v>
      </c>
      <c r="K471" s="92"/>
      <c r="L471" s="89" t="str">
        <f ca="1">IFERROR(__xludf.DUMMYFUNCTION("""COMPUTED_VALUE"""),"TRIMESTRE 3")</f>
        <v>TRIMESTRE 3</v>
      </c>
      <c r="M471" s="89" t="str">
        <f ca="1">IFERROR(__xludf.DUMMYFUNCTION("""COMPUTED_VALUE"""),"HOMBRES ADULTOS")</f>
        <v>HOMBRES ADULTOS</v>
      </c>
    </row>
    <row r="472" spans="1:13">
      <c r="A472" s="89" t="str">
        <f ca="1">IFERROR(__xludf.DUMMYFUNCTION("""COMPUTED_VALUE"""),"4.1.3.2")</f>
        <v>4.1.3.2</v>
      </c>
      <c r="B472" s="89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472" s="89" t="str">
        <f ca="1">IFERROR(__xludf.DUMMYFUNCTION("""COMPUTED_VALUE"""),"4. Programas")</f>
        <v>4. Programas</v>
      </c>
      <c r="D472" s="89" t="str">
        <f ca="1">IFERROR(__xludf.DUMMYFUNCTION("""COMPUTED_VALUE"""),"Guadalajara: Capital de las niñas y los niños")</f>
        <v>Guadalajara: Capital de las niñas y los niños</v>
      </c>
      <c r="E472" s="89" t="str">
        <f ca="1">IFERROR(__xludf.DUMMYFUNCTION("""COMPUTED_VALUE"""),"Custodia, tutela, adopciones y acogimiento familiar")</f>
        <v>Custodia, tutela, adopciones y acogimiento familiar</v>
      </c>
      <c r="F472" s="89" t="str">
        <f ca="1">IFERROR(__xludf.DUMMYFUNCTION("""COMPUTED_VALUE"""),"A2C3. Medidas de protección dictadas que se les dio seguimiento")</f>
        <v>A2C3. Medidas de protección dictadas que se les dio seguimiento</v>
      </c>
      <c r="G472" s="89" t="str">
        <f ca="1">IFERROR(__xludf.DUMMYFUNCTION("""COMPUTED_VALUE"""),"Porcentaje de NNA a los que se les dio seguimientos en las medidas de protección dictadas, en 2023")</f>
        <v>Porcentaje de NNA a los que se les dio seguimientos en las medidas de protección dictadas, en 2023</v>
      </c>
      <c r="H472" s="89" t="str">
        <f ca="1">IFERROR(__xludf.DUMMYFUNCTION("""COMPUTED_VALUE"""),"AMM Septiembre")</f>
        <v>AMM Septiembre</v>
      </c>
      <c r="I472" s="89" t="str">
        <f ca="1">IFERROR(__xludf.DUMMYFUNCTION("""COMPUTED_VALUE"""),"Septiembre")</f>
        <v>Septiembre</v>
      </c>
      <c r="J472" s="89" t="str">
        <f ca="1">IFERROR(__xludf.DUMMYFUNCTION("""COMPUTED_VALUE"""),"AMM")</f>
        <v>AMM</v>
      </c>
      <c r="K472" s="92"/>
      <c r="L472" s="89" t="str">
        <f ca="1">IFERROR(__xludf.DUMMYFUNCTION("""COMPUTED_VALUE"""),"TRIMESTRE 3")</f>
        <v>TRIMESTRE 3</v>
      </c>
      <c r="M472" s="89" t="str">
        <f ca="1">IFERROR(__xludf.DUMMYFUNCTION("""COMPUTED_VALUE"""),"ADULTA MAYOR MUJER")</f>
        <v>ADULTA MAYOR MUJER</v>
      </c>
    </row>
    <row r="473" spans="1:13">
      <c r="A473" s="89" t="str">
        <f ca="1">IFERROR(__xludf.DUMMYFUNCTION("""COMPUTED_VALUE"""),"4.1.3.2")</f>
        <v>4.1.3.2</v>
      </c>
      <c r="B473" s="89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473" s="89" t="str">
        <f ca="1">IFERROR(__xludf.DUMMYFUNCTION("""COMPUTED_VALUE"""),"4. Programas")</f>
        <v>4. Programas</v>
      </c>
      <c r="D473" s="89" t="str">
        <f ca="1">IFERROR(__xludf.DUMMYFUNCTION("""COMPUTED_VALUE"""),"Guadalajara: Capital de las niñas y los niños")</f>
        <v>Guadalajara: Capital de las niñas y los niños</v>
      </c>
      <c r="E473" s="89" t="str">
        <f ca="1">IFERROR(__xludf.DUMMYFUNCTION("""COMPUTED_VALUE"""),"Custodia, tutela, adopciones y acogimiento familiar")</f>
        <v>Custodia, tutela, adopciones y acogimiento familiar</v>
      </c>
      <c r="F473" s="89" t="str">
        <f ca="1">IFERROR(__xludf.DUMMYFUNCTION("""COMPUTED_VALUE"""),"A2C3. Medidas de protección dictadas que se les dio seguimiento")</f>
        <v>A2C3. Medidas de protección dictadas que se les dio seguimiento</v>
      </c>
      <c r="G473" s="89" t="str">
        <f ca="1">IFERROR(__xludf.DUMMYFUNCTION("""COMPUTED_VALUE"""),"Porcentaje de NNA a los que se les dio seguimientos en las medidas de protección dictadas, en 2023")</f>
        <v>Porcentaje de NNA a los que se les dio seguimientos en las medidas de protección dictadas, en 2023</v>
      </c>
      <c r="H473" s="89" t="str">
        <f ca="1">IFERROR(__xludf.DUMMYFUNCTION("""COMPUTED_VALUE"""),"AMH Septiembre")</f>
        <v>AMH Septiembre</v>
      </c>
      <c r="I473" s="89" t="str">
        <f ca="1">IFERROR(__xludf.DUMMYFUNCTION("""COMPUTED_VALUE"""),"Septiembre")</f>
        <v>Septiembre</v>
      </c>
      <c r="J473" s="89" t="str">
        <f ca="1">IFERROR(__xludf.DUMMYFUNCTION("""COMPUTED_VALUE"""),"AMH")</f>
        <v>AMH</v>
      </c>
      <c r="K473" s="92"/>
      <c r="L473" s="89" t="str">
        <f ca="1">IFERROR(__xludf.DUMMYFUNCTION("""COMPUTED_VALUE"""),"TRIMESTRE 3")</f>
        <v>TRIMESTRE 3</v>
      </c>
      <c r="M473" s="89" t="str">
        <f ca="1">IFERROR(__xludf.DUMMYFUNCTION("""COMPUTED_VALUE"""),"ADULTO MAYOR HOMBRE")</f>
        <v>ADULTO MAYOR HOMBRE</v>
      </c>
    </row>
    <row r="474" spans="1:13">
      <c r="A474" s="89" t="str">
        <f ca="1">IFERROR(__xludf.DUMMYFUNCTION("""COMPUTED_VALUE"""),"4.1.3.4")</f>
        <v>4.1.3.4</v>
      </c>
      <c r="B474" s="89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474" s="89" t="str">
        <f ca="1">IFERROR(__xludf.DUMMYFUNCTION("""COMPUTED_VALUE"""),"4. Programas")</f>
        <v>4. Programas</v>
      </c>
      <c r="D474" s="89" t="str">
        <f ca="1">IFERROR(__xludf.DUMMYFUNCTION("""COMPUTED_VALUE"""),"Guadalajara: Capital de las niñas y los niños")</f>
        <v>Guadalajara: Capital de las niñas y los niños</v>
      </c>
      <c r="E474" s="89" t="str">
        <f ca="1">IFERROR(__xludf.DUMMYFUNCTION("""COMPUTED_VALUE"""),"Custodia, tutela, adopciones y acogimiento familiar")</f>
        <v>Custodia, tutela, adopciones y acogimiento familiar</v>
      </c>
      <c r="F474" s="89" t="str">
        <f ca="1">IFERROR(__xludf.DUMMYFUNCTION("""COMPUTED_VALUE"""),"A4C3. NNA integrados en familias.")</f>
        <v>A4C3. NNA integrados en familias.</v>
      </c>
      <c r="G474" s="89" t="str">
        <f ca="1">IFERROR(__xludf.DUMMYFUNCTION("""COMPUTED_VALUE"""),"Porcentaje de NNA integrados en familias, en 2023")</f>
        <v>Porcentaje de NNA integrados en familias, en 2023</v>
      </c>
      <c r="H474" s="89" t="str">
        <f ca="1">IFERROR(__xludf.DUMMYFUNCTION("""COMPUTED_VALUE"""),"NAS Septiembre")</f>
        <v>NAS Septiembre</v>
      </c>
      <c r="I474" s="89" t="str">
        <f ca="1">IFERROR(__xludf.DUMMYFUNCTION("""COMPUTED_VALUE"""),"Septiembre")</f>
        <v>Septiembre</v>
      </c>
      <c r="J474" s="89" t="str">
        <f ca="1">IFERROR(__xludf.DUMMYFUNCTION("""COMPUTED_VALUE"""),"NAS")</f>
        <v>NAS</v>
      </c>
      <c r="K474" s="92">
        <f ca="1">IFERROR(__xludf.DUMMYFUNCTION("""COMPUTED_VALUE"""),21)</f>
        <v>21</v>
      </c>
      <c r="L474" s="89" t="str">
        <f ca="1">IFERROR(__xludf.DUMMYFUNCTION("""COMPUTED_VALUE"""),"TRIMESTRE 3")</f>
        <v>TRIMESTRE 3</v>
      </c>
      <c r="M474" s="89" t="str">
        <f ca="1">IFERROR(__xludf.DUMMYFUNCTION("""COMPUTED_VALUE"""),"NIÑAS")</f>
        <v>NIÑAS</v>
      </c>
    </row>
    <row r="475" spans="1:13">
      <c r="A475" s="89" t="str">
        <f ca="1">IFERROR(__xludf.DUMMYFUNCTION("""COMPUTED_VALUE"""),"4.1.3.4")</f>
        <v>4.1.3.4</v>
      </c>
      <c r="B475" s="89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475" s="89" t="str">
        <f ca="1">IFERROR(__xludf.DUMMYFUNCTION("""COMPUTED_VALUE"""),"4. Programas")</f>
        <v>4. Programas</v>
      </c>
      <c r="D475" s="89" t="str">
        <f ca="1">IFERROR(__xludf.DUMMYFUNCTION("""COMPUTED_VALUE"""),"Guadalajara: Capital de las niñas y los niños")</f>
        <v>Guadalajara: Capital de las niñas y los niños</v>
      </c>
      <c r="E475" s="89" t="str">
        <f ca="1">IFERROR(__xludf.DUMMYFUNCTION("""COMPUTED_VALUE"""),"Custodia, tutela, adopciones y acogimiento familiar")</f>
        <v>Custodia, tutela, adopciones y acogimiento familiar</v>
      </c>
      <c r="F475" s="89" t="str">
        <f ca="1">IFERROR(__xludf.DUMMYFUNCTION("""COMPUTED_VALUE"""),"A4C3. NNA integrados en familias.")</f>
        <v>A4C3. NNA integrados en familias.</v>
      </c>
      <c r="G475" s="89" t="str">
        <f ca="1">IFERROR(__xludf.DUMMYFUNCTION("""COMPUTED_VALUE"""),"Porcentaje de NNA integrados en familias, en 2023")</f>
        <v>Porcentaje de NNA integrados en familias, en 2023</v>
      </c>
      <c r="H475" s="89" t="str">
        <f ca="1">IFERROR(__xludf.DUMMYFUNCTION("""COMPUTED_VALUE"""),"NOS Septiembre")</f>
        <v>NOS Septiembre</v>
      </c>
      <c r="I475" s="89" t="str">
        <f ca="1">IFERROR(__xludf.DUMMYFUNCTION("""COMPUTED_VALUE"""),"Septiembre")</f>
        <v>Septiembre</v>
      </c>
      <c r="J475" s="89" t="str">
        <f ca="1">IFERROR(__xludf.DUMMYFUNCTION("""COMPUTED_VALUE"""),"NOS")</f>
        <v>NOS</v>
      </c>
      <c r="K475" s="92">
        <f ca="1">IFERROR(__xludf.DUMMYFUNCTION("""COMPUTED_VALUE"""),16)</f>
        <v>16</v>
      </c>
      <c r="L475" s="89" t="str">
        <f ca="1">IFERROR(__xludf.DUMMYFUNCTION("""COMPUTED_VALUE"""),"TRIMESTRE 3")</f>
        <v>TRIMESTRE 3</v>
      </c>
      <c r="M475" s="89" t="str">
        <f ca="1">IFERROR(__xludf.DUMMYFUNCTION("""COMPUTED_VALUE"""),"NIÑOS")</f>
        <v>NIÑOS</v>
      </c>
    </row>
    <row r="476" spans="1:13">
      <c r="A476" s="89" t="str">
        <f ca="1">IFERROR(__xludf.DUMMYFUNCTION("""COMPUTED_VALUE"""),"4.1.3.4")</f>
        <v>4.1.3.4</v>
      </c>
      <c r="B476" s="89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476" s="89" t="str">
        <f ca="1">IFERROR(__xludf.DUMMYFUNCTION("""COMPUTED_VALUE"""),"4. Programas")</f>
        <v>4. Programas</v>
      </c>
      <c r="D476" s="89" t="str">
        <f ca="1">IFERROR(__xludf.DUMMYFUNCTION("""COMPUTED_VALUE"""),"Guadalajara: Capital de las niñas y los niños")</f>
        <v>Guadalajara: Capital de las niñas y los niños</v>
      </c>
      <c r="E476" s="89" t="str">
        <f ca="1">IFERROR(__xludf.DUMMYFUNCTION("""COMPUTED_VALUE"""),"Custodia, tutela, adopciones y acogimiento familiar")</f>
        <v>Custodia, tutela, adopciones y acogimiento familiar</v>
      </c>
      <c r="F476" s="89" t="str">
        <f ca="1">IFERROR(__xludf.DUMMYFUNCTION("""COMPUTED_VALUE"""),"A4C3. NNA integrados en familias.")</f>
        <v>A4C3. NNA integrados en familias.</v>
      </c>
      <c r="G476" s="89" t="str">
        <f ca="1">IFERROR(__xludf.DUMMYFUNCTION("""COMPUTED_VALUE"""),"Porcentaje de NNA integrados en familias, en 2023")</f>
        <v>Porcentaje de NNA integrados en familias, en 2023</v>
      </c>
      <c r="H476" s="89" t="str">
        <f ca="1">IFERROR(__xludf.DUMMYFUNCTION("""COMPUTED_VALUE"""),"AM SEPTIEMBRE")</f>
        <v>AM SEPTIEMBRE</v>
      </c>
      <c r="I476" s="89" t="str">
        <f ca="1">IFERROR(__xludf.DUMMYFUNCTION("""COMPUTED_VALUE"""),"Septiembre")</f>
        <v>Septiembre</v>
      </c>
      <c r="J476" s="89" t="str">
        <f ca="1">IFERROR(__xludf.DUMMYFUNCTION("""COMPUTED_VALUE"""),"AM")</f>
        <v>AM</v>
      </c>
      <c r="K476" s="92">
        <f ca="1">IFERROR(__xludf.DUMMYFUNCTION("""COMPUTED_VALUE"""),3)</f>
        <v>3</v>
      </c>
      <c r="L476" s="89" t="str">
        <f ca="1">IFERROR(__xludf.DUMMYFUNCTION("""COMPUTED_VALUE"""),"TRIMESTRE 3")</f>
        <v>TRIMESTRE 3</v>
      </c>
      <c r="M476" s="89" t="str">
        <f ca="1">IFERROR(__xludf.DUMMYFUNCTION("""COMPUTED_VALUE"""),"ADOLESCENTES MUJERES")</f>
        <v>ADOLESCENTES MUJERES</v>
      </c>
    </row>
    <row r="477" spans="1:13">
      <c r="A477" s="89" t="str">
        <f ca="1">IFERROR(__xludf.DUMMYFUNCTION("""COMPUTED_VALUE"""),"4.1.3.4")</f>
        <v>4.1.3.4</v>
      </c>
      <c r="B477" s="89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477" s="89" t="str">
        <f ca="1">IFERROR(__xludf.DUMMYFUNCTION("""COMPUTED_VALUE"""),"4. Programas")</f>
        <v>4. Programas</v>
      </c>
      <c r="D477" s="89" t="str">
        <f ca="1">IFERROR(__xludf.DUMMYFUNCTION("""COMPUTED_VALUE"""),"Guadalajara: Capital de las niñas y los niños")</f>
        <v>Guadalajara: Capital de las niñas y los niños</v>
      </c>
      <c r="E477" s="89" t="str">
        <f ca="1">IFERROR(__xludf.DUMMYFUNCTION("""COMPUTED_VALUE"""),"Custodia, tutela, adopciones y acogimiento familiar")</f>
        <v>Custodia, tutela, adopciones y acogimiento familiar</v>
      </c>
      <c r="F477" s="89" t="str">
        <f ca="1">IFERROR(__xludf.DUMMYFUNCTION("""COMPUTED_VALUE"""),"A4C3. NNA integrados en familias.")</f>
        <v>A4C3. NNA integrados en familias.</v>
      </c>
      <c r="G477" s="89" t="str">
        <f ca="1">IFERROR(__xludf.DUMMYFUNCTION("""COMPUTED_VALUE"""),"Porcentaje de NNA integrados en familias, en 2023")</f>
        <v>Porcentaje de NNA integrados en familias, en 2023</v>
      </c>
      <c r="H477" s="89" t="str">
        <f ca="1">IFERROR(__xludf.DUMMYFUNCTION("""COMPUTED_VALUE"""),"AH SEPTIEMBRE")</f>
        <v>AH SEPTIEMBRE</v>
      </c>
      <c r="I477" s="89" t="str">
        <f ca="1">IFERROR(__xludf.DUMMYFUNCTION("""COMPUTED_VALUE"""),"Septiembre")</f>
        <v>Septiembre</v>
      </c>
      <c r="J477" s="89" t="str">
        <f ca="1">IFERROR(__xludf.DUMMYFUNCTION("""COMPUTED_VALUE"""),"AH")</f>
        <v>AH</v>
      </c>
      <c r="K477" s="92">
        <f ca="1">IFERROR(__xludf.DUMMYFUNCTION("""COMPUTED_VALUE"""),1)</f>
        <v>1</v>
      </c>
      <c r="L477" s="89" t="str">
        <f ca="1">IFERROR(__xludf.DUMMYFUNCTION("""COMPUTED_VALUE"""),"TRIMESTRE 3")</f>
        <v>TRIMESTRE 3</v>
      </c>
      <c r="M477" s="89" t="str">
        <f ca="1">IFERROR(__xludf.DUMMYFUNCTION("""COMPUTED_VALUE"""),"ADOLESCENTES HOMBRES")</f>
        <v>ADOLESCENTES HOMBRES</v>
      </c>
    </row>
    <row r="478" spans="1:13">
      <c r="A478" s="89" t="str">
        <f ca="1">IFERROR(__xludf.DUMMYFUNCTION("""COMPUTED_VALUE"""),"4.1.3.4")</f>
        <v>4.1.3.4</v>
      </c>
      <c r="B478" s="89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478" s="89" t="str">
        <f ca="1">IFERROR(__xludf.DUMMYFUNCTION("""COMPUTED_VALUE"""),"4. Programas")</f>
        <v>4. Programas</v>
      </c>
      <c r="D478" s="89" t="str">
        <f ca="1">IFERROR(__xludf.DUMMYFUNCTION("""COMPUTED_VALUE"""),"Guadalajara: Capital de las niñas y los niños")</f>
        <v>Guadalajara: Capital de las niñas y los niños</v>
      </c>
      <c r="E478" s="89" t="str">
        <f ca="1">IFERROR(__xludf.DUMMYFUNCTION("""COMPUTED_VALUE"""),"Custodia, tutela, adopciones y acogimiento familiar")</f>
        <v>Custodia, tutela, adopciones y acogimiento familiar</v>
      </c>
      <c r="F478" s="89" t="str">
        <f ca="1">IFERROR(__xludf.DUMMYFUNCTION("""COMPUTED_VALUE"""),"A4C3. NNA integrados en familias.")</f>
        <v>A4C3. NNA integrados en familias.</v>
      </c>
      <c r="G478" s="89" t="str">
        <f ca="1">IFERROR(__xludf.DUMMYFUNCTION("""COMPUTED_VALUE"""),"Porcentaje de NNA integrados en familias, en 2023")</f>
        <v>Porcentaje de NNA integrados en familias, en 2023</v>
      </c>
      <c r="H478" s="89" t="str">
        <f ca="1">IFERROR(__xludf.DUMMYFUNCTION("""COMPUTED_VALUE"""),"MUJ Septiembre")</f>
        <v>MUJ Septiembre</v>
      </c>
      <c r="I478" s="89" t="str">
        <f ca="1">IFERROR(__xludf.DUMMYFUNCTION("""COMPUTED_VALUE"""),"Septiembre")</f>
        <v>Septiembre</v>
      </c>
      <c r="J478" s="89" t="str">
        <f ca="1">IFERROR(__xludf.DUMMYFUNCTION("""COMPUTED_VALUE"""),"MUJ")</f>
        <v>MUJ</v>
      </c>
      <c r="K478" s="92"/>
      <c r="L478" s="89" t="str">
        <f ca="1">IFERROR(__xludf.DUMMYFUNCTION("""COMPUTED_VALUE"""),"TRIMESTRE 3")</f>
        <v>TRIMESTRE 3</v>
      </c>
      <c r="M478" s="89" t="str">
        <f ca="1">IFERROR(__xludf.DUMMYFUNCTION("""COMPUTED_VALUE"""),"MUJERES ADULTAS")</f>
        <v>MUJERES ADULTAS</v>
      </c>
    </row>
    <row r="479" spans="1:13">
      <c r="A479" s="89" t="str">
        <f ca="1">IFERROR(__xludf.DUMMYFUNCTION("""COMPUTED_VALUE"""),"4.1.3.4")</f>
        <v>4.1.3.4</v>
      </c>
      <c r="B479" s="89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479" s="89" t="str">
        <f ca="1">IFERROR(__xludf.DUMMYFUNCTION("""COMPUTED_VALUE"""),"4. Programas")</f>
        <v>4. Programas</v>
      </c>
      <c r="D479" s="89" t="str">
        <f ca="1">IFERROR(__xludf.DUMMYFUNCTION("""COMPUTED_VALUE"""),"Guadalajara: Capital de las niñas y los niños")</f>
        <v>Guadalajara: Capital de las niñas y los niños</v>
      </c>
      <c r="E479" s="89" t="str">
        <f ca="1">IFERROR(__xludf.DUMMYFUNCTION("""COMPUTED_VALUE"""),"Custodia, tutela, adopciones y acogimiento familiar")</f>
        <v>Custodia, tutela, adopciones y acogimiento familiar</v>
      </c>
      <c r="F479" s="89" t="str">
        <f ca="1">IFERROR(__xludf.DUMMYFUNCTION("""COMPUTED_VALUE"""),"A4C3. NNA integrados en familias.")</f>
        <v>A4C3. NNA integrados en familias.</v>
      </c>
      <c r="G479" s="89" t="str">
        <f ca="1">IFERROR(__xludf.DUMMYFUNCTION("""COMPUTED_VALUE"""),"Porcentaje de NNA integrados en familias, en 2023")</f>
        <v>Porcentaje de NNA integrados en familias, en 2023</v>
      </c>
      <c r="H479" s="89" t="str">
        <f ca="1">IFERROR(__xludf.DUMMYFUNCTION("""COMPUTED_VALUE"""),"HOM Septiembre")</f>
        <v>HOM Septiembre</v>
      </c>
      <c r="I479" s="89" t="str">
        <f ca="1">IFERROR(__xludf.DUMMYFUNCTION("""COMPUTED_VALUE"""),"Septiembre")</f>
        <v>Septiembre</v>
      </c>
      <c r="J479" s="89" t="str">
        <f ca="1">IFERROR(__xludf.DUMMYFUNCTION("""COMPUTED_VALUE"""),"HOM")</f>
        <v>HOM</v>
      </c>
      <c r="K479" s="92"/>
      <c r="L479" s="89" t="str">
        <f ca="1">IFERROR(__xludf.DUMMYFUNCTION("""COMPUTED_VALUE"""),"TRIMESTRE 3")</f>
        <v>TRIMESTRE 3</v>
      </c>
      <c r="M479" s="89" t="str">
        <f ca="1">IFERROR(__xludf.DUMMYFUNCTION("""COMPUTED_VALUE"""),"HOMBRES ADULTOS")</f>
        <v>HOMBRES ADULTOS</v>
      </c>
    </row>
    <row r="480" spans="1:13">
      <c r="A480" s="89" t="str">
        <f ca="1">IFERROR(__xludf.DUMMYFUNCTION("""COMPUTED_VALUE"""),"4.1.3.4")</f>
        <v>4.1.3.4</v>
      </c>
      <c r="B480" s="89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480" s="89" t="str">
        <f ca="1">IFERROR(__xludf.DUMMYFUNCTION("""COMPUTED_VALUE"""),"4. Programas")</f>
        <v>4. Programas</v>
      </c>
      <c r="D480" s="89" t="str">
        <f ca="1">IFERROR(__xludf.DUMMYFUNCTION("""COMPUTED_VALUE"""),"Guadalajara: Capital de las niñas y los niños")</f>
        <v>Guadalajara: Capital de las niñas y los niños</v>
      </c>
      <c r="E480" s="89" t="str">
        <f ca="1">IFERROR(__xludf.DUMMYFUNCTION("""COMPUTED_VALUE"""),"Custodia, tutela, adopciones y acogimiento familiar")</f>
        <v>Custodia, tutela, adopciones y acogimiento familiar</v>
      </c>
      <c r="F480" s="89" t="str">
        <f ca="1">IFERROR(__xludf.DUMMYFUNCTION("""COMPUTED_VALUE"""),"A4C3. NNA integrados en familias.")</f>
        <v>A4C3. NNA integrados en familias.</v>
      </c>
      <c r="G480" s="89" t="str">
        <f ca="1">IFERROR(__xludf.DUMMYFUNCTION("""COMPUTED_VALUE"""),"Porcentaje de NNA integrados en familias, en 2023")</f>
        <v>Porcentaje de NNA integrados en familias, en 2023</v>
      </c>
      <c r="H480" s="89" t="str">
        <f ca="1">IFERROR(__xludf.DUMMYFUNCTION("""COMPUTED_VALUE"""),"AMM Septiembre")</f>
        <v>AMM Septiembre</v>
      </c>
      <c r="I480" s="89" t="str">
        <f ca="1">IFERROR(__xludf.DUMMYFUNCTION("""COMPUTED_VALUE"""),"Septiembre")</f>
        <v>Septiembre</v>
      </c>
      <c r="J480" s="89" t="str">
        <f ca="1">IFERROR(__xludf.DUMMYFUNCTION("""COMPUTED_VALUE"""),"AMM")</f>
        <v>AMM</v>
      </c>
      <c r="K480" s="92"/>
      <c r="L480" s="89" t="str">
        <f ca="1">IFERROR(__xludf.DUMMYFUNCTION("""COMPUTED_VALUE"""),"TRIMESTRE 3")</f>
        <v>TRIMESTRE 3</v>
      </c>
      <c r="M480" s="89" t="str">
        <f ca="1">IFERROR(__xludf.DUMMYFUNCTION("""COMPUTED_VALUE"""),"ADULTA MAYOR MUJER")</f>
        <v>ADULTA MAYOR MUJER</v>
      </c>
    </row>
    <row r="481" spans="1:13">
      <c r="A481" s="89" t="str">
        <f ca="1">IFERROR(__xludf.DUMMYFUNCTION("""COMPUTED_VALUE"""),"4.1.3.4")</f>
        <v>4.1.3.4</v>
      </c>
      <c r="B481" s="89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481" s="89" t="str">
        <f ca="1">IFERROR(__xludf.DUMMYFUNCTION("""COMPUTED_VALUE"""),"4. Programas")</f>
        <v>4. Programas</v>
      </c>
      <c r="D481" s="89" t="str">
        <f ca="1">IFERROR(__xludf.DUMMYFUNCTION("""COMPUTED_VALUE"""),"Guadalajara: Capital de las niñas y los niños")</f>
        <v>Guadalajara: Capital de las niñas y los niños</v>
      </c>
      <c r="E481" s="89" t="str">
        <f ca="1">IFERROR(__xludf.DUMMYFUNCTION("""COMPUTED_VALUE"""),"Custodia, tutela, adopciones y acogimiento familiar")</f>
        <v>Custodia, tutela, adopciones y acogimiento familiar</v>
      </c>
      <c r="F481" s="89" t="str">
        <f ca="1">IFERROR(__xludf.DUMMYFUNCTION("""COMPUTED_VALUE"""),"A4C3. NNA integrados en familias.")</f>
        <v>A4C3. NNA integrados en familias.</v>
      </c>
      <c r="G481" s="89" t="str">
        <f ca="1">IFERROR(__xludf.DUMMYFUNCTION("""COMPUTED_VALUE"""),"Porcentaje de NNA integrados en familias, en 2023")</f>
        <v>Porcentaje de NNA integrados en familias, en 2023</v>
      </c>
      <c r="H481" s="89" t="str">
        <f ca="1">IFERROR(__xludf.DUMMYFUNCTION("""COMPUTED_VALUE"""),"AMH Septiembre")</f>
        <v>AMH Septiembre</v>
      </c>
      <c r="I481" s="89" t="str">
        <f ca="1">IFERROR(__xludf.DUMMYFUNCTION("""COMPUTED_VALUE"""),"Septiembre")</f>
        <v>Septiembre</v>
      </c>
      <c r="J481" s="89" t="str">
        <f ca="1">IFERROR(__xludf.DUMMYFUNCTION("""COMPUTED_VALUE"""),"AMH")</f>
        <v>AMH</v>
      </c>
      <c r="K481" s="92"/>
      <c r="L481" s="89" t="str">
        <f ca="1">IFERROR(__xludf.DUMMYFUNCTION("""COMPUTED_VALUE"""),"TRIMESTRE 3")</f>
        <v>TRIMESTRE 3</v>
      </c>
      <c r="M481" s="89" t="str">
        <f ca="1">IFERROR(__xludf.DUMMYFUNCTION("""COMPUTED_VALUE"""),"ADULTO MAYOR HOMBRE")</f>
        <v>ADULTO MAYOR HOMBRE</v>
      </c>
    </row>
    <row r="482" spans="1:13">
      <c r="A482" s="89" t="str">
        <f ca="1">IFERROR(__xludf.DUMMYFUNCTION("""COMPUTED_VALUE"""),"4.1.3.0")</f>
        <v>4.1.3.0</v>
      </c>
      <c r="B482" s="89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482" s="89" t="str">
        <f ca="1">IFERROR(__xludf.DUMMYFUNCTION("""COMPUTED_VALUE"""),"4. Programas")</f>
        <v>4. Programas</v>
      </c>
      <c r="D482" s="89" t="str">
        <f ca="1">IFERROR(__xludf.DUMMYFUNCTION("""COMPUTED_VALUE"""),"Guadalajara: Capital de las niñas y los niños")</f>
        <v>Guadalajara: Capital de las niñas y los niños</v>
      </c>
      <c r="E482" s="89" t="str">
        <f ca="1">IFERROR(__xludf.DUMMYFUNCTION("""COMPUTED_VALUE"""),"Custodia, tutela, adopciones y acogimiento familiar")</f>
        <v>Custodia, tutela, adopciones y acogimiento familiar</v>
      </c>
      <c r="F482" s="89" t="str">
        <f ca="1">IFERROR(__xludf.DUMMYFUNCTION("""COMPUTED_VALUE"""),"C3. NNA del municipio de Guadalajara que recibieron servicios para la protección y restitución de sus derechos")</f>
        <v>C3. NNA del municipio de Guadalajara que recibieron servicios para la protección y restitución de sus derechos</v>
      </c>
      <c r="G482" s="89" t="str">
        <f ca="1">IFERROR(__xludf.DUMMYFUNCTION("""COMPUTED_VALUE"""),"Porcentaje de NNA con al menos un derecho protegido y/o restituido por la DIPNNA, en 2023")</f>
        <v>Porcentaje de NNA con al menos un derecho protegido y/o restituido por la DIPNNA, en 2023</v>
      </c>
      <c r="H482" s="89" t="str">
        <f ca="1">IFERROR(__xludf.DUMMYFUNCTION("""COMPUTED_VALUE"""),"NAS Octubre")</f>
        <v>NAS Octubre</v>
      </c>
      <c r="I482" s="89" t="str">
        <f ca="1">IFERROR(__xludf.DUMMYFUNCTION("""COMPUTED_VALUE"""),"Octubre")</f>
        <v>Octubre</v>
      </c>
      <c r="J482" s="89" t="str">
        <f ca="1">IFERROR(__xludf.DUMMYFUNCTION("""COMPUTED_VALUE"""),"NAS")</f>
        <v>NAS</v>
      </c>
      <c r="K482" s="92">
        <f ca="1">IFERROR(__xludf.DUMMYFUNCTION("""COMPUTED_VALUE"""),72)</f>
        <v>72</v>
      </c>
      <c r="L482" s="89" t="str">
        <f ca="1">IFERROR(__xludf.DUMMYFUNCTION("""COMPUTED_VALUE"""),"TRIMESTRE 4")</f>
        <v>TRIMESTRE 4</v>
      </c>
      <c r="M482" s="89" t="str">
        <f ca="1">IFERROR(__xludf.DUMMYFUNCTION("""COMPUTED_VALUE"""),"NIÑAS")</f>
        <v>NIÑAS</v>
      </c>
    </row>
    <row r="483" spans="1:13">
      <c r="A483" s="89" t="str">
        <f ca="1">IFERROR(__xludf.DUMMYFUNCTION("""COMPUTED_VALUE"""),"4.1.3.0")</f>
        <v>4.1.3.0</v>
      </c>
      <c r="B483" s="89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483" s="89" t="str">
        <f ca="1">IFERROR(__xludf.DUMMYFUNCTION("""COMPUTED_VALUE"""),"4. Programas")</f>
        <v>4. Programas</v>
      </c>
      <c r="D483" s="89" t="str">
        <f ca="1">IFERROR(__xludf.DUMMYFUNCTION("""COMPUTED_VALUE"""),"Guadalajara: Capital de las niñas y los niños")</f>
        <v>Guadalajara: Capital de las niñas y los niños</v>
      </c>
      <c r="E483" s="89" t="str">
        <f ca="1">IFERROR(__xludf.DUMMYFUNCTION("""COMPUTED_VALUE"""),"Custodia, tutela, adopciones y acogimiento familiar")</f>
        <v>Custodia, tutela, adopciones y acogimiento familiar</v>
      </c>
      <c r="F483" s="89" t="str">
        <f ca="1">IFERROR(__xludf.DUMMYFUNCTION("""COMPUTED_VALUE"""),"C3. NNA del municipio de Guadalajara que recibieron servicios para la protección y restitución de sus derechos")</f>
        <v>C3. NNA del municipio de Guadalajara que recibieron servicios para la protección y restitución de sus derechos</v>
      </c>
      <c r="G483" s="89" t="str">
        <f ca="1">IFERROR(__xludf.DUMMYFUNCTION("""COMPUTED_VALUE"""),"Porcentaje de NNA con al menos un derecho protegido y/o restituido por la DIPNNA, en 2023")</f>
        <v>Porcentaje de NNA con al menos un derecho protegido y/o restituido por la DIPNNA, en 2023</v>
      </c>
      <c r="H483" s="89" t="str">
        <f ca="1">IFERROR(__xludf.DUMMYFUNCTION("""COMPUTED_VALUE"""),"NOS Octubre")</f>
        <v>NOS Octubre</v>
      </c>
      <c r="I483" s="89" t="str">
        <f ca="1">IFERROR(__xludf.DUMMYFUNCTION("""COMPUTED_VALUE"""),"Octubre")</f>
        <v>Octubre</v>
      </c>
      <c r="J483" s="89" t="str">
        <f ca="1">IFERROR(__xludf.DUMMYFUNCTION("""COMPUTED_VALUE"""),"NOS")</f>
        <v>NOS</v>
      </c>
      <c r="K483" s="92">
        <f ca="1">IFERROR(__xludf.DUMMYFUNCTION("""COMPUTED_VALUE"""),66)</f>
        <v>66</v>
      </c>
      <c r="L483" s="89" t="str">
        <f ca="1">IFERROR(__xludf.DUMMYFUNCTION("""COMPUTED_VALUE"""),"TRIMESTRE 4")</f>
        <v>TRIMESTRE 4</v>
      </c>
      <c r="M483" s="89" t="str">
        <f ca="1">IFERROR(__xludf.DUMMYFUNCTION("""COMPUTED_VALUE"""),"NIÑOS")</f>
        <v>NIÑOS</v>
      </c>
    </row>
    <row r="484" spans="1:13">
      <c r="A484" s="89" t="str">
        <f ca="1">IFERROR(__xludf.DUMMYFUNCTION("""COMPUTED_VALUE"""),"4.1.3.0")</f>
        <v>4.1.3.0</v>
      </c>
      <c r="B484" s="89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484" s="89" t="str">
        <f ca="1">IFERROR(__xludf.DUMMYFUNCTION("""COMPUTED_VALUE"""),"4. Programas")</f>
        <v>4. Programas</v>
      </c>
      <c r="D484" s="89" t="str">
        <f ca="1">IFERROR(__xludf.DUMMYFUNCTION("""COMPUTED_VALUE"""),"Guadalajara: Capital de las niñas y los niños")</f>
        <v>Guadalajara: Capital de las niñas y los niños</v>
      </c>
      <c r="E484" s="89" t="str">
        <f ca="1">IFERROR(__xludf.DUMMYFUNCTION("""COMPUTED_VALUE"""),"Custodia, tutela, adopciones y acogimiento familiar")</f>
        <v>Custodia, tutela, adopciones y acogimiento familiar</v>
      </c>
      <c r="F484" s="89" t="str">
        <f ca="1">IFERROR(__xludf.DUMMYFUNCTION("""COMPUTED_VALUE"""),"C3. NNA del municipio de Guadalajara que recibieron servicios para la protección y restitución de sus derechos")</f>
        <v>C3. NNA del municipio de Guadalajara que recibieron servicios para la protección y restitución de sus derechos</v>
      </c>
      <c r="G484" s="89" t="str">
        <f ca="1">IFERROR(__xludf.DUMMYFUNCTION("""COMPUTED_VALUE"""),"Porcentaje de NNA con al menos un derecho protegido y/o restituido por la DIPNNA, en 2023")</f>
        <v>Porcentaje de NNA con al menos un derecho protegido y/o restituido por la DIPNNA, en 2023</v>
      </c>
      <c r="H484" s="89" t="str">
        <f ca="1">IFERROR(__xludf.DUMMYFUNCTION("""COMPUTED_VALUE"""),"AM OCTUBRE")</f>
        <v>AM OCTUBRE</v>
      </c>
      <c r="I484" s="89" t="str">
        <f ca="1">IFERROR(__xludf.DUMMYFUNCTION("""COMPUTED_VALUE"""),"Octubre")</f>
        <v>Octubre</v>
      </c>
      <c r="J484" s="89" t="str">
        <f ca="1">IFERROR(__xludf.DUMMYFUNCTION("""COMPUTED_VALUE"""),"AM")</f>
        <v>AM</v>
      </c>
      <c r="K484" s="92">
        <f ca="1">IFERROR(__xludf.DUMMYFUNCTION("""COMPUTED_VALUE"""),45)</f>
        <v>45</v>
      </c>
      <c r="L484" s="89" t="str">
        <f ca="1">IFERROR(__xludf.DUMMYFUNCTION("""COMPUTED_VALUE"""),"TRIMESTRE 4")</f>
        <v>TRIMESTRE 4</v>
      </c>
      <c r="M484" s="89" t="str">
        <f ca="1">IFERROR(__xludf.DUMMYFUNCTION("""COMPUTED_VALUE"""),"ADOLESCENTES MUJERES")</f>
        <v>ADOLESCENTES MUJERES</v>
      </c>
    </row>
    <row r="485" spans="1:13">
      <c r="A485" s="89" t="str">
        <f ca="1">IFERROR(__xludf.DUMMYFUNCTION("""COMPUTED_VALUE"""),"4.1.3.0")</f>
        <v>4.1.3.0</v>
      </c>
      <c r="B485" s="89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485" s="89" t="str">
        <f ca="1">IFERROR(__xludf.DUMMYFUNCTION("""COMPUTED_VALUE"""),"4. Programas")</f>
        <v>4. Programas</v>
      </c>
      <c r="D485" s="89" t="str">
        <f ca="1">IFERROR(__xludf.DUMMYFUNCTION("""COMPUTED_VALUE"""),"Guadalajara: Capital de las niñas y los niños")</f>
        <v>Guadalajara: Capital de las niñas y los niños</v>
      </c>
      <c r="E485" s="89" t="str">
        <f ca="1">IFERROR(__xludf.DUMMYFUNCTION("""COMPUTED_VALUE"""),"Custodia, tutela, adopciones y acogimiento familiar")</f>
        <v>Custodia, tutela, adopciones y acogimiento familiar</v>
      </c>
      <c r="F485" s="89" t="str">
        <f ca="1">IFERROR(__xludf.DUMMYFUNCTION("""COMPUTED_VALUE"""),"C3. NNA del municipio de Guadalajara que recibieron servicios para la protección y restitución de sus derechos")</f>
        <v>C3. NNA del municipio de Guadalajara que recibieron servicios para la protección y restitución de sus derechos</v>
      </c>
      <c r="G485" s="89" t="str">
        <f ca="1">IFERROR(__xludf.DUMMYFUNCTION("""COMPUTED_VALUE"""),"Porcentaje de NNA con al menos un derecho protegido y/o restituido por la DIPNNA, en 2023")</f>
        <v>Porcentaje de NNA con al menos un derecho protegido y/o restituido por la DIPNNA, en 2023</v>
      </c>
      <c r="H485" s="89" t="str">
        <f ca="1">IFERROR(__xludf.DUMMYFUNCTION("""COMPUTED_VALUE"""),"AH OCTUBRE")</f>
        <v>AH OCTUBRE</v>
      </c>
      <c r="I485" s="89" t="str">
        <f ca="1">IFERROR(__xludf.DUMMYFUNCTION("""COMPUTED_VALUE"""),"Octubre")</f>
        <v>Octubre</v>
      </c>
      <c r="J485" s="89" t="str">
        <f ca="1">IFERROR(__xludf.DUMMYFUNCTION("""COMPUTED_VALUE"""),"AH")</f>
        <v>AH</v>
      </c>
      <c r="K485" s="92">
        <f ca="1">IFERROR(__xludf.DUMMYFUNCTION("""COMPUTED_VALUE"""),48)</f>
        <v>48</v>
      </c>
      <c r="L485" s="89" t="str">
        <f ca="1">IFERROR(__xludf.DUMMYFUNCTION("""COMPUTED_VALUE"""),"TRIMESTRE 4")</f>
        <v>TRIMESTRE 4</v>
      </c>
      <c r="M485" s="89" t="str">
        <f ca="1">IFERROR(__xludf.DUMMYFUNCTION("""COMPUTED_VALUE"""),"ADOLESCENTES HOMBRES")</f>
        <v>ADOLESCENTES HOMBRES</v>
      </c>
    </row>
    <row r="486" spans="1:13">
      <c r="A486" s="89" t="str">
        <f ca="1">IFERROR(__xludf.DUMMYFUNCTION("""COMPUTED_VALUE"""),"4.1.3.0")</f>
        <v>4.1.3.0</v>
      </c>
      <c r="B486" s="89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486" s="89" t="str">
        <f ca="1">IFERROR(__xludf.DUMMYFUNCTION("""COMPUTED_VALUE"""),"4. Programas")</f>
        <v>4. Programas</v>
      </c>
      <c r="D486" s="89" t="str">
        <f ca="1">IFERROR(__xludf.DUMMYFUNCTION("""COMPUTED_VALUE"""),"Guadalajara: Capital de las niñas y los niños")</f>
        <v>Guadalajara: Capital de las niñas y los niños</v>
      </c>
      <c r="E486" s="89" t="str">
        <f ca="1">IFERROR(__xludf.DUMMYFUNCTION("""COMPUTED_VALUE"""),"Custodia, tutela, adopciones y acogimiento familiar")</f>
        <v>Custodia, tutela, adopciones y acogimiento familiar</v>
      </c>
      <c r="F486" s="89" t="str">
        <f ca="1">IFERROR(__xludf.DUMMYFUNCTION("""COMPUTED_VALUE"""),"C3. NNA del municipio de Guadalajara que recibieron servicios para la protección y restitución de sus derechos")</f>
        <v>C3. NNA del municipio de Guadalajara que recibieron servicios para la protección y restitución de sus derechos</v>
      </c>
      <c r="G486" s="89" t="str">
        <f ca="1">IFERROR(__xludf.DUMMYFUNCTION("""COMPUTED_VALUE"""),"Porcentaje de NNA con al menos un derecho protegido y/o restituido por la DIPNNA, en 2023")</f>
        <v>Porcentaje de NNA con al menos un derecho protegido y/o restituido por la DIPNNA, en 2023</v>
      </c>
      <c r="H486" s="89" t="str">
        <f ca="1">IFERROR(__xludf.DUMMYFUNCTION("""COMPUTED_VALUE"""),"MUJ Octubre")</f>
        <v>MUJ Octubre</v>
      </c>
      <c r="I486" s="89" t="str">
        <f ca="1">IFERROR(__xludf.DUMMYFUNCTION("""COMPUTED_VALUE"""),"Octubre")</f>
        <v>Octubre</v>
      </c>
      <c r="J486" s="89" t="str">
        <f ca="1">IFERROR(__xludf.DUMMYFUNCTION("""COMPUTED_VALUE"""),"MUJ")</f>
        <v>MUJ</v>
      </c>
      <c r="K486" s="92"/>
      <c r="L486" s="89" t="str">
        <f ca="1">IFERROR(__xludf.DUMMYFUNCTION("""COMPUTED_VALUE"""),"TRIMESTRE 4")</f>
        <v>TRIMESTRE 4</v>
      </c>
      <c r="M486" s="89" t="str">
        <f ca="1">IFERROR(__xludf.DUMMYFUNCTION("""COMPUTED_VALUE"""),"MUJERES ADULTAS")</f>
        <v>MUJERES ADULTAS</v>
      </c>
    </row>
    <row r="487" spans="1:13">
      <c r="A487" s="89" t="str">
        <f ca="1">IFERROR(__xludf.DUMMYFUNCTION("""COMPUTED_VALUE"""),"4.1.3.0")</f>
        <v>4.1.3.0</v>
      </c>
      <c r="B487" s="89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487" s="89" t="str">
        <f ca="1">IFERROR(__xludf.DUMMYFUNCTION("""COMPUTED_VALUE"""),"4. Programas")</f>
        <v>4. Programas</v>
      </c>
      <c r="D487" s="89" t="str">
        <f ca="1">IFERROR(__xludf.DUMMYFUNCTION("""COMPUTED_VALUE"""),"Guadalajara: Capital de las niñas y los niños")</f>
        <v>Guadalajara: Capital de las niñas y los niños</v>
      </c>
      <c r="E487" s="89" t="str">
        <f ca="1">IFERROR(__xludf.DUMMYFUNCTION("""COMPUTED_VALUE"""),"Custodia, tutela, adopciones y acogimiento familiar")</f>
        <v>Custodia, tutela, adopciones y acogimiento familiar</v>
      </c>
      <c r="F487" s="89" t="str">
        <f ca="1">IFERROR(__xludf.DUMMYFUNCTION("""COMPUTED_VALUE"""),"C3. NNA del municipio de Guadalajara que recibieron servicios para la protección y restitución de sus derechos")</f>
        <v>C3. NNA del municipio de Guadalajara que recibieron servicios para la protección y restitución de sus derechos</v>
      </c>
      <c r="G487" s="89" t="str">
        <f ca="1">IFERROR(__xludf.DUMMYFUNCTION("""COMPUTED_VALUE"""),"Porcentaje de NNA con al menos un derecho protegido y/o restituido por la DIPNNA, en 2023")</f>
        <v>Porcentaje de NNA con al menos un derecho protegido y/o restituido por la DIPNNA, en 2023</v>
      </c>
      <c r="H487" s="89" t="str">
        <f ca="1">IFERROR(__xludf.DUMMYFUNCTION("""COMPUTED_VALUE"""),"HOM Octubre")</f>
        <v>HOM Octubre</v>
      </c>
      <c r="I487" s="89" t="str">
        <f ca="1">IFERROR(__xludf.DUMMYFUNCTION("""COMPUTED_VALUE"""),"Octubre")</f>
        <v>Octubre</v>
      </c>
      <c r="J487" s="89" t="str">
        <f ca="1">IFERROR(__xludf.DUMMYFUNCTION("""COMPUTED_VALUE"""),"HOM")</f>
        <v>HOM</v>
      </c>
      <c r="K487" s="92"/>
      <c r="L487" s="89" t="str">
        <f ca="1">IFERROR(__xludf.DUMMYFUNCTION("""COMPUTED_VALUE"""),"TRIMESTRE 4")</f>
        <v>TRIMESTRE 4</v>
      </c>
      <c r="M487" s="89" t="str">
        <f ca="1">IFERROR(__xludf.DUMMYFUNCTION("""COMPUTED_VALUE"""),"HOMBRES ADULTOS")</f>
        <v>HOMBRES ADULTOS</v>
      </c>
    </row>
    <row r="488" spans="1:13">
      <c r="A488" s="89" t="str">
        <f ca="1">IFERROR(__xludf.DUMMYFUNCTION("""COMPUTED_VALUE"""),"4.1.3.0")</f>
        <v>4.1.3.0</v>
      </c>
      <c r="B488" s="89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488" s="89" t="str">
        <f ca="1">IFERROR(__xludf.DUMMYFUNCTION("""COMPUTED_VALUE"""),"4. Programas")</f>
        <v>4. Programas</v>
      </c>
      <c r="D488" s="89" t="str">
        <f ca="1">IFERROR(__xludf.DUMMYFUNCTION("""COMPUTED_VALUE"""),"Guadalajara: Capital de las niñas y los niños")</f>
        <v>Guadalajara: Capital de las niñas y los niños</v>
      </c>
      <c r="E488" s="89" t="str">
        <f ca="1">IFERROR(__xludf.DUMMYFUNCTION("""COMPUTED_VALUE"""),"Custodia, tutela, adopciones y acogimiento familiar")</f>
        <v>Custodia, tutela, adopciones y acogimiento familiar</v>
      </c>
      <c r="F488" s="89" t="str">
        <f ca="1">IFERROR(__xludf.DUMMYFUNCTION("""COMPUTED_VALUE"""),"C3. NNA del municipio de Guadalajara que recibieron servicios para la protección y restitución de sus derechos")</f>
        <v>C3. NNA del municipio de Guadalajara que recibieron servicios para la protección y restitución de sus derechos</v>
      </c>
      <c r="G488" s="89" t="str">
        <f ca="1">IFERROR(__xludf.DUMMYFUNCTION("""COMPUTED_VALUE"""),"Porcentaje de NNA con al menos un derecho protegido y/o restituido por la DIPNNA, en 2023")</f>
        <v>Porcentaje de NNA con al menos un derecho protegido y/o restituido por la DIPNNA, en 2023</v>
      </c>
      <c r="H488" s="89" t="str">
        <f ca="1">IFERROR(__xludf.DUMMYFUNCTION("""COMPUTED_VALUE"""),"AMM Octubre")</f>
        <v>AMM Octubre</v>
      </c>
      <c r="I488" s="89" t="str">
        <f ca="1">IFERROR(__xludf.DUMMYFUNCTION("""COMPUTED_VALUE"""),"Octubre")</f>
        <v>Octubre</v>
      </c>
      <c r="J488" s="89" t="str">
        <f ca="1">IFERROR(__xludf.DUMMYFUNCTION("""COMPUTED_VALUE"""),"AMM")</f>
        <v>AMM</v>
      </c>
      <c r="K488" s="92"/>
      <c r="L488" s="89" t="str">
        <f ca="1">IFERROR(__xludf.DUMMYFUNCTION("""COMPUTED_VALUE"""),"TRIMESTRE 4")</f>
        <v>TRIMESTRE 4</v>
      </c>
      <c r="M488" s="89" t="str">
        <f ca="1">IFERROR(__xludf.DUMMYFUNCTION("""COMPUTED_VALUE"""),"ADULTA MAYOR MUJER")</f>
        <v>ADULTA MAYOR MUJER</v>
      </c>
    </row>
    <row r="489" spans="1:13">
      <c r="A489" s="89" t="str">
        <f ca="1">IFERROR(__xludf.DUMMYFUNCTION("""COMPUTED_VALUE"""),"4.1.3.0")</f>
        <v>4.1.3.0</v>
      </c>
      <c r="B489" s="89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489" s="89" t="str">
        <f ca="1">IFERROR(__xludf.DUMMYFUNCTION("""COMPUTED_VALUE"""),"4. Programas")</f>
        <v>4. Programas</v>
      </c>
      <c r="D489" s="89" t="str">
        <f ca="1">IFERROR(__xludf.DUMMYFUNCTION("""COMPUTED_VALUE"""),"Guadalajara: Capital de las niñas y los niños")</f>
        <v>Guadalajara: Capital de las niñas y los niños</v>
      </c>
      <c r="E489" s="89" t="str">
        <f ca="1">IFERROR(__xludf.DUMMYFUNCTION("""COMPUTED_VALUE"""),"Custodia, tutela, adopciones y acogimiento familiar")</f>
        <v>Custodia, tutela, adopciones y acogimiento familiar</v>
      </c>
      <c r="F489" s="89" t="str">
        <f ca="1">IFERROR(__xludf.DUMMYFUNCTION("""COMPUTED_VALUE"""),"C3. NNA del municipio de Guadalajara que recibieron servicios para la protección y restitución de sus derechos")</f>
        <v>C3. NNA del municipio de Guadalajara que recibieron servicios para la protección y restitución de sus derechos</v>
      </c>
      <c r="G489" s="89" t="str">
        <f ca="1">IFERROR(__xludf.DUMMYFUNCTION("""COMPUTED_VALUE"""),"Porcentaje de NNA con al menos un derecho protegido y/o restituido por la DIPNNA, en 2023")</f>
        <v>Porcentaje de NNA con al menos un derecho protegido y/o restituido por la DIPNNA, en 2023</v>
      </c>
      <c r="H489" s="89" t="str">
        <f ca="1">IFERROR(__xludf.DUMMYFUNCTION("""COMPUTED_VALUE"""),"AMH Octubre")</f>
        <v>AMH Octubre</v>
      </c>
      <c r="I489" s="89" t="str">
        <f ca="1">IFERROR(__xludf.DUMMYFUNCTION("""COMPUTED_VALUE"""),"Octubre")</f>
        <v>Octubre</v>
      </c>
      <c r="J489" s="89" t="str">
        <f ca="1">IFERROR(__xludf.DUMMYFUNCTION("""COMPUTED_VALUE"""),"AMH")</f>
        <v>AMH</v>
      </c>
      <c r="K489" s="92"/>
      <c r="L489" s="89" t="str">
        <f ca="1">IFERROR(__xludf.DUMMYFUNCTION("""COMPUTED_VALUE"""),"TRIMESTRE 4")</f>
        <v>TRIMESTRE 4</v>
      </c>
      <c r="M489" s="89" t="str">
        <f ca="1">IFERROR(__xludf.DUMMYFUNCTION("""COMPUTED_VALUE"""),"ADULTO MAYOR HOMBRE")</f>
        <v>ADULTO MAYOR HOMBRE</v>
      </c>
    </row>
    <row r="490" spans="1:13">
      <c r="A490" s="89" t="str">
        <f ca="1">IFERROR(__xludf.DUMMYFUNCTION("""COMPUTED_VALUE"""),"4.1.3.1")</f>
        <v>4.1.3.1</v>
      </c>
      <c r="B490" s="89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490" s="89" t="str">
        <f ca="1">IFERROR(__xludf.DUMMYFUNCTION("""COMPUTED_VALUE"""),"4. Programas")</f>
        <v>4. Programas</v>
      </c>
      <c r="D490" s="89" t="str">
        <f ca="1">IFERROR(__xludf.DUMMYFUNCTION("""COMPUTED_VALUE"""),"Guadalajara: Capital de las niñas y los niños")</f>
        <v>Guadalajara: Capital de las niñas y los niños</v>
      </c>
      <c r="E490" s="89" t="str">
        <f ca="1">IFERROR(__xludf.DUMMYFUNCTION("""COMPUTED_VALUE"""),"Custodia, tutela, adopciones y acogimiento familiar")</f>
        <v>Custodia, tutela, adopciones y acogimiento familiar</v>
      </c>
      <c r="F490" s="89" t="str">
        <f ca="1">IFERROR(__xludf.DUMMYFUNCTION("""COMPUTED_VALUE"""),"A1C3, Nuevas medidas de protección dictadas atendidas")</f>
        <v>A1C3, Nuevas medidas de protección dictadas atendidas</v>
      </c>
      <c r="G490" s="89" t="str">
        <f ca="1">IFERROR(__xludf.DUMMYFUNCTION("""COMPUTED_VALUE"""),"Porcentaje de NNA a los que se les dio seguimientos en las nuevas medidas de protección dictadas en 2023")</f>
        <v>Porcentaje de NNA a los que se les dio seguimientos en las nuevas medidas de protección dictadas en 2023</v>
      </c>
      <c r="H490" s="89" t="str">
        <f ca="1">IFERROR(__xludf.DUMMYFUNCTION("""COMPUTED_VALUE"""),"NAS Octubre")</f>
        <v>NAS Octubre</v>
      </c>
      <c r="I490" s="89" t="str">
        <f ca="1">IFERROR(__xludf.DUMMYFUNCTION("""COMPUTED_VALUE"""),"Octubre")</f>
        <v>Octubre</v>
      </c>
      <c r="J490" s="89" t="str">
        <f ca="1">IFERROR(__xludf.DUMMYFUNCTION("""COMPUTED_VALUE"""),"NAS")</f>
        <v>NAS</v>
      </c>
      <c r="K490" s="92">
        <f ca="1">IFERROR(__xludf.DUMMYFUNCTION("""COMPUTED_VALUE"""),10)</f>
        <v>10</v>
      </c>
      <c r="L490" s="89" t="str">
        <f ca="1">IFERROR(__xludf.DUMMYFUNCTION("""COMPUTED_VALUE"""),"TRIMESTRE 4")</f>
        <v>TRIMESTRE 4</v>
      </c>
      <c r="M490" s="89" t="str">
        <f ca="1">IFERROR(__xludf.DUMMYFUNCTION("""COMPUTED_VALUE"""),"NIÑAS")</f>
        <v>NIÑAS</v>
      </c>
    </row>
    <row r="491" spans="1:13">
      <c r="A491" s="89" t="str">
        <f ca="1">IFERROR(__xludf.DUMMYFUNCTION("""COMPUTED_VALUE"""),"4.1.3.1")</f>
        <v>4.1.3.1</v>
      </c>
      <c r="B491" s="89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491" s="89" t="str">
        <f ca="1">IFERROR(__xludf.DUMMYFUNCTION("""COMPUTED_VALUE"""),"4. Programas")</f>
        <v>4. Programas</v>
      </c>
      <c r="D491" s="89" t="str">
        <f ca="1">IFERROR(__xludf.DUMMYFUNCTION("""COMPUTED_VALUE"""),"Guadalajara: Capital de las niñas y los niños")</f>
        <v>Guadalajara: Capital de las niñas y los niños</v>
      </c>
      <c r="E491" s="89" t="str">
        <f ca="1">IFERROR(__xludf.DUMMYFUNCTION("""COMPUTED_VALUE"""),"Custodia, tutela, adopciones y acogimiento familiar")</f>
        <v>Custodia, tutela, adopciones y acogimiento familiar</v>
      </c>
      <c r="F491" s="89" t="str">
        <f ca="1">IFERROR(__xludf.DUMMYFUNCTION("""COMPUTED_VALUE"""),"A1C3, Nuevas medidas de protección dictadas atendidas")</f>
        <v>A1C3, Nuevas medidas de protección dictadas atendidas</v>
      </c>
      <c r="G491" s="89" t="str">
        <f ca="1">IFERROR(__xludf.DUMMYFUNCTION("""COMPUTED_VALUE"""),"Porcentaje de NNA a los que se les dio seguimientos en las nuevas medidas de protección dictadas en 2023")</f>
        <v>Porcentaje de NNA a los que se les dio seguimientos en las nuevas medidas de protección dictadas en 2023</v>
      </c>
      <c r="H491" s="89" t="str">
        <f ca="1">IFERROR(__xludf.DUMMYFUNCTION("""COMPUTED_VALUE"""),"NOS Octubre")</f>
        <v>NOS Octubre</v>
      </c>
      <c r="I491" s="89" t="str">
        <f ca="1">IFERROR(__xludf.DUMMYFUNCTION("""COMPUTED_VALUE"""),"Octubre")</f>
        <v>Octubre</v>
      </c>
      <c r="J491" s="89" t="str">
        <f ca="1">IFERROR(__xludf.DUMMYFUNCTION("""COMPUTED_VALUE"""),"NOS")</f>
        <v>NOS</v>
      </c>
      <c r="K491" s="92">
        <f ca="1">IFERROR(__xludf.DUMMYFUNCTION("""COMPUTED_VALUE"""),8)</f>
        <v>8</v>
      </c>
      <c r="L491" s="89" t="str">
        <f ca="1">IFERROR(__xludf.DUMMYFUNCTION("""COMPUTED_VALUE"""),"TRIMESTRE 4")</f>
        <v>TRIMESTRE 4</v>
      </c>
      <c r="M491" s="89" t="str">
        <f ca="1">IFERROR(__xludf.DUMMYFUNCTION("""COMPUTED_VALUE"""),"NIÑOS")</f>
        <v>NIÑOS</v>
      </c>
    </row>
    <row r="492" spans="1:13">
      <c r="A492" s="89" t="str">
        <f ca="1">IFERROR(__xludf.DUMMYFUNCTION("""COMPUTED_VALUE"""),"4.1.3.1")</f>
        <v>4.1.3.1</v>
      </c>
      <c r="B492" s="89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492" s="89" t="str">
        <f ca="1">IFERROR(__xludf.DUMMYFUNCTION("""COMPUTED_VALUE"""),"4. Programas")</f>
        <v>4. Programas</v>
      </c>
      <c r="D492" s="89" t="str">
        <f ca="1">IFERROR(__xludf.DUMMYFUNCTION("""COMPUTED_VALUE"""),"Guadalajara: Capital de las niñas y los niños")</f>
        <v>Guadalajara: Capital de las niñas y los niños</v>
      </c>
      <c r="E492" s="89" t="str">
        <f ca="1">IFERROR(__xludf.DUMMYFUNCTION("""COMPUTED_VALUE"""),"Custodia, tutela, adopciones y acogimiento familiar")</f>
        <v>Custodia, tutela, adopciones y acogimiento familiar</v>
      </c>
      <c r="F492" s="89" t="str">
        <f ca="1">IFERROR(__xludf.DUMMYFUNCTION("""COMPUTED_VALUE"""),"A1C3, Nuevas medidas de protección dictadas atendidas")</f>
        <v>A1C3, Nuevas medidas de protección dictadas atendidas</v>
      </c>
      <c r="G492" s="89" t="str">
        <f ca="1">IFERROR(__xludf.DUMMYFUNCTION("""COMPUTED_VALUE"""),"Porcentaje de NNA a los que se les dio seguimientos en las nuevas medidas de protección dictadas en 2023")</f>
        <v>Porcentaje de NNA a los que se les dio seguimientos en las nuevas medidas de protección dictadas en 2023</v>
      </c>
      <c r="H492" s="89" t="str">
        <f ca="1">IFERROR(__xludf.DUMMYFUNCTION("""COMPUTED_VALUE"""),"AM OCTUBRE")</f>
        <v>AM OCTUBRE</v>
      </c>
      <c r="I492" s="89" t="str">
        <f ca="1">IFERROR(__xludf.DUMMYFUNCTION("""COMPUTED_VALUE"""),"Octubre")</f>
        <v>Octubre</v>
      </c>
      <c r="J492" s="89" t="str">
        <f ca="1">IFERROR(__xludf.DUMMYFUNCTION("""COMPUTED_VALUE"""),"AM")</f>
        <v>AM</v>
      </c>
      <c r="K492" s="92"/>
      <c r="L492" s="89" t="str">
        <f ca="1">IFERROR(__xludf.DUMMYFUNCTION("""COMPUTED_VALUE"""),"TRIMESTRE 4")</f>
        <v>TRIMESTRE 4</v>
      </c>
      <c r="M492" s="89" t="str">
        <f ca="1">IFERROR(__xludf.DUMMYFUNCTION("""COMPUTED_VALUE"""),"ADOLESCENTES MUJERES")</f>
        <v>ADOLESCENTES MUJERES</v>
      </c>
    </row>
    <row r="493" spans="1:13">
      <c r="A493" s="89" t="str">
        <f ca="1">IFERROR(__xludf.DUMMYFUNCTION("""COMPUTED_VALUE"""),"4.1.3.1")</f>
        <v>4.1.3.1</v>
      </c>
      <c r="B493" s="89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493" s="89" t="str">
        <f ca="1">IFERROR(__xludf.DUMMYFUNCTION("""COMPUTED_VALUE"""),"4. Programas")</f>
        <v>4. Programas</v>
      </c>
      <c r="D493" s="89" t="str">
        <f ca="1">IFERROR(__xludf.DUMMYFUNCTION("""COMPUTED_VALUE"""),"Guadalajara: Capital de las niñas y los niños")</f>
        <v>Guadalajara: Capital de las niñas y los niños</v>
      </c>
      <c r="E493" s="89" t="str">
        <f ca="1">IFERROR(__xludf.DUMMYFUNCTION("""COMPUTED_VALUE"""),"Custodia, tutela, adopciones y acogimiento familiar")</f>
        <v>Custodia, tutela, adopciones y acogimiento familiar</v>
      </c>
      <c r="F493" s="89" t="str">
        <f ca="1">IFERROR(__xludf.DUMMYFUNCTION("""COMPUTED_VALUE"""),"A1C3, Nuevas medidas de protección dictadas atendidas")</f>
        <v>A1C3, Nuevas medidas de protección dictadas atendidas</v>
      </c>
      <c r="G493" s="89" t="str">
        <f ca="1">IFERROR(__xludf.DUMMYFUNCTION("""COMPUTED_VALUE"""),"Porcentaje de NNA a los que se les dio seguimientos en las nuevas medidas de protección dictadas en 2023")</f>
        <v>Porcentaje de NNA a los que se les dio seguimientos en las nuevas medidas de protección dictadas en 2023</v>
      </c>
      <c r="H493" s="89" t="str">
        <f ca="1">IFERROR(__xludf.DUMMYFUNCTION("""COMPUTED_VALUE"""),"AH OCTUBRE")</f>
        <v>AH OCTUBRE</v>
      </c>
      <c r="I493" s="89" t="str">
        <f ca="1">IFERROR(__xludf.DUMMYFUNCTION("""COMPUTED_VALUE"""),"Octubre")</f>
        <v>Octubre</v>
      </c>
      <c r="J493" s="89" t="str">
        <f ca="1">IFERROR(__xludf.DUMMYFUNCTION("""COMPUTED_VALUE"""),"AH")</f>
        <v>AH</v>
      </c>
      <c r="K493" s="92"/>
      <c r="L493" s="89" t="str">
        <f ca="1">IFERROR(__xludf.DUMMYFUNCTION("""COMPUTED_VALUE"""),"TRIMESTRE 4")</f>
        <v>TRIMESTRE 4</v>
      </c>
      <c r="M493" s="89" t="str">
        <f ca="1">IFERROR(__xludf.DUMMYFUNCTION("""COMPUTED_VALUE"""),"ADOLESCENTES HOMBRES")</f>
        <v>ADOLESCENTES HOMBRES</v>
      </c>
    </row>
    <row r="494" spans="1:13">
      <c r="A494" s="89" t="str">
        <f ca="1">IFERROR(__xludf.DUMMYFUNCTION("""COMPUTED_VALUE"""),"4.1.3.1")</f>
        <v>4.1.3.1</v>
      </c>
      <c r="B494" s="89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494" s="89" t="str">
        <f ca="1">IFERROR(__xludf.DUMMYFUNCTION("""COMPUTED_VALUE"""),"4. Programas")</f>
        <v>4. Programas</v>
      </c>
      <c r="D494" s="89" t="str">
        <f ca="1">IFERROR(__xludf.DUMMYFUNCTION("""COMPUTED_VALUE"""),"Guadalajara: Capital de las niñas y los niños")</f>
        <v>Guadalajara: Capital de las niñas y los niños</v>
      </c>
      <c r="E494" s="89" t="str">
        <f ca="1">IFERROR(__xludf.DUMMYFUNCTION("""COMPUTED_VALUE"""),"Custodia, tutela, adopciones y acogimiento familiar")</f>
        <v>Custodia, tutela, adopciones y acogimiento familiar</v>
      </c>
      <c r="F494" s="89" t="str">
        <f ca="1">IFERROR(__xludf.DUMMYFUNCTION("""COMPUTED_VALUE"""),"A1C3, Nuevas medidas de protección dictadas atendidas")</f>
        <v>A1C3, Nuevas medidas de protección dictadas atendidas</v>
      </c>
      <c r="G494" s="89" t="str">
        <f ca="1">IFERROR(__xludf.DUMMYFUNCTION("""COMPUTED_VALUE"""),"Porcentaje de NNA a los que se les dio seguimientos en las nuevas medidas de protección dictadas en 2023")</f>
        <v>Porcentaje de NNA a los que se les dio seguimientos en las nuevas medidas de protección dictadas en 2023</v>
      </c>
      <c r="H494" s="89" t="str">
        <f ca="1">IFERROR(__xludf.DUMMYFUNCTION("""COMPUTED_VALUE"""),"MUJ Octubre")</f>
        <v>MUJ Octubre</v>
      </c>
      <c r="I494" s="89" t="str">
        <f ca="1">IFERROR(__xludf.DUMMYFUNCTION("""COMPUTED_VALUE"""),"Octubre")</f>
        <v>Octubre</v>
      </c>
      <c r="J494" s="89" t="str">
        <f ca="1">IFERROR(__xludf.DUMMYFUNCTION("""COMPUTED_VALUE"""),"MUJ")</f>
        <v>MUJ</v>
      </c>
      <c r="K494" s="92"/>
      <c r="L494" s="89" t="str">
        <f ca="1">IFERROR(__xludf.DUMMYFUNCTION("""COMPUTED_VALUE"""),"TRIMESTRE 4")</f>
        <v>TRIMESTRE 4</v>
      </c>
      <c r="M494" s="89" t="str">
        <f ca="1">IFERROR(__xludf.DUMMYFUNCTION("""COMPUTED_VALUE"""),"MUJERES ADULTAS")</f>
        <v>MUJERES ADULTAS</v>
      </c>
    </row>
    <row r="495" spans="1:13">
      <c r="A495" s="89" t="str">
        <f ca="1">IFERROR(__xludf.DUMMYFUNCTION("""COMPUTED_VALUE"""),"4.1.3.1")</f>
        <v>4.1.3.1</v>
      </c>
      <c r="B495" s="89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495" s="89" t="str">
        <f ca="1">IFERROR(__xludf.DUMMYFUNCTION("""COMPUTED_VALUE"""),"4. Programas")</f>
        <v>4. Programas</v>
      </c>
      <c r="D495" s="89" t="str">
        <f ca="1">IFERROR(__xludf.DUMMYFUNCTION("""COMPUTED_VALUE"""),"Guadalajara: Capital de las niñas y los niños")</f>
        <v>Guadalajara: Capital de las niñas y los niños</v>
      </c>
      <c r="E495" s="89" t="str">
        <f ca="1">IFERROR(__xludf.DUMMYFUNCTION("""COMPUTED_VALUE"""),"Custodia, tutela, adopciones y acogimiento familiar")</f>
        <v>Custodia, tutela, adopciones y acogimiento familiar</v>
      </c>
      <c r="F495" s="89" t="str">
        <f ca="1">IFERROR(__xludf.DUMMYFUNCTION("""COMPUTED_VALUE"""),"A1C3, Nuevas medidas de protección dictadas atendidas")</f>
        <v>A1C3, Nuevas medidas de protección dictadas atendidas</v>
      </c>
      <c r="G495" s="89" t="str">
        <f ca="1">IFERROR(__xludf.DUMMYFUNCTION("""COMPUTED_VALUE"""),"Porcentaje de NNA a los que se les dio seguimientos en las nuevas medidas de protección dictadas en 2023")</f>
        <v>Porcentaje de NNA a los que se les dio seguimientos en las nuevas medidas de protección dictadas en 2023</v>
      </c>
      <c r="H495" s="89" t="str">
        <f ca="1">IFERROR(__xludf.DUMMYFUNCTION("""COMPUTED_VALUE"""),"HOM Octubre")</f>
        <v>HOM Octubre</v>
      </c>
      <c r="I495" s="89" t="str">
        <f ca="1">IFERROR(__xludf.DUMMYFUNCTION("""COMPUTED_VALUE"""),"Octubre")</f>
        <v>Octubre</v>
      </c>
      <c r="J495" s="89" t="str">
        <f ca="1">IFERROR(__xludf.DUMMYFUNCTION("""COMPUTED_VALUE"""),"HOM")</f>
        <v>HOM</v>
      </c>
      <c r="K495" s="92"/>
      <c r="L495" s="89" t="str">
        <f ca="1">IFERROR(__xludf.DUMMYFUNCTION("""COMPUTED_VALUE"""),"TRIMESTRE 4")</f>
        <v>TRIMESTRE 4</v>
      </c>
      <c r="M495" s="89" t="str">
        <f ca="1">IFERROR(__xludf.DUMMYFUNCTION("""COMPUTED_VALUE"""),"HOMBRES ADULTOS")</f>
        <v>HOMBRES ADULTOS</v>
      </c>
    </row>
    <row r="496" spans="1:13">
      <c r="A496" s="89" t="str">
        <f ca="1">IFERROR(__xludf.DUMMYFUNCTION("""COMPUTED_VALUE"""),"4.1.3.1")</f>
        <v>4.1.3.1</v>
      </c>
      <c r="B496" s="89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496" s="89" t="str">
        <f ca="1">IFERROR(__xludf.DUMMYFUNCTION("""COMPUTED_VALUE"""),"4. Programas")</f>
        <v>4. Programas</v>
      </c>
      <c r="D496" s="89" t="str">
        <f ca="1">IFERROR(__xludf.DUMMYFUNCTION("""COMPUTED_VALUE"""),"Guadalajara: Capital de las niñas y los niños")</f>
        <v>Guadalajara: Capital de las niñas y los niños</v>
      </c>
      <c r="E496" s="89" t="str">
        <f ca="1">IFERROR(__xludf.DUMMYFUNCTION("""COMPUTED_VALUE"""),"Custodia, tutela, adopciones y acogimiento familiar")</f>
        <v>Custodia, tutela, adopciones y acogimiento familiar</v>
      </c>
      <c r="F496" s="89" t="str">
        <f ca="1">IFERROR(__xludf.DUMMYFUNCTION("""COMPUTED_VALUE"""),"A1C3, Nuevas medidas de protección dictadas atendidas")</f>
        <v>A1C3, Nuevas medidas de protección dictadas atendidas</v>
      </c>
      <c r="G496" s="89" t="str">
        <f ca="1">IFERROR(__xludf.DUMMYFUNCTION("""COMPUTED_VALUE"""),"Porcentaje de NNA a los que se les dio seguimientos en las nuevas medidas de protección dictadas en 2023")</f>
        <v>Porcentaje de NNA a los que se les dio seguimientos en las nuevas medidas de protección dictadas en 2023</v>
      </c>
      <c r="H496" s="89" t="str">
        <f ca="1">IFERROR(__xludf.DUMMYFUNCTION("""COMPUTED_VALUE"""),"AMM Octubre")</f>
        <v>AMM Octubre</v>
      </c>
      <c r="I496" s="89" t="str">
        <f ca="1">IFERROR(__xludf.DUMMYFUNCTION("""COMPUTED_VALUE"""),"Octubre")</f>
        <v>Octubre</v>
      </c>
      <c r="J496" s="89" t="str">
        <f ca="1">IFERROR(__xludf.DUMMYFUNCTION("""COMPUTED_VALUE"""),"AMM")</f>
        <v>AMM</v>
      </c>
      <c r="K496" s="92"/>
      <c r="L496" s="89" t="str">
        <f ca="1">IFERROR(__xludf.DUMMYFUNCTION("""COMPUTED_VALUE"""),"TRIMESTRE 4")</f>
        <v>TRIMESTRE 4</v>
      </c>
      <c r="M496" s="89" t="str">
        <f ca="1">IFERROR(__xludf.DUMMYFUNCTION("""COMPUTED_VALUE"""),"ADULTA MAYOR MUJER")</f>
        <v>ADULTA MAYOR MUJER</v>
      </c>
    </row>
    <row r="497" spans="1:13">
      <c r="A497" s="89" t="str">
        <f ca="1">IFERROR(__xludf.DUMMYFUNCTION("""COMPUTED_VALUE"""),"4.1.3.1")</f>
        <v>4.1.3.1</v>
      </c>
      <c r="B497" s="89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497" s="89" t="str">
        <f ca="1">IFERROR(__xludf.DUMMYFUNCTION("""COMPUTED_VALUE"""),"4. Programas")</f>
        <v>4. Programas</v>
      </c>
      <c r="D497" s="89" t="str">
        <f ca="1">IFERROR(__xludf.DUMMYFUNCTION("""COMPUTED_VALUE"""),"Guadalajara: Capital de las niñas y los niños")</f>
        <v>Guadalajara: Capital de las niñas y los niños</v>
      </c>
      <c r="E497" s="89" t="str">
        <f ca="1">IFERROR(__xludf.DUMMYFUNCTION("""COMPUTED_VALUE"""),"Custodia, tutela, adopciones y acogimiento familiar")</f>
        <v>Custodia, tutela, adopciones y acogimiento familiar</v>
      </c>
      <c r="F497" s="89" t="str">
        <f ca="1">IFERROR(__xludf.DUMMYFUNCTION("""COMPUTED_VALUE"""),"A1C3, Nuevas medidas de protección dictadas atendidas")</f>
        <v>A1C3, Nuevas medidas de protección dictadas atendidas</v>
      </c>
      <c r="G497" s="89" t="str">
        <f ca="1">IFERROR(__xludf.DUMMYFUNCTION("""COMPUTED_VALUE"""),"Porcentaje de NNA a los que se les dio seguimientos en las nuevas medidas de protección dictadas en 2023")</f>
        <v>Porcentaje de NNA a los que se les dio seguimientos en las nuevas medidas de protección dictadas en 2023</v>
      </c>
      <c r="H497" s="89" t="str">
        <f ca="1">IFERROR(__xludf.DUMMYFUNCTION("""COMPUTED_VALUE"""),"AMH Octubre")</f>
        <v>AMH Octubre</v>
      </c>
      <c r="I497" s="89" t="str">
        <f ca="1">IFERROR(__xludf.DUMMYFUNCTION("""COMPUTED_VALUE"""),"Octubre")</f>
        <v>Octubre</v>
      </c>
      <c r="J497" s="89" t="str">
        <f ca="1">IFERROR(__xludf.DUMMYFUNCTION("""COMPUTED_VALUE"""),"AMH")</f>
        <v>AMH</v>
      </c>
      <c r="K497" s="92"/>
      <c r="L497" s="89" t="str">
        <f ca="1">IFERROR(__xludf.DUMMYFUNCTION("""COMPUTED_VALUE"""),"TRIMESTRE 4")</f>
        <v>TRIMESTRE 4</v>
      </c>
      <c r="M497" s="89" t="str">
        <f ca="1">IFERROR(__xludf.DUMMYFUNCTION("""COMPUTED_VALUE"""),"ADULTO MAYOR HOMBRE")</f>
        <v>ADULTO MAYOR HOMBRE</v>
      </c>
    </row>
    <row r="498" spans="1:13">
      <c r="A498" s="89" t="str">
        <f ca="1">IFERROR(__xludf.DUMMYFUNCTION("""COMPUTED_VALUE"""),"4.1.3.2")</f>
        <v>4.1.3.2</v>
      </c>
      <c r="B498" s="89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498" s="89" t="str">
        <f ca="1">IFERROR(__xludf.DUMMYFUNCTION("""COMPUTED_VALUE"""),"4. Programas")</f>
        <v>4. Programas</v>
      </c>
      <c r="D498" s="89" t="str">
        <f ca="1">IFERROR(__xludf.DUMMYFUNCTION("""COMPUTED_VALUE"""),"Guadalajara: Capital de las niñas y los niños")</f>
        <v>Guadalajara: Capital de las niñas y los niños</v>
      </c>
      <c r="E498" s="89" t="str">
        <f ca="1">IFERROR(__xludf.DUMMYFUNCTION("""COMPUTED_VALUE"""),"Custodia, tutela, adopciones y acogimiento familiar")</f>
        <v>Custodia, tutela, adopciones y acogimiento familiar</v>
      </c>
      <c r="F498" s="89" t="str">
        <f ca="1">IFERROR(__xludf.DUMMYFUNCTION("""COMPUTED_VALUE"""),"A2C3. Medidas de protección dictadas que se les dio seguimiento")</f>
        <v>A2C3. Medidas de protección dictadas que se les dio seguimiento</v>
      </c>
      <c r="G498" s="89" t="str">
        <f ca="1">IFERROR(__xludf.DUMMYFUNCTION("""COMPUTED_VALUE"""),"Porcentaje de NNA a los que se les dio seguimientos en las medidas de protección dictadas, en 2023")</f>
        <v>Porcentaje de NNA a los que se les dio seguimientos en las medidas de protección dictadas, en 2023</v>
      </c>
      <c r="H498" s="89" t="str">
        <f ca="1">IFERROR(__xludf.DUMMYFUNCTION("""COMPUTED_VALUE"""),"NAS Octubre")</f>
        <v>NAS Octubre</v>
      </c>
      <c r="I498" s="89" t="str">
        <f ca="1">IFERROR(__xludf.DUMMYFUNCTION("""COMPUTED_VALUE"""),"Octubre")</f>
        <v>Octubre</v>
      </c>
      <c r="J498" s="89" t="str">
        <f ca="1">IFERROR(__xludf.DUMMYFUNCTION("""COMPUTED_VALUE"""),"NAS")</f>
        <v>NAS</v>
      </c>
      <c r="K498" s="92">
        <f ca="1">IFERROR(__xludf.DUMMYFUNCTION("""COMPUTED_VALUE"""),64)</f>
        <v>64</v>
      </c>
      <c r="L498" s="89" t="str">
        <f ca="1">IFERROR(__xludf.DUMMYFUNCTION("""COMPUTED_VALUE"""),"TRIMESTRE 4")</f>
        <v>TRIMESTRE 4</v>
      </c>
      <c r="M498" s="89" t="str">
        <f ca="1">IFERROR(__xludf.DUMMYFUNCTION("""COMPUTED_VALUE"""),"NIÑAS")</f>
        <v>NIÑAS</v>
      </c>
    </row>
    <row r="499" spans="1:13">
      <c r="A499" s="89" t="str">
        <f ca="1">IFERROR(__xludf.DUMMYFUNCTION("""COMPUTED_VALUE"""),"4.1.3.2")</f>
        <v>4.1.3.2</v>
      </c>
      <c r="B499" s="89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499" s="89" t="str">
        <f ca="1">IFERROR(__xludf.DUMMYFUNCTION("""COMPUTED_VALUE"""),"4. Programas")</f>
        <v>4. Programas</v>
      </c>
      <c r="D499" s="89" t="str">
        <f ca="1">IFERROR(__xludf.DUMMYFUNCTION("""COMPUTED_VALUE"""),"Guadalajara: Capital de las niñas y los niños")</f>
        <v>Guadalajara: Capital de las niñas y los niños</v>
      </c>
      <c r="E499" s="89" t="str">
        <f ca="1">IFERROR(__xludf.DUMMYFUNCTION("""COMPUTED_VALUE"""),"Custodia, tutela, adopciones y acogimiento familiar")</f>
        <v>Custodia, tutela, adopciones y acogimiento familiar</v>
      </c>
      <c r="F499" s="89" t="str">
        <f ca="1">IFERROR(__xludf.DUMMYFUNCTION("""COMPUTED_VALUE"""),"A2C3. Medidas de protección dictadas que se les dio seguimiento")</f>
        <v>A2C3. Medidas de protección dictadas que se les dio seguimiento</v>
      </c>
      <c r="G499" s="89" t="str">
        <f ca="1">IFERROR(__xludf.DUMMYFUNCTION("""COMPUTED_VALUE"""),"Porcentaje de NNA a los que se les dio seguimientos en las medidas de protección dictadas, en 2023")</f>
        <v>Porcentaje de NNA a los que se les dio seguimientos en las medidas de protección dictadas, en 2023</v>
      </c>
      <c r="H499" s="89" t="str">
        <f ca="1">IFERROR(__xludf.DUMMYFUNCTION("""COMPUTED_VALUE"""),"NOS Octubre")</f>
        <v>NOS Octubre</v>
      </c>
      <c r="I499" s="89" t="str">
        <f ca="1">IFERROR(__xludf.DUMMYFUNCTION("""COMPUTED_VALUE"""),"Octubre")</f>
        <v>Octubre</v>
      </c>
      <c r="J499" s="89" t="str">
        <f ca="1">IFERROR(__xludf.DUMMYFUNCTION("""COMPUTED_VALUE"""),"NOS")</f>
        <v>NOS</v>
      </c>
      <c r="K499" s="92">
        <f ca="1">IFERROR(__xludf.DUMMYFUNCTION("""COMPUTED_VALUE"""),56)</f>
        <v>56</v>
      </c>
      <c r="L499" s="89" t="str">
        <f ca="1">IFERROR(__xludf.DUMMYFUNCTION("""COMPUTED_VALUE"""),"TRIMESTRE 4")</f>
        <v>TRIMESTRE 4</v>
      </c>
      <c r="M499" s="89" t="str">
        <f ca="1">IFERROR(__xludf.DUMMYFUNCTION("""COMPUTED_VALUE"""),"NIÑOS")</f>
        <v>NIÑOS</v>
      </c>
    </row>
    <row r="500" spans="1:13">
      <c r="A500" s="89" t="str">
        <f ca="1">IFERROR(__xludf.DUMMYFUNCTION("""COMPUTED_VALUE"""),"4.1.3.2")</f>
        <v>4.1.3.2</v>
      </c>
      <c r="B500" s="89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500" s="89" t="str">
        <f ca="1">IFERROR(__xludf.DUMMYFUNCTION("""COMPUTED_VALUE"""),"4. Programas")</f>
        <v>4. Programas</v>
      </c>
      <c r="D500" s="89" t="str">
        <f ca="1">IFERROR(__xludf.DUMMYFUNCTION("""COMPUTED_VALUE"""),"Guadalajara: Capital de las niñas y los niños")</f>
        <v>Guadalajara: Capital de las niñas y los niños</v>
      </c>
      <c r="E500" s="89" t="str">
        <f ca="1">IFERROR(__xludf.DUMMYFUNCTION("""COMPUTED_VALUE"""),"Custodia, tutela, adopciones y acogimiento familiar")</f>
        <v>Custodia, tutela, adopciones y acogimiento familiar</v>
      </c>
      <c r="F500" s="89" t="str">
        <f ca="1">IFERROR(__xludf.DUMMYFUNCTION("""COMPUTED_VALUE"""),"A2C3. Medidas de protección dictadas que se les dio seguimiento")</f>
        <v>A2C3. Medidas de protección dictadas que se les dio seguimiento</v>
      </c>
      <c r="G500" s="89" t="str">
        <f ca="1">IFERROR(__xludf.DUMMYFUNCTION("""COMPUTED_VALUE"""),"Porcentaje de NNA a los que se les dio seguimientos en las medidas de protección dictadas, en 2023")</f>
        <v>Porcentaje de NNA a los que se les dio seguimientos en las medidas de protección dictadas, en 2023</v>
      </c>
      <c r="H500" s="89" t="str">
        <f ca="1">IFERROR(__xludf.DUMMYFUNCTION("""COMPUTED_VALUE"""),"AM OCTUBRE")</f>
        <v>AM OCTUBRE</v>
      </c>
      <c r="I500" s="89" t="str">
        <f ca="1">IFERROR(__xludf.DUMMYFUNCTION("""COMPUTED_VALUE"""),"Octubre")</f>
        <v>Octubre</v>
      </c>
      <c r="J500" s="89" t="str">
        <f ca="1">IFERROR(__xludf.DUMMYFUNCTION("""COMPUTED_VALUE"""),"AM")</f>
        <v>AM</v>
      </c>
      <c r="K500" s="92">
        <f ca="1">IFERROR(__xludf.DUMMYFUNCTION("""COMPUTED_VALUE"""),31)</f>
        <v>31</v>
      </c>
      <c r="L500" s="89" t="str">
        <f ca="1">IFERROR(__xludf.DUMMYFUNCTION("""COMPUTED_VALUE"""),"TRIMESTRE 4")</f>
        <v>TRIMESTRE 4</v>
      </c>
      <c r="M500" s="89" t="str">
        <f ca="1">IFERROR(__xludf.DUMMYFUNCTION("""COMPUTED_VALUE"""),"ADOLESCENTES MUJERES")</f>
        <v>ADOLESCENTES MUJERES</v>
      </c>
    </row>
    <row r="501" spans="1:13">
      <c r="A501" s="89" t="str">
        <f ca="1">IFERROR(__xludf.DUMMYFUNCTION("""COMPUTED_VALUE"""),"4.1.3.2")</f>
        <v>4.1.3.2</v>
      </c>
      <c r="B501" s="89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501" s="89" t="str">
        <f ca="1">IFERROR(__xludf.DUMMYFUNCTION("""COMPUTED_VALUE"""),"4. Programas")</f>
        <v>4. Programas</v>
      </c>
      <c r="D501" s="89" t="str">
        <f ca="1">IFERROR(__xludf.DUMMYFUNCTION("""COMPUTED_VALUE"""),"Guadalajara: Capital de las niñas y los niños")</f>
        <v>Guadalajara: Capital de las niñas y los niños</v>
      </c>
      <c r="E501" s="89" t="str">
        <f ca="1">IFERROR(__xludf.DUMMYFUNCTION("""COMPUTED_VALUE"""),"Custodia, tutela, adopciones y acogimiento familiar")</f>
        <v>Custodia, tutela, adopciones y acogimiento familiar</v>
      </c>
      <c r="F501" s="89" t="str">
        <f ca="1">IFERROR(__xludf.DUMMYFUNCTION("""COMPUTED_VALUE"""),"A2C3. Medidas de protección dictadas que se les dio seguimiento")</f>
        <v>A2C3. Medidas de protección dictadas que se les dio seguimiento</v>
      </c>
      <c r="G501" s="89" t="str">
        <f ca="1">IFERROR(__xludf.DUMMYFUNCTION("""COMPUTED_VALUE"""),"Porcentaje de NNA a los que se les dio seguimientos en las medidas de protección dictadas, en 2023")</f>
        <v>Porcentaje de NNA a los que se les dio seguimientos en las medidas de protección dictadas, en 2023</v>
      </c>
      <c r="H501" s="89" t="str">
        <f ca="1">IFERROR(__xludf.DUMMYFUNCTION("""COMPUTED_VALUE"""),"AH OCTUBRE")</f>
        <v>AH OCTUBRE</v>
      </c>
      <c r="I501" s="89" t="str">
        <f ca="1">IFERROR(__xludf.DUMMYFUNCTION("""COMPUTED_VALUE"""),"Octubre")</f>
        <v>Octubre</v>
      </c>
      <c r="J501" s="89" t="str">
        <f ca="1">IFERROR(__xludf.DUMMYFUNCTION("""COMPUTED_VALUE"""),"AH")</f>
        <v>AH</v>
      </c>
      <c r="K501" s="92">
        <f ca="1">IFERROR(__xludf.DUMMYFUNCTION("""COMPUTED_VALUE"""),16)</f>
        <v>16</v>
      </c>
      <c r="L501" s="89" t="str">
        <f ca="1">IFERROR(__xludf.DUMMYFUNCTION("""COMPUTED_VALUE"""),"TRIMESTRE 4")</f>
        <v>TRIMESTRE 4</v>
      </c>
      <c r="M501" s="89" t="str">
        <f ca="1">IFERROR(__xludf.DUMMYFUNCTION("""COMPUTED_VALUE"""),"ADOLESCENTES HOMBRES")</f>
        <v>ADOLESCENTES HOMBRES</v>
      </c>
    </row>
    <row r="502" spans="1:13">
      <c r="A502" s="89" t="str">
        <f ca="1">IFERROR(__xludf.DUMMYFUNCTION("""COMPUTED_VALUE"""),"4.1.3.2")</f>
        <v>4.1.3.2</v>
      </c>
      <c r="B502" s="89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502" s="89" t="str">
        <f ca="1">IFERROR(__xludf.DUMMYFUNCTION("""COMPUTED_VALUE"""),"4. Programas")</f>
        <v>4. Programas</v>
      </c>
      <c r="D502" s="89" t="str">
        <f ca="1">IFERROR(__xludf.DUMMYFUNCTION("""COMPUTED_VALUE"""),"Guadalajara: Capital de las niñas y los niños")</f>
        <v>Guadalajara: Capital de las niñas y los niños</v>
      </c>
      <c r="E502" s="89" t="str">
        <f ca="1">IFERROR(__xludf.DUMMYFUNCTION("""COMPUTED_VALUE"""),"Custodia, tutela, adopciones y acogimiento familiar")</f>
        <v>Custodia, tutela, adopciones y acogimiento familiar</v>
      </c>
      <c r="F502" s="89" t="str">
        <f ca="1">IFERROR(__xludf.DUMMYFUNCTION("""COMPUTED_VALUE"""),"A2C3. Medidas de protección dictadas que se les dio seguimiento")</f>
        <v>A2C3. Medidas de protección dictadas que se les dio seguimiento</v>
      </c>
      <c r="G502" s="89" t="str">
        <f ca="1">IFERROR(__xludf.DUMMYFUNCTION("""COMPUTED_VALUE"""),"Porcentaje de NNA a los que se les dio seguimientos en las medidas de protección dictadas, en 2023")</f>
        <v>Porcentaje de NNA a los que se les dio seguimientos en las medidas de protección dictadas, en 2023</v>
      </c>
      <c r="H502" s="89" t="str">
        <f ca="1">IFERROR(__xludf.DUMMYFUNCTION("""COMPUTED_VALUE"""),"MUJ Octubre")</f>
        <v>MUJ Octubre</v>
      </c>
      <c r="I502" s="89" t="str">
        <f ca="1">IFERROR(__xludf.DUMMYFUNCTION("""COMPUTED_VALUE"""),"Octubre")</f>
        <v>Octubre</v>
      </c>
      <c r="J502" s="89" t="str">
        <f ca="1">IFERROR(__xludf.DUMMYFUNCTION("""COMPUTED_VALUE"""),"MUJ")</f>
        <v>MUJ</v>
      </c>
      <c r="K502" s="92"/>
      <c r="L502" s="89" t="str">
        <f ca="1">IFERROR(__xludf.DUMMYFUNCTION("""COMPUTED_VALUE"""),"TRIMESTRE 4")</f>
        <v>TRIMESTRE 4</v>
      </c>
      <c r="M502" s="89" t="str">
        <f ca="1">IFERROR(__xludf.DUMMYFUNCTION("""COMPUTED_VALUE"""),"MUJERES ADULTAS")</f>
        <v>MUJERES ADULTAS</v>
      </c>
    </row>
    <row r="503" spans="1:13">
      <c r="A503" s="89" t="str">
        <f ca="1">IFERROR(__xludf.DUMMYFUNCTION("""COMPUTED_VALUE"""),"4.1.3.2")</f>
        <v>4.1.3.2</v>
      </c>
      <c r="B503" s="89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503" s="89" t="str">
        <f ca="1">IFERROR(__xludf.DUMMYFUNCTION("""COMPUTED_VALUE"""),"4. Programas")</f>
        <v>4. Programas</v>
      </c>
      <c r="D503" s="89" t="str">
        <f ca="1">IFERROR(__xludf.DUMMYFUNCTION("""COMPUTED_VALUE"""),"Guadalajara: Capital de las niñas y los niños")</f>
        <v>Guadalajara: Capital de las niñas y los niños</v>
      </c>
      <c r="E503" s="89" t="str">
        <f ca="1">IFERROR(__xludf.DUMMYFUNCTION("""COMPUTED_VALUE"""),"Custodia, tutela, adopciones y acogimiento familiar")</f>
        <v>Custodia, tutela, adopciones y acogimiento familiar</v>
      </c>
      <c r="F503" s="89" t="str">
        <f ca="1">IFERROR(__xludf.DUMMYFUNCTION("""COMPUTED_VALUE"""),"A2C3. Medidas de protección dictadas que se les dio seguimiento")</f>
        <v>A2C3. Medidas de protección dictadas que se les dio seguimiento</v>
      </c>
      <c r="G503" s="89" t="str">
        <f ca="1">IFERROR(__xludf.DUMMYFUNCTION("""COMPUTED_VALUE"""),"Porcentaje de NNA a los que se les dio seguimientos en las medidas de protección dictadas, en 2023")</f>
        <v>Porcentaje de NNA a los que se les dio seguimientos en las medidas de protección dictadas, en 2023</v>
      </c>
      <c r="H503" s="89" t="str">
        <f ca="1">IFERROR(__xludf.DUMMYFUNCTION("""COMPUTED_VALUE"""),"HOM Octubre")</f>
        <v>HOM Octubre</v>
      </c>
      <c r="I503" s="89" t="str">
        <f ca="1">IFERROR(__xludf.DUMMYFUNCTION("""COMPUTED_VALUE"""),"Octubre")</f>
        <v>Octubre</v>
      </c>
      <c r="J503" s="89" t="str">
        <f ca="1">IFERROR(__xludf.DUMMYFUNCTION("""COMPUTED_VALUE"""),"HOM")</f>
        <v>HOM</v>
      </c>
      <c r="K503" s="92"/>
      <c r="L503" s="89" t="str">
        <f ca="1">IFERROR(__xludf.DUMMYFUNCTION("""COMPUTED_VALUE"""),"TRIMESTRE 4")</f>
        <v>TRIMESTRE 4</v>
      </c>
      <c r="M503" s="89" t="str">
        <f ca="1">IFERROR(__xludf.DUMMYFUNCTION("""COMPUTED_VALUE"""),"HOMBRES ADULTOS")</f>
        <v>HOMBRES ADULTOS</v>
      </c>
    </row>
    <row r="504" spans="1:13">
      <c r="A504" s="89" t="str">
        <f ca="1">IFERROR(__xludf.DUMMYFUNCTION("""COMPUTED_VALUE"""),"4.1.3.2")</f>
        <v>4.1.3.2</v>
      </c>
      <c r="B504" s="89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504" s="89" t="str">
        <f ca="1">IFERROR(__xludf.DUMMYFUNCTION("""COMPUTED_VALUE"""),"4. Programas")</f>
        <v>4. Programas</v>
      </c>
      <c r="D504" s="89" t="str">
        <f ca="1">IFERROR(__xludf.DUMMYFUNCTION("""COMPUTED_VALUE"""),"Guadalajara: Capital de las niñas y los niños")</f>
        <v>Guadalajara: Capital de las niñas y los niños</v>
      </c>
      <c r="E504" s="89" t="str">
        <f ca="1">IFERROR(__xludf.DUMMYFUNCTION("""COMPUTED_VALUE"""),"Custodia, tutela, adopciones y acogimiento familiar")</f>
        <v>Custodia, tutela, adopciones y acogimiento familiar</v>
      </c>
      <c r="F504" s="89" t="str">
        <f ca="1">IFERROR(__xludf.DUMMYFUNCTION("""COMPUTED_VALUE"""),"A2C3. Medidas de protección dictadas que se les dio seguimiento")</f>
        <v>A2C3. Medidas de protección dictadas que se les dio seguimiento</v>
      </c>
      <c r="G504" s="89" t="str">
        <f ca="1">IFERROR(__xludf.DUMMYFUNCTION("""COMPUTED_VALUE"""),"Porcentaje de NNA a los que se les dio seguimientos en las medidas de protección dictadas, en 2023")</f>
        <v>Porcentaje de NNA a los que se les dio seguimientos en las medidas de protección dictadas, en 2023</v>
      </c>
      <c r="H504" s="89" t="str">
        <f ca="1">IFERROR(__xludf.DUMMYFUNCTION("""COMPUTED_VALUE"""),"AMM Octubre")</f>
        <v>AMM Octubre</v>
      </c>
      <c r="I504" s="89" t="str">
        <f ca="1">IFERROR(__xludf.DUMMYFUNCTION("""COMPUTED_VALUE"""),"Octubre")</f>
        <v>Octubre</v>
      </c>
      <c r="J504" s="89" t="str">
        <f ca="1">IFERROR(__xludf.DUMMYFUNCTION("""COMPUTED_VALUE"""),"AMM")</f>
        <v>AMM</v>
      </c>
      <c r="K504" s="92"/>
      <c r="L504" s="89" t="str">
        <f ca="1">IFERROR(__xludf.DUMMYFUNCTION("""COMPUTED_VALUE"""),"TRIMESTRE 4")</f>
        <v>TRIMESTRE 4</v>
      </c>
      <c r="M504" s="89" t="str">
        <f ca="1">IFERROR(__xludf.DUMMYFUNCTION("""COMPUTED_VALUE"""),"ADULTA MAYOR MUJER")</f>
        <v>ADULTA MAYOR MUJER</v>
      </c>
    </row>
    <row r="505" spans="1:13">
      <c r="A505" s="89" t="str">
        <f ca="1">IFERROR(__xludf.DUMMYFUNCTION("""COMPUTED_VALUE"""),"4.1.3.2")</f>
        <v>4.1.3.2</v>
      </c>
      <c r="B505" s="89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505" s="89" t="str">
        <f ca="1">IFERROR(__xludf.DUMMYFUNCTION("""COMPUTED_VALUE"""),"4. Programas")</f>
        <v>4. Programas</v>
      </c>
      <c r="D505" s="89" t="str">
        <f ca="1">IFERROR(__xludf.DUMMYFUNCTION("""COMPUTED_VALUE"""),"Guadalajara: Capital de las niñas y los niños")</f>
        <v>Guadalajara: Capital de las niñas y los niños</v>
      </c>
      <c r="E505" s="89" t="str">
        <f ca="1">IFERROR(__xludf.DUMMYFUNCTION("""COMPUTED_VALUE"""),"Custodia, tutela, adopciones y acogimiento familiar")</f>
        <v>Custodia, tutela, adopciones y acogimiento familiar</v>
      </c>
      <c r="F505" s="89" t="str">
        <f ca="1">IFERROR(__xludf.DUMMYFUNCTION("""COMPUTED_VALUE"""),"A2C3. Medidas de protección dictadas que se les dio seguimiento")</f>
        <v>A2C3. Medidas de protección dictadas que se les dio seguimiento</v>
      </c>
      <c r="G505" s="89" t="str">
        <f ca="1">IFERROR(__xludf.DUMMYFUNCTION("""COMPUTED_VALUE"""),"Porcentaje de NNA a los que se les dio seguimientos en las medidas de protección dictadas, en 2023")</f>
        <v>Porcentaje de NNA a los que se les dio seguimientos en las medidas de protección dictadas, en 2023</v>
      </c>
      <c r="H505" s="89" t="str">
        <f ca="1">IFERROR(__xludf.DUMMYFUNCTION("""COMPUTED_VALUE"""),"AMH Octubre")</f>
        <v>AMH Octubre</v>
      </c>
      <c r="I505" s="89" t="str">
        <f ca="1">IFERROR(__xludf.DUMMYFUNCTION("""COMPUTED_VALUE"""),"Octubre")</f>
        <v>Octubre</v>
      </c>
      <c r="J505" s="89" t="str">
        <f ca="1">IFERROR(__xludf.DUMMYFUNCTION("""COMPUTED_VALUE"""),"AMH")</f>
        <v>AMH</v>
      </c>
      <c r="K505" s="92"/>
      <c r="L505" s="89" t="str">
        <f ca="1">IFERROR(__xludf.DUMMYFUNCTION("""COMPUTED_VALUE"""),"TRIMESTRE 4")</f>
        <v>TRIMESTRE 4</v>
      </c>
      <c r="M505" s="89" t="str">
        <f ca="1">IFERROR(__xludf.DUMMYFUNCTION("""COMPUTED_VALUE"""),"ADULTO MAYOR HOMBRE")</f>
        <v>ADULTO MAYOR HOMBRE</v>
      </c>
    </row>
    <row r="506" spans="1:13">
      <c r="A506" s="89" t="str">
        <f ca="1">IFERROR(__xludf.DUMMYFUNCTION("""COMPUTED_VALUE"""),"4.1.3.4")</f>
        <v>4.1.3.4</v>
      </c>
      <c r="B506" s="89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506" s="89" t="str">
        <f ca="1">IFERROR(__xludf.DUMMYFUNCTION("""COMPUTED_VALUE"""),"4. Programas")</f>
        <v>4. Programas</v>
      </c>
      <c r="D506" s="89" t="str">
        <f ca="1">IFERROR(__xludf.DUMMYFUNCTION("""COMPUTED_VALUE"""),"Guadalajara: Capital de las niñas y los niños")</f>
        <v>Guadalajara: Capital de las niñas y los niños</v>
      </c>
      <c r="E506" s="89" t="str">
        <f ca="1">IFERROR(__xludf.DUMMYFUNCTION("""COMPUTED_VALUE"""),"Custodia, tutela, adopciones y acogimiento familiar")</f>
        <v>Custodia, tutela, adopciones y acogimiento familiar</v>
      </c>
      <c r="F506" s="89" t="str">
        <f ca="1">IFERROR(__xludf.DUMMYFUNCTION("""COMPUTED_VALUE"""),"A4C3. NNA integrados en familias.")</f>
        <v>A4C3. NNA integrados en familias.</v>
      </c>
      <c r="G506" s="89" t="str">
        <f ca="1">IFERROR(__xludf.DUMMYFUNCTION("""COMPUTED_VALUE"""),"Porcentaje de NNA integrados en familias, en 2023")</f>
        <v>Porcentaje de NNA integrados en familias, en 2023</v>
      </c>
      <c r="H506" s="89" t="str">
        <f ca="1">IFERROR(__xludf.DUMMYFUNCTION("""COMPUTED_VALUE"""),"NAS Octubre")</f>
        <v>NAS Octubre</v>
      </c>
      <c r="I506" s="89" t="str">
        <f ca="1">IFERROR(__xludf.DUMMYFUNCTION("""COMPUTED_VALUE"""),"Octubre")</f>
        <v>Octubre</v>
      </c>
      <c r="J506" s="89" t="str">
        <f ca="1">IFERROR(__xludf.DUMMYFUNCTION("""COMPUTED_VALUE"""),"NAS")</f>
        <v>NAS</v>
      </c>
      <c r="K506" s="92">
        <f ca="1">IFERROR(__xludf.DUMMYFUNCTION("""COMPUTED_VALUE"""),19)</f>
        <v>19</v>
      </c>
      <c r="L506" s="89" t="str">
        <f ca="1">IFERROR(__xludf.DUMMYFUNCTION("""COMPUTED_VALUE"""),"TRIMESTRE 4")</f>
        <v>TRIMESTRE 4</v>
      </c>
      <c r="M506" s="89" t="str">
        <f ca="1">IFERROR(__xludf.DUMMYFUNCTION("""COMPUTED_VALUE"""),"NIÑAS")</f>
        <v>NIÑAS</v>
      </c>
    </row>
    <row r="507" spans="1:13">
      <c r="A507" s="89" t="str">
        <f ca="1">IFERROR(__xludf.DUMMYFUNCTION("""COMPUTED_VALUE"""),"4.1.3.4")</f>
        <v>4.1.3.4</v>
      </c>
      <c r="B507" s="89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507" s="89" t="str">
        <f ca="1">IFERROR(__xludf.DUMMYFUNCTION("""COMPUTED_VALUE"""),"4. Programas")</f>
        <v>4. Programas</v>
      </c>
      <c r="D507" s="89" t="str">
        <f ca="1">IFERROR(__xludf.DUMMYFUNCTION("""COMPUTED_VALUE"""),"Guadalajara: Capital de las niñas y los niños")</f>
        <v>Guadalajara: Capital de las niñas y los niños</v>
      </c>
      <c r="E507" s="89" t="str">
        <f ca="1">IFERROR(__xludf.DUMMYFUNCTION("""COMPUTED_VALUE"""),"Custodia, tutela, adopciones y acogimiento familiar")</f>
        <v>Custodia, tutela, adopciones y acogimiento familiar</v>
      </c>
      <c r="F507" s="89" t="str">
        <f ca="1">IFERROR(__xludf.DUMMYFUNCTION("""COMPUTED_VALUE"""),"A4C3. NNA integrados en familias.")</f>
        <v>A4C3. NNA integrados en familias.</v>
      </c>
      <c r="G507" s="89" t="str">
        <f ca="1">IFERROR(__xludf.DUMMYFUNCTION("""COMPUTED_VALUE"""),"Porcentaje de NNA integrados en familias, en 2023")</f>
        <v>Porcentaje de NNA integrados en familias, en 2023</v>
      </c>
      <c r="H507" s="89" t="str">
        <f ca="1">IFERROR(__xludf.DUMMYFUNCTION("""COMPUTED_VALUE"""),"NOS Octubre")</f>
        <v>NOS Octubre</v>
      </c>
      <c r="I507" s="89" t="str">
        <f ca="1">IFERROR(__xludf.DUMMYFUNCTION("""COMPUTED_VALUE"""),"Octubre")</f>
        <v>Octubre</v>
      </c>
      <c r="J507" s="89" t="str">
        <f ca="1">IFERROR(__xludf.DUMMYFUNCTION("""COMPUTED_VALUE"""),"NOS")</f>
        <v>NOS</v>
      </c>
      <c r="K507" s="92">
        <f ca="1">IFERROR(__xludf.DUMMYFUNCTION("""COMPUTED_VALUE"""),12)</f>
        <v>12</v>
      </c>
      <c r="L507" s="89" t="str">
        <f ca="1">IFERROR(__xludf.DUMMYFUNCTION("""COMPUTED_VALUE"""),"TRIMESTRE 4")</f>
        <v>TRIMESTRE 4</v>
      </c>
      <c r="M507" s="89" t="str">
        <f ca="1">IFERROR(__xludf.DUMMYFUNCTION("""COMPUTED_VALUE"""),"NIÑOS")</f>
        <v>NIÑOS</v>
      </c>
    </row>
    <row r="508" spans="1:13">
      <c r="A508" s="89" t="str">
        <f ca="1">IFERROR(__xludf.DUMMYFUNCTION("""COMPUTED_VALUE"""),"4.1.3.4")</f>
        <v>4.1.3.4</v>
      </c>
      <c r="B508" s="89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508" s="89" t="str">
        <f ca="1">IFERROR(__xludf.DUMMYFUNCTION("""COMPUTED_VALUE"""),"4. Programas")</f>
        <v>4. Programas</v>
      </c>
      <c r="D508" s="89" t="str">
        <f ca="1">IFERROR(__xludf.DUMMYFUNCTION("""COMPUTED_VALUE"""),"Guadalajara: Capital de las niñas y los niños")</f>
        <v>Guadalajara: Capital de las niñas y los niños</v>
      </c>
      <c r="E508" s="89" t="str">
        <f ca="1">IFERROR(__xludf.DUMMYFUNCTION("""COMPUTED_VALUE"""),"Custodia, tutela, adopciones y acogimiento familiar")</f>
        <v>Custodia, tutela, adopciones y acogimiento familiar</v>
      </c>
      <c r="F508" s="89" t="str">
        <f ca="1">IFERROR(__xludf.DUMMYFUNCTION("""COMPUTED_VALUE"""),"A4C3. NNA integrados en familias.")</f>
        <v>A4C3. NNA integrados en familias.</v>
      </c>
      <c r="G508" s="89" t="str">
        <f ca="1">IFERROR(__xludf.DUMMYFUNCTION("""COMPUTED_VALUE"""),"Porcentaje de NNA integrados en familias, en 2023")</f>
        <v>Porcentaje de NNA integrados en familias, en 2023</v>
      </c>
      <c r="H508" s="89" t="str">
        <f ca="1">IFERROR(__xludf.DUMMYFUNCTION("""COMPUTED_VALUE"""),"AM OCTUBRE")</f>
        <v>AM OCTUBRE</v>
      </c>
      <c r="I508" s="89" t="str">
        <f ca="1">IFERROR(__xludf.DUMMYFUNCTION("""COMPUTED_VALUE"""),"Octubre")</f>
        <v>Octubre</v>
      </c>
      <c r="J508" s="89" t="str">
        <f ca="1">IFERROR(__xludf.DUMMYFUNCTION("""COMPUTED_VALUE"""),"AM")</f>
        <v>AM</v>
      </c>
      <c r="K508" s="92"/>
      <c r="L508" s="89" t="str">
        <f ca="1">IFERROR(__xludf.DUMMYFUNCTION("""COMPUTED_VALUE"""),"TRIMESTRE 4")</f>
        <v>TRIMESTRE 4</v>
      </c>
      <c r="M508" s="89" t="str">
        <f ca="1">IFERROR(__xludf.DUMMYFUNCTION("""COMPUTED_VALUE"""),"ADOLESCENTES MUJERES")</f>
        <v>ADOLESCENTES MUJERES</v>
      </c>
    </row>
    <row r="509" spans="1:13">
      <c r="A509" s="89" t="str">
        <f ca="1">IFERROR(__xludf.DUMMYFUNCTION("""COMPUTED_VALUE"""),"4.1.3.4")</f>
        <v>4.1.3.4</v>
      </c>
      <c r="B509" s="89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509" s="89" t="str">
        <f ca="1">IFERROR(__xludf.DUMMYFUNCTION("""COMPUTED_VALUE"""),"4. Programas")</f>
        <v>4. Programas</v>
      </c>
      <c r="D509" s="89" t="str">
        <f ca="1">IFERROR(__xludf.DUMMYFUNCTION("""COMPUTED_VALUE"""),"Guadalajara: Capital de las niñas y los niños")</f>
        <v>Guadalajara: Capital de las niñas y los niños</v>
      </c>
      <c r="E509" s="89" t="str">
        <f ca="1">IFERROR(__xludf.DUMMYFUNCTION("""COMPUTED_VALUE"""),"Custodia, tutela, adopciones y acogimiento familiar")</f>
        <v>Custodia, tutela, adopciones y acogimiento familiar</v>
      </c>
      <c r="F509" s="89" t="str">
        <f ca="1">IFERROR(__xludf.DUMMYFUNCTION("""COMPUTED_VALUE"""),"A4C3. NNA integrados en familias.")</f>
        <v>A4C3. NNA integrados en familias.</v>
      </c>
      <c r="G509" s="89" t="str">
        <f ca="1">IFERROR(__xludf.DUMMYFUNCTION("""COMPUTED_VALUE"""),"Porcentaje de NNA integrados en familias, en 2023")</f>
        <v>Porcentaje de NNA integrados en familias, en 2023</v>
      </c>
      <c r="H509" s="89" t="str">
        <f ca="1">IFERROR(__xludf.DUMMYFUNCTION("""COMPUTED_VALUE"""),"AH OCTUBRE")</f>
        <v>AH OCTUBRE</v>
      </c>
      <c r="I509" s="89" t="str">
        <f ca="1">IFERROR(__xludf.DUMMYFUNCTION("""COMPUTED_VALUE"""),"Octubre")</f>
        <v>Octubre</v>
      </c>
      <c r="J509" s="89" t="str">
        <f ca="1">IFERROR(__xludf.DUMMYFUNCTION("""COMPUTED_VALUE"""),"AH")</f>
        <v>AH</v>
      </c>
      <c r="K509" s="92">
        <f ca="1">IFERROR(__xludf.DUMMYFUNCTION("""COMPUTED_VALUE"""),1)</f>
        <v>1</v>
      </c>
      <c r="L509" s="89" t="str">
        <f ca="1">IFERROR(__xludf.DUMMYFUNCTION("""COMPUTED_VALUE"""),"TRIMESTRE 4")</f>
        <v>TRIMESTRE 4</v>
      </c>
      <c r="M509" s="89" t="str">
        <f ca="1">IFERROR(__xludf.DUMMYFUNCTION("""COMPUTED_VALUE"""),"ADOLESCENTES HOMBRES")</f>
        <v>ADOLESCENTES HOMBRES</v>
      </c>
    </row>
    <row r="510" spans="1:13">
      <c r="A510" s="89" t="str">
        <f ca="1">IFERROR(__xludf.DUMMYFUNCTION("""COMPUTED_VALUE"""),"4.1.3.4")</f>
        <v>4.1.3.4</v>
      </c>
      <c r="B510" s="89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510" s="89" t="str">
        <f ca="1">IFERROR(__xludf.DUMMYFUNCTION("""COMPUTED_VALUE"""),"4. Programas")</f>
        <v>4. Programas</v>
      </c>
      <c r="D510" s="89" t="str">
        <f ca="1">IFERROR(__xludf.DUMMYFUNCTION("""COMPUTED_VALUE"""),"Guadalajara: Capital de las niñas y los niños")</f>
        <v>Guadalajara: Capital de las niñas y los niños</v>
      </c>
      <c r="E510" s="89" t="str">
        <f ca="1">IFERROR(__xludf.DUMMYFUNCTION("""COMPUTED_VALUE"""),"Custodia, tutela, adopciones y acogimiento familiar")</f>
        <v>Custodia, tutela, adopciones y acogimiento familiar</v>
      </c>
      <c r="F510" s="89" t="str">
        <f ca="1">IFERROR(__xludf.DUMMYFUNCTION("""COMPUTED_VALUE"""),"A4C3. NNA integrados en familias.")</f>
        <v>A4C3. NNA integrados en familias.</v>
      </c>
      <c r="G510" s="89" t="str">
        <f ca="1">IFERROR(__xludf.DUMMYFUNCTION("""COMPUTED_VALUE"""),"Porcentaje de NNA integrados en familias, en 2023")</f>
        <v>Porcentaje de NNA integrados en familias, en 2023</v>
      </c>
      <c r="H510" s="89" t="str">
        <f ca="1">IFERROR(__xludf.DUMMYFUNCTION("""COMPUTED_VALUE"""),"MUJ Octubre")</f>
        <v>MUJ Octubre</v>
      </c>
      <c r="I510" s="89" t="str">
        <f ca="1">IFERROR(__xludf.DUMMYFUNCTION("""COMPUTED_VALUE"""),"Octubre")</f>
        <v>Octubre</v>
      </c>
      <c r="J510" s="89" t="str">
        <f ca="1">IFERROR(__xludf.DUMMYFUNCTION("""COMPUTED_VALUE"""),"MUJ")</f>
        <v>MUJ</v>
      </c>
      <c r="K510" s="92"/>
      <c r="L510" s="89" t="str">
        <f ca="1">IFERROR(__xludf.DUMMYFUNCTION("""COMPUTED_VALUE"""),"TRIMESTRE 4")</f>
        <v>TRIMESTRE 4</v>
      </c>
      <c r="M510" s="89" t="str">
        <f ca="1">IFERROR(__xludf.DUMMYFUNCTION("""COMPUTED_VALUE"""),"MUJERES ADULTAS")</f>
        <v>MUJERES ADULTAS</v>
      </c>
    </row>
    <row r="511" spans="1:13">
      <c r="A511" s="89" t="str">
        <f ca="1">IFERROR(__xludf.DUMMYFUNCTION("""COMPUTED_VALUE"""),"4.1.3.4")</f>
        <v>4.1.3.4</v>
      </c>
      <c r="B511" s="89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511" s="89" t="str">
        <f ca="1">IFERROR(__xludf.DUMMYFUNCTION("""COMPUTED_VALUE"""),"4. Programas")</f>
        <v>4. Programas</v>
      </c>
      <c r="D511" s="89" t="str">
        <f ca="1">IFERROR(__xludf.DUMMYFUNCTION("""COMPUTED_VALUE"""),"Guadalajara: Capital de las niñas y los niños")</f>
        <v>Guadalajara: Capital de las niñas y los niños</v>
      </c>
      <c r="E511" s="89" t="str">
        <f ca="1">IFERROR(__xludf.DUMMYFUNCTION("""COMPUTED_VALUE"""),"Custodia, tutela, adopciones y acogimiento familiar")</f>
        <v>Custodia, tutela, adopciones y acogimiento familiar</v>
      </c>
      <c r="F511" s="89" t="str">
        <f ca="1">IFERROR(__xludf.DUMMYFUNCTION("""COMPUTED_VALUE"""),"A4C3. NNA integrados en familias.")</f>
        <v>A4C3. NNA integrados en familias.</v>
      </c>
      <c r="G511" s="89" t="str">
        <f ca="1">IFERROR(__xludf.DUMMYFUNCTION("""COMPUTED_VALUE"""),"Porcentaje de NNA integrados en familias, en 2023")</f>
        <v>Porcentaje de NNA integrados en familias, en 2023</v>
      </c>
      <c r="H511" s="89" t="str">
        <f ca="1">IFERROR(__xludf.DUMMYFUNCTION("""COMPUTED_VALUE"""),"HOM Octubre")</f>
        <v>HOM Octubre</v>
      </c>
      <c r="I511" s="89" t="str">
        <f ca="1">IFERROR(__xludf.DUMMYFUNCTION("""COMPUTED_VALUE"""),"Octubre")</f>
        <v>Octubre</v>
      </c>
      <c r="J511" s="89" t="str">
        <f ca="1">IFERROR(__xludf.DUMMYFUNCTION("""COMPUTED_VALUE"""),"HOM")</f>
        <v>HOM</v>
      </c>
      <c r="K511" s="92"/>
      <c r="L511" s="89" t="str">
        <f ca="1">IFERROR(__xludf.DUMMYFUNCTION("""COMPUTED_VALUE"""),"TRIMESTRE 4")</f>
        <v>TRIMESTRE 4</v>
      </c>
      <c r="M511" s="89" t="str">
        <f ca="1">IFERROR(__xludf.DUMMYFUNCTION("""COMPUTED_VALUE"""),"HOMBRES ADULTOS")</f>
        <v>HOMBRES ADULTOS</v>
      </c>
    </row>
    <row r="512" spans="1:13">
      <c r="A512" s="89" t="str">
        <f ca="1">IFERROR(__xludf.DUMMYFUNCTION("""COMPUTED_VALUE"""),"4.1.3.4")</f>
        <v>4.1.3.4</v>
      </c>
      <c r="B512" s="89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512" s="89" t="str">
        <f ca="1">IFERROR(__xludf.DUMMYFUNCTION("""COMPUTED_VALUE"""),"4. Programas")</f>
        <v>4. Programas</v>
      </c>
      <c r="D512" s="89" t="str">
        <f ca="1">IFERROR(__xludf.DUMMYFUNCTION("""COMPUTED_VALUE"""),"Guadalajara: Capital de las niñas y los niños")</f>
        <v>Guadalajara: Capital de las niñas y los niños</v>
      </c>
      <c r="E512" s="89" t="str">
        <f ca="1">IFERROR(__xludf.DUMMYFUNCTION("""COMPUTED_VALUE"""),"Custodia, tutela, adopciones y acogimiento familiar")</f>
        <v>Custodia, tutela, adopciones y acogimiento familiar</v>
      </c>
      <c r="F512" s="89" t="str">
        <f ca="1">IFERROR(__xludf.DUMMYFUNCTION("""COMPUTED_VALUE"""),"A4C3. NNA integrados en familias.")</f>
        <v>A4C3. NNA integrados en familias.</v>
      </c>
      <c r="G512" s="89" t="str">
        <f ca="1">IFERROR(__xludf.DUMMYFUNCTION("""COMPUTED_VALUE"""),"Porcentaje de NNA integrados en familias, en 2023")</f>
        <v>Porcentaje de NNA integrados en familias, en 2023</v>
      </c>
      <c r="H512" s="89" t="str">
        <f ca="1">IFERROR(__xludf.DUMMYFUNCTION("""COMPUTED_VALUE"""),"AMM Octubre")</f>
        <v>AMM Octubre</v>
      </c>
      <c r="I512" s="89" t="str">
        <f ca="1">IFERROR(__xludf.DUMMYFUNCTION("""COMPUTED_VALUE"""),"Octubre")</f>
        <v>Octubre</v>
      </c>
      <c r="J512" s="89" t="str">
        <f ca="1">IFERROR(__xludf.DUMMYFUNCTION("""COMPUTED_VALUE"""),"AMM")</f>
        <v>AMM</v>
      </c>
      <c r="K512" s="92"/>
      <c r="L512" s="89" t="str">
        <f ca="1">IFERROR(__xludf.DUMMYFUNCTION("""COMPUTED_VALUE"""),"TRIMESTRE 4")</f>
        <v>TRIMESTRE 4</v>
      </c>
      <c r="M512" s="89" t="str">
        <f ca="1">IFERROR(__xludf.DUMMYFUNCTION("""COMPUTED_VALUE"""),"ADULTA MAYOR MUJER")</f>
        <v>ADULTA MAYOR MUJER</v>
      </c>
    </row>
    <row r="513" spans="1:13">
      <c r="A513" s="89" t="str">
        <f ca="1">IFERROR(__xludf.DUMMYFUNCTION("""COMPUTED_VALUE"""),"4.1.3.4")</f>
        <v>4.1.3.4</v>
      </c>
      <c r="B513" s="89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513" s="89" t="str">
        <f ca="1">IFERROR(__xludf.DUMMYFUNCTION("""COMPUTED_VALUE"""),"4. Programas")</f>
        <v>4. Programas</v>
      </c>
      <c r="D513" s="89" t="str">
        <f ca="1">IFERROR(__xludf.DUMMYFUNCTION("""COMPUTED_VALUE"""),"Guadalajara: Capital de las niñas y los niños")</f>
        <v>Guadalajara: Capital de las niñas y los niños</v>
      </c>
      <c r="E513" s="89" t="str">
        <f ca="1">IFERROR(__xludf.DUMMYFUNCTION("""COMPUTED_VALUE"""),"Custodia, tutela, adopciones y acogimiento familiar")</f>
        <v>Custodia, tutela, adopciones y acogimiento familiar</v>
      </c>
      <c r="F513" s="89" t="str">
        <f ca="1">IFERROR(__xludf.DUMMYFUNCTION("""COMPUTED_VALUE"""),"A4C3. NNA integrados en familias.")</f>
        <v>A4C3. NNA integrados en familias.</v>
      </c>
      <c r="G513" s="89" t="str">
        <f ca="1">IFERROR(__xludf.DUMMYFUNCTION("""COMPUTED_VALUE"""),"Porcentaje de NNA integrados en familias, en 2023")</f>
        <v>Porcentaje de NNA integrados en familias, en 2023</v>
      </c>
      <c r="H513" s="89" t="str">
        <f ca="1">IFERROR(__xludf.DUMMYFUNCTION("""COMPUTED_VALUE"""),"AMH Octubre")</f>
        <v>AMH Octubre</v>
      </c>
      <c r="I513" s="89" t="str">
        <f ca="1">IFERROR(__xludf.DUMMYFUNCTION("""COMPUTED_VALUE"""),"Octubre")</f>
        <v>Octubre</v>
      </c>
      <c r="J513" s="89" t="str">
        <f ca="1">IFERROR(__xludf.DUMMYFUNCTION("""COMPUTED_VALUE"""),"AMH")</f>
        <v>AMH</v>
      </c>
      <c r="K513" s="92"/>
      <c r="L513" s="89" t="str">
        <f ca="1">IFERROR(__xludf.DUMMYFUNCTION("""COMPUTED_VALUE"""),"TRIMESTRE 4")</f>
        <v>TRIMESTRE 4</v>
      </c>
      <c r="M513" s="89" t="str">
        <f ca="1">IFERROR(__xludf.DUMMYFUNCTION("""COMPUTED_VALUE"""),"ADULTO MAYOR HOMBRE")</f>
        <v>ADULTO MAYOR HOMBRE</v>
      </c>
    </row>
    <row r="514" spans="1:13">
      <c r="A514" s="89" t="str">
        <f ca="1">IFERROR(__xludf.DUMMYFUNCTION("""COMPUTED_VALUE"""),"4.1.3.0")</f>
        <v>4.1.3.0</v>
      </c>
      <c r="B514" s="89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514" s="89" t="str">
        <f ca="1">IFERROR(__xludf.DUMMYFUNCTION("""COMPUTED_VALUE"""),"4. Programas")</f>
        <v>4. Programas</v>
      </c>
      <c r="D514" s="89" t="str">
        <f ca="1">IFERROR(__xludf.DUMMYFUNCTION("""COMPUTED_VALUE"""),"Guadalajara: Capital de las niñas y los niños")</f>
        <v>Guadalajara: Capital de las niñas y los niños</v>
      </c>
      <c r="E514" s="89" t="str">
        <f ca="1">IFERROR(__xludf.DUMMYFUNCTION("""COMPUTED_VALUE"""),"Custodia, tutela, adopciones y acogimiento familiar")</f>
        <v>Custodia, tutela, adopciones y acogimiento familiar</v>
      </c>
      <c r="F514" s="89" t="str">
        <f ca="1">IFERROR(__xludf.DUMMYFUNCTION("""COMPUTED_VALUE"""),"C3. NNA del municipio de Guadalajara que recibieron servicios para la protección y restitución de sus derechos")</f>
        <v>C3. NNA del municipio de Guadalajara que recibieron servicios para la protección y restitución de sus derechos</v>
      </c>
      <c r="G514" s="89" t="str">
        <f ca="1">IFERROR(__xludf.DUMMYFUNCTION("""COMPUTED_VALUE"""),"Porcentaje de NNA con al menos un derecho protegido y/o restituido por la DIPNNA, en 2023")</f>
        <v>Porcentaje de NNA con al menos un derecho protegido y/o restituido por la DIPNNA, en 2023</v>
      </c>
      <c r="H514" s="89" t="str">
        <f ca="1">IFERROR(__xludf.DUMMYFUNCTION("""COMPUTED_VALUE"""),"NAS Noviembre")</f>
        <v>NAS Noviembre</v>
      </c>
      <c r="I514" s="89" t="str">
        <f ca="1">IFERROR(__xludf.DUMMYFUNCTION("""COMPUTED_VALUE"""),"Noviembre")</f>
        <v>Noviembre</v>
      </c>
      <c r="J514" s="89" t="str">
        <f ca="1">IFERROR(__xludf.DUMMYFUNCTION("""COMPUTED_VALUE"""),"NAS")</f>
        <v>NAS</v>
      </c>
      <c r="K514" s="92">
        <f ca="1">IFERROR(__xludf.DUMMYFUNCTION("""COMPUTED_VALUE"""),81)</f>
        <v>81</v>
      </c>
      <c r="L514" s="89" t="str">
        <f ca="1">IFERROR(__xludf.DUMMYFUNCTION("""COMPUTED_VALUE"""),"TRIMESTRE 4")</f>
        <v>TRIMESTRE 4</v>
      </c>
      <c r="M514" s="89" t="str">
        <f ca="1">IFERROR(__xludf.DUMMYFUNCTION("""COMPUTED_VALUE"""),"NIÑAS")</f>
        <v>NIÑAS</v>
      </c>
    </row>
    <row r="515" spans="1:13">
      <c r="A515" s="89" t="str">
        <f ca="1">IFERROR(__xludf.DUMMYFUNCTION("""COMPUTED_VALUE"""),"4.1.3.0")</f>
        <v>4.1.3.0</v>
      </c>
      <c r="B515" s="89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515" s="89" t="str">
        <f ca="1">IFERROR(__xludf.DUMMYFUNCTION("""COMPUTED_VALUE"""),"4. Programas")</f>
        <v>4. Programas</v>
      </c>
      <c r="D515" s="89" t="str">
        <f ca="1">IFERROR(__xludf.DUMMYFUNCTION("""COMPUTED_VALUE"""),"Guadalajara: Capital de las niñas y los niños")</f>
        <v>Guadalajara: Capital de las niñas y los niños</v>
      </c>
      <c r="E515" s="89" t="str">
        <f ca="1">IFERROR(__xludf.DUMMYFUNCTION("""COMPUTED_VALUE"""),"Custodia, tutela, adopciones y acogimiento familiar")</f>
        <v>Custodia, tutela, adopciones y acogimiento familiar</v>
      </c>
      <c r="F515" s="89" t="str">
        <f ca="1">IFERROR(__xludf.DUMMYFUNCTION("""COMPUTED_VALUE"""),"C3. NNA del municipio de Guadalajara que recibieron servicios para la protección y restitución de sus derechos")</f>
        <v>C3. NNA del municipio de Guadalajara que recibieron servicios para la protección y restitución de sus derechos</v>
      </c>
      <c r="G515" s="89" t="str">
        <f ca="1">IFERROR(__xludf.DUMMYFUNCTION("""COMPUTED_VALUE"""),"Porcentaje de NNA con al menos un derecho protegido y/o restituido por la DIPNNA, en 2023")</f>
        <v>Porcentaje de NNA con al menos un derecho protegido y/o restituido por la DIPNNA, en 2023</v>
      </c>
      <c r="H515" s="89" t="str">
        <f ca="1">IFERROR(__xludf.DUMMYFUNCTION("""COMPUTED_VALUE"""),"NOS Noviembre")</f>
        <v>NOS Noviembre</v>
      </c>
      <c r="I515" s="89" t="str">
        <f ca="1">IFERROR(__xludf.DUMMYFUNCTION("""COMPUTED_VALUE"""),"Noviembre")</f>
        <v>Noviembre</v>
      </c>
      <c r="J515" s="89" t="str">
        <f ca="1">IFERROR(__xludf.DUMMYFUNCTION("""COMPUTED_VALUE"""),"NOS")</f>
        <v>NOS</v>
      </c>
      <c r="K515" s="92">
        <f ca="1">IFERROR(__xludf.DUMMYFUNCTION("""COMPUTED_VALUE"""),89)</f>
        <v>89</v>
      </c>
      <c r="L515" s="89" t="str">
        <f ca="1">IFERROR(__xludf.DUMMYFUNCTION("""COMPUTED_VALUE"""),"TRIMESTRE 4")</f>
        <v>TRIMESTRE 4</v>
      </c>
      <c r="M515" s="89" t="str">
        <f ca="1">IFERROR(__xludf.DUMMYFUNCTION("""COMPUTED_VALUE"""),"NIÑOS")</f>
        <v>NIÑOS</v>
      </c>
    </row>
    <row r="516" spans="1:13">
      <c r="A516" s="89" t="str">
        <f ca="1">IFERROR(__xludf.DUMMYFUNCTION("""COMPUTED_VALUE"""),"4.1.3.0")</f>
        <v>4.1.3.0</v>
      </c>
      <c r="B516" s="89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516" s="89" t="str">
        <f ca="1">IFERROR(__xludf.DUMMYFUNCTION("""COMPUTED_VALUE"""),"4. Programas")</f>
        <v>4. Programas</v>
      </c>
      <c r="D516" s="89" t="str">
        <f ca="1">IFERROR(__xludf.DUMMYFUNCTION("""COMPUTED_VALUE"""),"Guadalajara: Capital de las niñas y los niños")</f>
        <v>Guadalajara: Capital de las niñas y los niños</v>
      </c>
      <c r="E516" s="89" t="str">
        <f ca="1">IFERROR(__xludf.DUMMYFUNCTION("""COMPUTED_VALUE"""),"Custodia, tutela, adopciones y acogimiento familiar")</f>
        <v>Custodia, tutela, adopciones y acogimiento familiar</v>
      </c>
      <c r="F516" s="89" t="str">
        <f ca="1">IFERROR(__xludf.DUMMYFUNCTION("""COMPUTED_VALUE"""),"C3. NNA del municipio de Guadalajara que recibieron servicios para la protección y restitución de sus derechos")</f>
        <v>C3. NNA del municipio de Guadalajara que recibieron servicios para la protección y restitución de sus derechos</v>
      </c>
      <c r="G516" s="89" t="str">
        <f ca="1">IFERROR(__xludf.DUMMYFUNCTION("""COMPUTED_VALUE"""),"Porcentaje de NNA con al menos un derecho protegido y/o restituido por la DIPNNA, en 2023")</f>
        <v>Porcentaje de NNA con al menos un derecho protegido y/o restituido por la DIPNNA, en 2023</v>
      </c>
      <c r="H516" s="89" t="str">
        <f ca="1">IFERROR(__xludf.DUMMYFUNCTION("""COMPUTED_VALUE"""),"AM NOVIEMBRE")</f>
        <v>AM NOVIEMBRE</v>
      </c>
      <c r="I516" s="89" t="str">
        <f ca="1">IFERROR(__xludf.DUMMYFUNCTION("""COMPUTED_VALUE"""),"Noviembre")</f>
        <v>Noviembre</v>
      </c>
      <c r="J516" s="89" t="str">
        <f ca="1">IFERROR(__xludf.DUMMYFUNCTION("""COMPUTED_VALUE"""),"AM")</f>
        <v>AM</v>
      </c>
      <c r="K516" s="92">
        <f ca="1">IFERROR(__xludf.DUMMYFUNCTION("""COMPUTED_VALUE"""),48)</f>
        <v>48</v>
      </c>
      <c r="L516" s="89" t="str">
        <f ca="1">IFERROR(__xludf.DUMMYFUNCTION("""COMPUTED_VALUE"""),"TRIMESTRE 4")</f>
        <v>TRIMESTRE 4</v>
      </c>
      <c r="M516" s="89" t="str">
        <f ca="1">IFERROR(__xludf.DUMMYFUNCTION("""COMPUTED_VALUE"""),"ADOLESCENTES MUJERES")</f>
        <v>ADOLESCENTES MUJERES</v>
      </c>
    </row>
    <row r="517" spans="1:13">
      <c r="A517" s="89" t="str">
        <f ca="1">IFERROR(__xludf.DUMMYFUNCTION("""COMPUTED_VALUE"""),"4.1.3.0")</f>
        <v>4.1.3.0</v>
      </c>
      <c r="B517" s="89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517" s="89" t="str">
        <f ca="1">IFERROR(__xludf.DUMMYFUNCTION("""COMPUTED_VALUE"""),"4. Programas")</f>
        <v>4. Programas</v>
      </c>
      <c r="D517" s="89" t="str">
        <f ca="1">IFERROR(__xludf.DUMMYFUNCTION("""COMPUTED_VALUE"""),"Guadalajara: Capital de las niñas y los niños")</f>
        <v>Guadalajara: Capital de las niñas y los niños</v>
      </c>
      <c r="E517" s="89" t="str">
        <f ca="1">IFERROR(__xludf.DUMMYFUNCTION("""COMPUTED_VALUE"""),"Custodia, tutela, adopciones y acogimiento familiar")</f>
        <v>Custodia, tutela, adopciones y acogimiento familiar</v>
      </c>
      <c r="F517" s="89" t="str">
        <f ca="1">IFERROR(__xludf.DUMMYFUNCTION("""COMPUTED_VALUE"""),"C3. NNA del municipio de Guadalajara que recibieron servicios para la protección y restitución de sus derechos")</f>
        <v>C3. NNA del municipio de Guadalajara que recibieron servicios para la protección y restitución de sus derechos</v>
      </c>
      <c r="G517" s="89" t="str">
        <f ca="1">IFERROR(__xludf.DUMMYFUNCTION("""COMPUTED_VALUE"""),"Porcentaje de NNA con al menos un derecho protegido y/o restituido por la DIPNNA, en 2023")</f>
        <v>Porcentaje de NNA con al menos un derecho protegido y/o restituido por la DIPNNA, en 2023</v>
      </c>
      <c r="H517" s="89" t="str">
        <f ca="1">IFERROR(__xludf.DUMMYFUNCTION("""COMPUTED_VALUE"""),"AH NOVIEMBRE")</f>
        <v>AH NOVIEMBRE</v>
      </c>
      <c r="I517" s="89" t="str">
        <f ca="1">IFERROR(__xludf.DUMMYFUNCTION("""COMPUTED_VALUE"""),"Noviembre")</f>
        <v>Noviembre</v>
      </c>
      <c r="J517" s="89" t="str">
        <f ca="1">IFERROR(__xludf.DUMMYFUNCTION("""COMPUTED_VALUE"""),"AH")</f>
        <v>AH</v>
      </c>
      <c r="K517" s="92">
        <f ca="1">IFERROR(__xludf.DUMMYFUNCTION("""COMPUTED_VALUE"""),40)</f>
        <v>40</v>
      </c>
      <c r="L517" s="89" t="str">
        <f ca="1">IFERROR(__xludf.DUMMYFUNCTION("""COMPUTED_VALUE"""),"TRIMESTRE 4")</f>
        <v>TRIMESTRE 4</v>
      </c>
      <c r="M517" s="89" t="str">
        <f ca="1">IFERROR(__xludf.DUMMYFUNCTION("""COMPUTED_VALUE"""),"ADOLESCENTES HOMBRES")</f>
        <v>ADOLESCENTES HOMBRES</v>
      </c>
    </row>
    <row r="518" spans="1:13">
      <c r="A518" s="89" t="str">
        <f ca="1">IFERROR(__xludf.DUMMYFUNCTION("""COMPUTED_VALUE"""),"4.1.3.0")</f>
        <v>4.1.3.0</v>
      </c>
      <c r="B518" s="89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518" s="89" t="str">
        <f ca="1">IFERROR(__xludf.DUMMYFUNCTION("""COMPUTED_VALUE"""),"4. Programas")</f>
        <v>4. Programas</v>
      </c>
      <c r="D518" s="89" t="str">
        <f ca="1">IFERROR(__xludf.DUMMYFUNCTION("""COMPUTED_VALUE"""),"Guadalajara: Capital de las niñas y los niños")</f>
        <v>Guadalajara: Capital de las niñas y los niños</v>
      </c>
      <c r="E518" s="89" t="str">
        <f ca="1">IFERROR(__xludf.DUMMYFUNCTION("""COMPUTED_VALUE"""),"Custodia, tutela, adopciones y acogimiento familiar")</f>
        <v>Custodia, tutela, adopciones y acogimiento familiar</v>
      </c>
      <c r="F518" s="89" t="str">
        <f ca="1">IFERROR(__xludf.DUMMYFUNCTION("""COMPUTED_VALUE"""),"C3. NNA del municipio de Guadalajara que recibieron servicios para la protección y restitución de sus derechos")</f>
        <v>C3. NNA del municipio de Guadalajara que recibieron servicios para la protección y restitución de sus derechos</v>
      </c>
      <c r="G518" s="89" t="str">
        <f ca="1">IFERROR(__xludf.DUMMYFUNCTION("""COMPUTED_VALUE"""),"Porcentaje de NNA con al menos un derecho protegido y/o restituido por la DIPNNA, en 2023")</f>
        <v>Porcentaje de NNA con al menos un derecho protegido y/o restituido por la DIPNNA, en 2023</v>
      </c>
      <c r="H518" s="89" t="str">
        <f ca="1">IFERROR(__xludf.DUMMYFUNCTION("""COMPUTED_VALUE"""),"MUJ Noviembre")</f>
        <v>MUJ Noviembre</v>
      </c>
      <c r="I518" s="89" t="str">
        <f ca="1">IFERROR(__xludf.DUMMYFUNCTION("""COMPUTED_VALUE"""),"Noviembre")</f>
        <v>Noviembre</v>
      </c>
      <c r="J518" s="89" t="str">
        <f ca="1">IFERROR(__xludf.DUMMYFUNCTION("""COMPUTED_VALUE"""),"MUJ")</f>
        <v>MUJ</v>
      </c>
      <c r="K518" s="92"/>
      <c r="L518" s="89" t="str">
        <f ca="1">IFERROR(__xludf.DUMMYFUNCTION("""COMPUTED_VALUE"""),"TRIMESTRE 4")</f>
        <v>TRIMESTRE 4</v>
      </c>
      <c r="M518" s="89" t="str">
        <f ca="1">IFERROR(__xludf.DUMMYFUNCTION("""COMPUTED_VALUE"""),"MUJERES ADULTAS")</f>
        <v>MUJERES ADULTAS</v>
      </c>
    </row>
    <row r="519" spans="1:13">
      <c r="A519" s="89" t="str">
        <f ca="1">IFERROR(__xludf.DUMMYFUNCTION("""COMPUTED_VALUE"""),"4.1.3.0")</f>
        <v>4.1.3.0</v>
      </c>
      <c r="B519" s="89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519" s="89" t="str">
        <f ca="1">IFERROR(__xludf.DUMMYFUNCTION("""COMPUTED_VALUE"""),"4. Programas")</f>
        <v>4. Programas</v>
      </c>
      <c r="D519" s="89" t="str">
        <f ca="1">IFERROR(__xludf.DUMMYFUNCTION("""COMPUTED_VALUE"""),"Guadalajara: Capital de las niñas y los niños")</f>
        <v>Guadalajara: Capital de las niñas y los niños</v>
      </c>
      <c r="E519" s="89" t="str">
        <f ca="1">IFERROR(__xludf.DUMMYFUNCTION("""COMPUTED_VALUE"""),"Custodia, tutela, adopciones y acogimiento familiar")</f>
        <v>Custodia, tutela, adopciones y acogimiento familiar</v>
      </c>
      <c r="F519" s="89" t="str">
        <f ca="1">IFERROR(__xludf.DUMMYFUNCTION("""COMPUTED_VALUE"""),"C3. NNA del municipio de Guadalajara que recibieron servicios para la protección y restitución de sus derechos")</f>
        <v>C3. NNA del municipio de Guadalajara que recibieron servicios para la protección y restitución de sus derechos</v>
      </c>
      <c r="G519" s="89" t="str">
        <f ca="1">IFERROR(__xludf.DUMMYFUNCTION("""COMPUTED_VALUE"""),"Porcentaje de NNA con al menos un derecho protegido y/o restituido por la DIPNNA, en 2023")</f>
        <v>Porcentaje de NNA con al menos un derecho protegido y/o restituido por la DIPNNA, en 2023</v>
      </c>
      <c r="H519" s="89" t="str">
        <f ca="1">IFERROR(__xludf.DUMMYFUNCTION("""COMPUTED_VALUE"""),"HOM Noviembre")</f>
        <v>HOM Noviembre</v>
      </c>
      <c r="I519" s="89" t="str">
        <f ca="1">IFERROR(__xludf.DUMMYFUNCTION("""COMPUTED_VALUE"""),"Noviembre")</f>
        <v>Noviembre</v>
      </c>
      <c r="J519" s="89" t="str">
        <f ca="1">IFERROR(__xludf.DUMMYFUNCTION("""COMPUTED_VALUE"""),"HOM")</f>
        <v>HOM</v>
      </c>
      <c r="K519" s="92"/>
      <c r="L519" s="89" t="str">
        <f ca="1">IFERROR(__xludf.DUMMYFUNCTION("""COMPUTED_VALUE"""),"TRIMESTRE 4")</f>
        <v>TRIMESTRE 4</v>
      </c>
      <c r="M519" s="89" t="str">
        <f ca="1">IFERROR(__xludf.DUMMYFUNCTION("""COMPUTED_VALUE"""),"HOMBRES ADULTOS")</f>
        <v>HOMBRES ADULTOS</v>
      </c>
    </row>
    <row r="520" spans="1:13">
      <c r="A520" s="89" t="str">
        <f ca="1">IFERROR(__xludf.DUMMYFUNCTION("""COMPUTED_VALUE"""),"4.1.3.0")</f>
        <v>4.1.3.0</v>
      </c>
      <c r="B520" s="89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520" s="89" t="str">
        <f ca="1">IFERROR(__xludf.DUMMYFUNCTION("""COMPUTED_VALUE"""),"4. Programas")</f>
        <v>4. Programas</v>
      </c>
      <c r="D520" s="89" t="str">
        <f ca="1">IFERROR(__xludf.DUMMYFUNCTION("""COMPUTED_VALUE"""),"Guadalajara: Capital de las niñas y los niños")</f>
        <v>Guadalajara: Capital de las niñas y los niños</v>
      </c>
      <c r="E520" s="89" t="str">
        <f ca="1">IFERROR(__xludf.DUMMYFUNCTION("""COMPUTED_VALUE"""),"Custodia, tutela, adopciones y acogimiento familiar")</f>
        <v>Custodia, tutela, adopciones y acogimiento familiar</v>
      </c>
      <c r="F520" s="89" t="str">
        <f ca="1">IFERROR(__xludf.DUMMYFUNCTION("""COMPUTED_VALUE"""),"C3. NNA del municipio de Guadalajara que recibieron servicios para la protección y restitución de sus derechos")</f>
        <v>C3. NNA del municipio de Guadalajara que recibieron servicios para la protección y restitución de sus derechos</v>
      </c>
      <c r="G520" s="89" t="str">
        <f ca="1">IFERROR(__xludf.DUMMYFUNCTION("""COMPUTED_VALUE"""),"Porcentaje de NNA con al menos un derecho protegido y/o restituido por la DIPNNA, en 2023")</f>
        <v>Porcentaje de NNA con al menos un derecho protegido y/o restituido por la DIPNNA, en 2023</v>
      </c>
      <c r="H520" s="89" t="str">
        <f ca="1">IFERROR(__xludf.DUMMYFUNCTION("""COMPUTED_VALUE"""),"AMM Noviembre")</f>
        <v>AMM Noviembre</v>
      </c>
      <c r="I520" s="89" t="str">
        <f ca="1">IFERROR(__xludf.DUMMYFUNCTION("""COMPUTED_VALUE"""),"Noviembre")</f>
        <v>Noviembre</v>
      </c>
      <c r="J520" s="89" t="str">
        <f ca="1">IFERROR(__xludf.DUMMYFUNCTION("""COMPUTED_VALUE"""),"AMM")</f>
        <v>AMM</v>
      </c>
      <c r="K520" s="92"/>
      <c r="L520" s="89" t="str">
        <f ca="1">IFERROR(__xludf.DUMMYFUNCTION("""COMPUTED_VALUE"""),"TRIMESTRE 4")</f>
        <v>TRIMESTRE 4</v>
      </c>
      <c r="M520" s="89" t="str">
        <f ca="1">IFERROR(__xludf.DUMMYFUNCTION("""COMPUTED_VALUE"""),"ADULTA MAYOR MUJER")</f>
        <v>ADULTA MAYOR MUJER</v>
      </c>
    </row>
    <row r="521" spans="1:13">
      <c r="A521" s="89" t="str">
        <f ca="1">IFERROR(__xludf.DUMMYFUNCTION("""COMPUTED_VALUE"""),"4.1.3.0")</f>
        <v>4.1.3.0</v>
      </c>
      <c r="B521" s="89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521" s="89" t="str">
        <f ca="1">IFERROR(__xludf.DUMMYFUNCTION("""COMPUTED_VALUE"""),"4. Programas")</f>
        <v>4. Programas</v>
      </c>
      <c r="D521" s="89" t="str">
        <f ca="1">IFERROR(__xludf.DUMMYFUNCTION("""COMPUTED_VALUE"""),"Guadalajara: Capital de las niñas y los niños")</f>
        <v>Guadalajara: Capital de las niñas y los niños</v>
      </c>
      <c r="E521" s="89" t="str">
        <f ca="1">IFERROR(__xludf.DUMMYFUNCTION("""COMPUTED_VALUE"""),"Custodia, tutela, adopciones y acogimiento familiar")</f>
        <v>Custodia, tutela, adopciones y acogimiento familiar</v>
      </c>
      <c r="F521" s="89" t="str">
        <f ca="1">IFERROR(__xludf.DUMMYFUNCTION("""COMPUTED_VALUE"""),"C3. NNA del municipio de Guadalajara que recibieron servicios para la protección y restitución de sus derechos")</f>
        <v>C3. NNA del municipio de Guadalajara que recibieron servicios para la protección y restitución de sus derechos</v>
      </c>
      <c r="G521" s="89" t="str">
        <f ca="1">IFERROR(__xludf.DUMMYFUNCTION("""COMPUTED_VALUE"""),"Porcentaje de NNA con al menos un derecho protegido y/o restituido por la DIPNNA, en 2023")</f>
        <v>Porcentaje de NNA con al menos un derecho protegido y/o restituido por la DIPNNA, en 2023</v>
      </c>
      <c r="H521" s="89" t="str">
        <f ca="1">IFERROR(__xludf.DUMMYFUNCTION("""COMPUTED_VALUE"""),"AMH Noviembre")</f>
        <v>AMH Noviembre</v>
      </c>
      <c r="I521" s="89" t="str">
        <f ca="1">IFERROR(__xludf.DUMMYFUNCTION("""COMPUTED_VALUE"""),"Noviembre")</f>
        <v>Noviembre</v>
      </c>
      <c r="J521" s="89" t="str">
        <f ca="1">IFERROR(__xludf.DUMMYFUNCTION("""COMPUTED_VALUE"""),"AMH")</f>
        <v>AMH</v>
      </c>
      <c r="K521" s="92"/>
      <c r="L521" s="89" t="str">
        <f ca="1">IFERROR(__xludf.DUMMYFUNCTION("""COMPUTED_VALUE"""),"TRIMESTRE 4")</f>
        <v>TRIMESTRE 4</v>
      </c>
      <c r="M521" s="89" t="str">
        <f ca="1">IFERROR(__xludf.DUMMYFUNCTION("""COMPUTED_VALUE"""),"ADULTO MAYOR HOMBRE")</f>
        <v>ADULTO MAYOR HOMBRE</v>
      </c>
    </row>
    <row r="522" spans="1:13">
      <c r="A522" s="89" t="str">
        <f ca="1">IFERROR(__xludf.DUMMYFUNCTION("""COMPUTED_VALUE"""),"4.1.3.1")</f>
        <v>4.1.3.1</v>
      </c>
      <c r="B522" s="89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522" s="89" t="str">
        <f ca="1">IFERROR(__xludf.DUMMYFUNCTION("""COMPUTED_VALUE"""),"4. Programas")</f>
        <v>4. Programas</v>
      </c>
      <c r="D522" s="89" t="str">
        <f ca="1">IFERROR(__xludf.DUMMYFUNCTION("""COMPUTED_VALUE"""),"Guadalajara: Capital de las niñas y los niños")</f>
        <v>Guadalajara: Capital de las niñas y los niños</v>
      </c>
      <c r="E522" s="89" t="str">
        <f ca="1">IFERROR(__xludf.DUMMYFUNCTION("""COMPUTED_VALUE"""),"Custodia, tutela, adopciones y acogimiento familiar")</f>
        <v>Custodia, tutela, adopciones y acogimiento familiar</v>
      </c>
      <c r="F522" s="89" t="str">
        <f ca="1">IFERROR(__xludf.DUMMYFUNCTION("""COMPUTED_VALUE"""),"A1C3, Nuevas medidas de protección dictadas atendidas")</f>
        <v>A1C3, Nuevas medidas de protección dictadas atendidas</v>
      </c>
      <c r="G522" s="89" t="str">
        <f ca="1">IFERROR(__xludf.DUMMYFUNCTION("""COMPUTED_VALUE"""),"Porcentaje de NNA a los que se les dio seguimientos en las nuevas medidas de protección dictadas en 2023")</f>
        <v>Porcentaje de NNA a los que se les dio seguimientos en las nuevas medidas de protección dictadas en 2023</v>
      </c>
      <c r="H522" s="89" t="str">
        <f ca="1">IFERROR(__xludf.DUMMYFUNCTION("""COMPUTED_VALUE"""),"NAS Noviembre")</f>
        <v>NAS Noviembre</v>
      </c>
      <c r="I522" s="89" t="str">
        <f ca="1">IFERROR(__xludf.DUMMYFUNCTION("""COMPUTED_VALUE"""),"Noviembre")</f>
        <v>Noviembre</v>
      </c>
      <c r="J522" s="89" t="str">
        <f ca="1">IFERROR(__xludf.DUMMYFUNCTION("""COMPUTED_VALUE"""),"NAS")</f>
        <v>NAS</v>
      </c>
      <c r="K522" s="92">
        <f ca="1">IFERROR(__xludf.DUMMYFUNCTION("""COMPUTED_VALUE"""),6)</f>
        <v>6</v>
      </c>
      <c r="L522" s="89" t="str">
        <f ca="1">IFERROR(__xludf.DUMMYFUNCTION("""COMPUTED_VALUE"""),"TRIMESTRE 4")</f>
        <v>TRIMESTRE 4</v>
      </c>
      <c r="M522" s="89" t="str">
        <f ca="1">IFERROR(__xludf.DUMMYFUNCTION("""COMPUTED_VALUE"""),"NIÑAS")</f>
        <v>NIÑAS</v>
      </c>
    </row>
    <row r="523" spans="1:13">
      <c r="A523" s="89" t="str">
        <f ca="1">IFERROR(__xludf.DUMMYFUNCTION("""COMPUTED_VALUE"""),"4.1.3.1")</f>
        <v>4.1.3.1</v>
      </c>
      <c r="B523" s="89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523" s="89" t="str">
        <f ca="1">IFERROR(__xludf.DUMMYFUNCTION("""COMPUTED_VALUE"""),"4. Programas")</f>
        <v>4. Programas</v>
      </c>
      <c r="D523" s="89" t="str">
        <f ca="1">IFERROR(__xludf.DUMMYFUNCTION("""COMPUTED_VALUE"""),"Guadalajara: Capital de las niñas y los niños")</f>
        <v>Guadalajara: Capital de las niñas y los niños</v>
      </c>
      <c r="E523" s="89" t="str">
        <f ca="1">IFERROR(__xludf.DUMMYFUNCTION("""COMPUTED_VALUE"""),"Custodia, tutela, adopciones y acogimiento familiar")</f>
        <v>Custodia, tutela, adopciones y acogimiento familiar</v>
      </c>
      <c r="F523" s="89" t="str">
        <f ca="1">IFERROR(__xludf.DUMMYFUNCTION("""COMPUTED_VALUE"""),"A1C3, Nuevas medidas de protección dictadas atendidas")</f>
        <v>A1C3, Nuevas medidas de protección dictadas atendidas</v>
      </c>
      <c r="G523" s="89" t="str">
        <f ca="1">IFERROR(__xludf.DUMMYFUNCTION("""COMPUTED_VALUE"""),"Porcentaje de NNA a los que se les dio seguimientos en las nuevas medidas de protección dictadas en 2023")</f>
        <v>Porcentaje de NNA a los que se les dio seguimientos en las nuevas medidas de protección dictadas en 2023</v>
      </c>
      <c r="H523" s="89" t="str">
        <f ca="1">IFERROR(__xludf.DUMMYFUNCTION("""COMPUTED_VALUE"""),"NOS Noviembre")</f>
        <v>NOS Noviembre</v>
      </c>
      <c r="I523" s="89" t="str">
        <f ca="1">IFERROR(__xludf.DUMMYFUNCTION("""COMPUTED_VALUE"""),"Noviembre")</f>
        <v>Noviembre</v>
      </c>
      <c r="J523" s="89" t="str">
        <f ca="1">IFERROR(__xludf.DUMMYFUNCTION("""COMPUTED_VALUE"""),"NOS")</f>
        <v>NOS</v>
      </c>
      <c r="K523" s="92">
        <f ca="1">IFERROR(__xludf.DUMMYFUNCTION("""COMPUTED_VALUE"""),4)</f>
        <v>4</v>
      </c>
      <c r="L523" s="89" t="str">
        <f ca="1">IFERROR(__xludf.DUMMYFUNCTION("""COMPUTED_VALUE"""),"TRIMESTRE 4")</f>
        <v>TRIMESTRE 4</v>
      </c>
      <c r="M523" s="89" t="str">
        <f ca="1">IFERROR(__xludf.DUMMYFUNCTION("""COMPUTED_VALUE"""),"NIÑOS")</f>
        <v>NIÑOS</v>
      </c>
    </row>
    <row r="524" spans="1:13">
      <c r="A524" s="89" t="str">
        <f ca="1">IFERROR(__xludf.DUMMYFUNCTION("""COMPUTED_VALUE"""),"4.1.3.1")</f>
        <v>4.1.3.1</v>
      </c>
      <c r="B524" s="89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524" s="89" t="str">
        <f ca="1">IFERROR(__xludf.DUMMYFUNCTION("""COMPUTED_VALUE"""),"4. Programas")</f>
        <v>4. Programas</v>
      </c>
      <c r="D524" s="89" t="str">
        <f ca="1">IFERROR(__xludf.DUMMYFUNCTION("""COMPUTED_VALUE"""),"Guadalajara: Capital de las niñas y los niños")</f>
        <v>Guadalajara: Capital de las niñas y los niños</v>
      </c>
      <c r="E524" s="89" t="str">
        <f ca="1">IFERROR(__xludf.DUMMYFUNCTION("""COMPUTED_VALUE"""),"Custodia, tutela, adopciones y acogimiento familiar")</f>
        <v>Custodia, tutela, adopciones y acogimiento familiar</v>
      </c>
      <c r="F524" s="89" t="str">
        <f ca="1">IFERROR(__xludf.DUMMYFUNCTION("""COMPUTED_VALUE"""),"A1C3, Nuevas medidas de protección dictadas atendidas")</f>
        <v>A1C3, Nuevas medidas de protección dictadas atendidas</v>
      </c>
      <c r="G524" s="89" t="str">
        <f ca="1">IFERROR(__xludf.DUMMYFUNCTION("""COMPUTED_VALUE"""),"Porcentaje de NNA a los que se les dio seguimientos en las nuevas medidas de protección dictadas en 2023")</f>
        <v>Porcentaje de NNA a los que se les dio seguimientos en las nuevas medidas de protección dictadas en 2023</v>
      </c>
      <c r="H524" s="89" t="str">
        <f ca="1">IFERROR(__xludf.DUMMYFUNCTION("""COMPUTED_VALUE"""),"AM NOVIEMBRE")</f>
        <v>AM NOVIEMBRE</v>
      </c>
      <c r="I524" s="89" t="str">
        <f ca="1">IFERROR(__xludf.DUMMYFUNCTION("""COMPUTED_VALUE"""),"Noviembre")</f>
        <v>Noviembre</v>
      </c>
      <c r="J524" s="89" t="str">
        <f ca="1">IFERROR(__xludf.DUMMYFUNCTION("""COMPUTED_VALUE"""),"AM")</f>
        <v>AM</v>
      </c>
      <c r="K524" s="92"/>
      <c r="L524" s="89" t="str">
        <f ca="1">IFERROR(__xludf.DUMMYFUNCTION("""COMPUTED_VALUE"""),"TRIMESTRE 4")</f>
        <v>TRIMESTRE 4</v>
      </c>
      <c r="M524" s="89" t="str">
        <f ca="1">IFERROR(__xludf.DUMMYFUNCTION("""COMPUTED_VALUE"""),"ADOLESCENTES MUJERES")</f>
        <v>ADOLESCENTES MUJERES</v>
      </c>
    </row>
    <row r="525" spans="1:13">
      <c r="A525" s="89" t="str">
        <f ca="1">IFERROR(__xludf.DUMMYFUNCTION("""COMPUTED_VALUE"""),"4.1.3.1")</f>
        <v>4.1.3.1</v>
      </c>
      <c r="B525" s="89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525" s="89" t="str">
        <f ca="1">IFERROR(__xludf.DUMMYFUNCTION("""COMPUTED_VALUE"""),"4. Programas")</f>
        <v>4. Programas</v>
      </c>
      <c r="D525" s="89" t="str">
        <f ca="1">IFERROR(__xludf.DUMMYFUNCTION("""COMPUTED_VALUE"""),"Guadalajara: Capital de las niñas y los niños")</f>
        <v>Guadalajara: Capital de las niñas y los niños</v>
      </c>
      <c r="E525" s="89" t="str">
        <f ca="1">IFERROR(__xludf.DUMMYFUNCTION("""COMPUTED_VALUE"""),"Custodia, tutela, adopciones y acogimiento familiar")</f>
        <v>Custodia, tutela, adopciones y acogimiento familiar</v>
      </c>
      <c r="F525" s="89" t="str">
        <f ca="1">IFERROR(__xludf.DUMMYFUNCTION("""COMPUTED_VALUE"""),"A1C3, Nuevas medidas de protección dictadas atendidas")</f>
        <v>A1C3, Nuevas medidas de protección dictadas atendidas</v>
      </c>
      <c r="G525" s="89" t="str">
        <f ca="1">IFERROR(__xludf.DUMMYFUNCTION("""COMPUTED_VALUE"""),"Porcentaje de NNA a los que se les dio seguimientos en las nuevas medidas de protección dictadas en 2023")</f>
        <v>Porcentaje de NNA a los que se les dio seguimientos en las nuevas medidas de protección dictadas en 2023</v>
      </c>
      <c r="H525" s="89" t="str">
        <f ca="1">IFERROR(__xludf.DUMMYFUNCTION("""COMPUTED_VALUE"""),"AH NOVIEMBRE")</f>
        <v>AH NOVIEMBRE</v>
      </c>
      <c r="I525" s="89" t="str">
        <f ca="1">IFERROR(__xludf.DUMMYFUNCTION("""COMPUTED_VALUE"""),"Noviembre")</f>
        <v>Noviembre</v>
      </c>
      <c r="J525" s="89" t="str">
        <f ca="1">IFERROR(__xludf.DUMMYFUNCTION("""COMPUTED_VALUE"""),"AH")</f>
        <v>AH</v>
      </c>
      <c r="K525" s="92"/>
      <c r="L525" s="89" t="str">
        <f ca="1">IFERROR(__xludf.DUMMYFUNCTION("""COMPUTED_VALUE"""),"TRIMESTRE 4")</f>
        <v>TRIMESTRE 4</v>
      </c>
      <c r="M525" s="89" t="str">
        <f ca="1">IFERROR(__xludf.DUMMYFUNCTION("""COMPUTED_VALUE"""),"ADOLESCENTES HOMBRES")</f>
        <v>ADOLESCENTES HOMBRES</v>
      </c>
    </row>
    <row r="526" spans="1:13">
      <c r="A526" s="89" t="str">
        <f ca="1">IFERROR(__xludf.DUMMYFUNCTION("""COMPUTED_VALUE"""),"4.1.3.1")</f>
        <v>4.1.3.1</v>
      </c>
      <c r="B526" s="89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526" s="89" t="str">
        <f ca="1">IFERROR(__xludf.DUMMYFUNCTION("""COMPUTED_VALUE"""),"4. Programas")</f>
        <v>4. Programas</v>
      </c>
      <c r="D526" s="89" t="str">
        <f ca="1">IFERROR(__xludf.DUMMYFUNCTION("""COMPUTED_VALUE"""),"Guadalajara: Capital de las niñas y los niños")</f>
        <v>Guadalajara: Capital de las niñas y los niños</v>
      </c>
      <c r="E526" s="89" t="str">
        <f ca="1">IFERROR(__xludf.DUMMYFUNCTION("""COMPUTED_VALUE"""),"Custodia, tutela, adopciones y acogimiento familiar")</f>
        <v>Custodia, tutela, adopciones y acogimiento familiar</v>
      </c>
      <c r="F526" s="89" t="str">
        <f ca="1">IFERROR(__xludf.DUMMYFUNCTION("""COMPUTED_VALUE"""),"A1C3, Nuevas medidas de protección dictadas atendidas")</f>
        <v>A1C3, Nuevas medidas de protección dictadas atendidas</v>
      </c>
      <c r="G526" s="89" t="str">
        <f ca="1">IFERROR(__xludf.DUMMYFUNCTION("""COMPUTED_VALUE"""),"Porcentaje de NNA a los que se les dio seguimientos en las nuevas medidas de protección dictadas en 2023")</f>
        <v>Porcentaje de NNA a los que se les dio seguimientos en las nuevas medidas de protección dictadas en 2023</v>
      </c>
      <c r="H526" s="89" t="str">
        <f ca="1">IFERROR(__xludf.DUMMYFUNCTION("""COMPUTED_VALUE"""),"MUJ Noviembre")</f>
        <v>MUJ Noviembre</v>
      </c>
      <c r="I526" s="89" t="str">
        <f ca="1">IFERROR(__xludf.DUMMYFUNCTION("""COMPUTED_VALUE"""),"Noviembre")</f>
        <v>Noviembre</v>
      </c>
      <c r="J526" s="89" t="str">
        <f ca="1">IFERROR(__xludf.DUMMYFUNCTION("""COMPUTED_VALUE"""),"MUJ")</f>
        <v>MUJ</v>
      </c>
      <c r="K526" s="92"/>
      <c r="L526" s="89" t="str">
        <f ca="1">IFERROR(__xludf.DUMMYFUNCTION("""COMPUTED_VALUE"""),"TRIMESTRE 4")</f>
        <v>TRIMESTRE 4</v>
      </c>
      <c r="M526" s="89" t="str">
        <f ca="1">IFERROR(__xludf.DUMMYFUNCTION("""COMPUTED_VALUE"""),"MUJERES ADULTAS")</f>
        <v>MUJERES ADULTAS</v>
      </c>
    </row>
    <row r="527" spans="1:13">
      <c r="A527" s="89" t="str">
        <f ca="1">IFERROR(__xludf.DUMMYFUNCTION("""COMPUTED_VALUE"""),"4.1.3.1")</f>
        <v>4.1.3.1</v>
      </c>
      <c r="B527" s="89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527" s="89" t="str">
        <f ca="1">IFERROR(__xludf.DUMMYFUNCTION("""COMPUTED_VALUE"""),"4. Programas")</f>
        <v>4. Programas</v>
      </c>
      <c r="D527" s="89" t="str">
        <f ca="1">IFERROR(__xludf.DUMMYFUNCTION("""COMPUTED_VALUE"""),"Guadalajara: Capital de las niñas y los niños")</f>
        <v>Guadalajara: Capital de las niñas y los niños</v>
      </c>
      <c r="E527" s="89" t="str">
        <f ca="1">IFERROR(__xludf.DUMMYFUNCTION("""COMPUTED_VALUE"""),"Custodia, tutela, adopciones y acogimiento familiar")</f>
        <v>Custodia, tutela, adopciones y acogimiento familiar</v>
      </c>
      <c r="F527" s="89" t="str">
        <f ca="1">IFERROR(__xludf.DUMMYFUNCTION("""COMPUTED_VALUE"""),"A1C3, Nuevas medidas de protección dictadas atendidas")</f>
        <v>A1C3, Nuevas medidas de protección dictadas atendidas</v>
      </c>
      <c r="G527" s="89" t="str">
        <f ca="1">IFERROR(__xludf.DUMMYFUNCTION("""COMPUTED_VALUE"""),"Porcentaje de NNA a los que se les dio seguimientos en las nuevas medidas de protección dictadas en 2023")</f>
        <v>Porcentaje de NNA a los que se les dio seguimientos en las nuevas medidas de protección dictadas en 2023</v>
      </c>
      <c r="H527" s="89" t="str">
        <f ca="1">IFERROR(__xludf.DUMMYFUNCTION("""COMPUTED_VALUE"""),"HOM Noviembre")</f>
        <v>HOM Noviembre</v>
      </c>
      <c r="I527" s="89" t="str">
        <f ca="1">IFERROR(__xludf.DUMMYFUNCTION("""COMPUTED_VALUE"""),"Noviembre")</f>
        <v>Noviembre</v>
      </c>
      <c r="J527" s="89" t="str">
        <f ca="1">IFERROR(__xludf.DUMMYFUNCTION("""COMPUTED_VALUE"""),"HOM")</f>
        <v>HOM</v>
      </c>
      <c r="K527" s="92"/>
      <c r="L527" s="89" t="str">
        <f ca="1">IFERROR(__xludf.DUMMYFUNCTION("""COMPUTED_VALUE"""),"TRIMESTRE 4")</f>
        <v>TRIMESTRE 4</v>
      </c>
      <c r="M527" s="89" t="str">
        <f ca="1">IFERROR(__xludf.DUMMYFUNCTION("""COMPUTED_VALUE"""),"HOMBRES ADULTOS")</f>
        <v>HOMBRES ADULTOS</v>
      </c>
    </row>
    <row r="528" spans="1:13">
      <c r="A528" s="89" t="str">
        <f ca="1">IFERROR(__xludf.DUMMYFUNCTION("""COMPUTED_VALUE"""),"4.1.3.1")</f>
        <v>4.1.3.1</v>
      </c>
      <c r="B528" s="89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528" s="89" t="str">
        <f ca="1">IFERROR(__xludf.DUMMYFUNCTION("""COMPUTED_VALUE"""),"4. Programas")</f>
        <v>4. Programas</v>
      </c>
      <c r="D528" s="89" t="str">
        <f ca="1">IFERROR(__xludf.DUMMYFUNCTION("""COMPUTED_VALUE"""),"Guadalajara: Capital de las niñas y los niños")</f>
        <v>Guadalajara: Capital de las niñas y los niños</v>
      </c>
      <c r="E528" s="89" t="str">
        <f ca="1">IFERROR(__xludf.DUMMYFUNCTION("""COMPUTED_VALUE"""),"Custodia, tutela, adopciones y acogimiento familiar")</f>
        <v>Custodia, tutela, adopciones y acogimiento familiar</v>
      </c>
      <c r="F528" s="89" t="str">
        <f ca="1">IFERROR(__xludf.DUMMYFUNCTION("""COMPUTED_VALUE"""),"A1C3, Nuevas medidas de protección dictadas atendidas")</f>
        <v>A1C3, Nuevas medidas de protección dictadas atendidas</v>
      </c>
      <c r="G528" s="89" t="str">
        <f ca="1">IFERROR(__xludf.DUMMYFUNCTION("""COMPUTED_VALUE"""),"Porcentaje de NNA a los que se les dio seguimientos en las nuevas medidas de protección dictadas en 2023")</f>
        <v>Porcentaje de NNA a los que se les dio seguimientos en las nuevas medidas de protección dictadas en 2023</v>
      </c>
      <c r="H528" s="89" t="str">
        <f ca="1">IFERROR(__xludf.DUMMYFUNCTION("""COMPUTED_VALUE"""),"AMM Noviembre")</f>
        <v>AMM Noviembre</v>
      </c>
      <c r="I528" s="89" t="str">
        <f ca="1">IFERROR(__xludf.DUMMYFUNCTION("""COMPUTED_VALUE"""),"Noviembre")</f>
        <v>Noviembre</v>
      </c>
      <c r="J528" s="89" t="str">
        <f ca="1">IFERROR(__xludf.DUMMYFUNCTION("""COMPUTED_VALUE"""),"AMM")</f>
        <v>AMM</v>
      </c>
      <c r="K528" s="92"/>
      <c r="L528" s="89" t="str">
        <f ca="1">IFERROR(__xludf.DUMMYFUNCTION("""COMPUTED_VALUE"""),"TRIMESTRE 4")</f>
        <v>TRIMESTRE 4</v>
      </c>
      <c r="M528" s="89" t="str">
        <f ca="1">IFERROR(__xludf.DUMMYFUNCTION("""COMPUTED_VALUE"""),"ADULTA MAYOR MUJER")</f>
        <v>ADULTA MAYOR MUJER</v>
      </c>
    </row>
    <row r="529" spans="1:13">
      <c r="A529" s="89" t="str">
        <f ca="1">IFERROR(__xludf.DUMMYFUNCTION("""COMPUTED_VALUE"""),"4.1.3.1")</f>
        <v>4.1.3.1</v>
      </c>
      <c r="B529" s="89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529" s="89" t="str">
        <f ca="1">IFERROR(__xludf.DUMMYFUNCTION("""COMPUTED_VALUE"""),"4. Programas")</f>
        <v>4. Programas</v>
      </c>
      <c r="D529" s="89" t="str">
        <f ca="1">IFERROR(__xludf.DUMMYFUNCTION("""COMPUTED_VALUE"""),"Guadalajara: Capital de las niñas y los niños")</f>
        <v>Guadalajara: Capital de las niñas y los niños</v>
      </c>
      <c r="E529" s="89" t="str">
        <f ca="1">IFERROR(__xludf.DUMMYFUNCTION("""COMPUTED_VALUE"""),"Custodia, tutela, adopciones y acogimiento familiar")</f>
        <v>Custodia, tutela, adopciones y acogimiento familiar</v>
      </c>
      <c r="F529" s="89" t="str">
        <f ca="1">IFERROR(__xludf.DUMMYFUNCTION("""COMPUTED_VALUE"""),"A1C3, Nuevas medidas de protección dictadas atendidas")</f>
        <v>A1C3, Nuevas medidas de protección dictadas atendidas</v>
      </c>
      <c r="G529" s="89" t="str">
        <f ca="1">IFERROR(__xludf.DUMMYFUNCTION("""COMPUTED_VALUE"""),"Porcentaje de NNA a los que se les dio seguimientos en las nuevas medidas de protección dictadas en 2023")</f>
        <v>Porcentaje de NNA a los que se les dio seguimientos en las nuevas medidas de protección dictadas en 2023</v>
      </c>
      <c r="H529" s="89" t="str">
        <f ca="1">IFERROR(__xludf.DUMMYFUNCTION("""COMPUTED_VALUE"""),"AMH Noviembre")</f>
        <v>AMH Noviembre</v>
      </c>
      <c r="I529" s="89" t="str">
        <f ca="1">IFERROR(__xludf.DUMMYFUNCTION("""COMPUTED_VALUE"""),"Noviembre")</f>
        <v>Noviembre</v>
      </c>
      <c r="J529" s="89" t="str">
        <f ca="1">IFERROR(__xludf.DUMMYFUNCTION("""COMPUTED_VALUE"""),"AMH")</f>
        <v>AMH</v>
      </c>
      <c r="K529" s="92"/>
      <c r="L529" s="89" t="str">
        <f ca="1">IFERROR(__xludf.DUMMYFUNCTION("""COMPUTED_VALUE"""),"TRIMESTRE 4")</f>
        <v>TRIMESTRE 4</v>
      </c>
      <c r="M529" s="89" t="str">
        <f ca="1">IFERROR(__xludf.DUMMYFUNCTION("""COMPUTED_VALUE"""),"ADULTO MAYOR HOMBRE")</f>
        <v>ADULTO MAYOR HOMBRE</v>
      </c>
    </row>
    <row r="530" spans="1:13">
      <c r="A530" s="89" t="str">
        <f ca="1">IFERROR(__xludf.DUMMYFUNCTION("""COMPUTED_VALUE"""),"4.1.3.2")</f>
        <v>4.1.3.2</v>
      </c>
      <c r="B530" s="89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530" s="89" t="str">
        <f ca="1">IFERROR(__xludf.DUMMYFUNCTION("""COMPUTED_VALUE"""),"4. Programas")</f>
        <v>4. Programas</v>
      </c>
      <c r="D530" s="89" t="str">
        <f ca="1">IFERROR(__xludf.DUMMYFUNCTION("""COMPUTED_VALUE"""),"Guadalajara: Capital de las niñas y los niños")</f>
        <v>Guadalajara: Capital de las niñas y los niños</v>
      </c>
      <c r="E530" s="89" t="str">
        <f ca="1">IFERROR(__xludf.DUMMYFUNCTION("""COMPUTED_VALUE"""),"Custodia, tutela, adopciones y acogimiento familiar")</f>
        <v>Custodia, tutela, adopciones y acogimiento familiar</v>
      </c>
      <c r="F530" s="89" t="str">
        <f ca="1">IFERROR(__xludf.DUMMYFUNCTION("""COMPUTED_VALUE"""),"A2C3. Medidas de protección dictadas que se les dio seguimiento")</f>
        <v>A2C3. Medidas de protección dictadas que se les dio seguimiento</v>
      </c>
      <c r="G530" s="89" t="str">
        <f ca="1">IFERROR(__xludf.DUMMYFUNCTION("""COMPUTED_VALUE"""),"Porcentaje de NNA a los que se les dio seguimientos en las medidas de protección dictadas, en 2023")</f>
        <v>Porcentaje de NNA a los que se les dio seguimientos en las medidas de protección dictadas, en 2023</v>
      </c>
      <c r="H530" s="89" t="str">
        <f ca="1">IFERROR(__xludf.DUMMYFUNCTION("""COMPUTED_VALUE"""),"NAS Noviembre")</f>
        <v>NAS Noviembre</v>
      </c>
      <c r="I530" s="89" t="str">
        <f ca="1">IFERROR(__xludf.DUMMYFUNCTION("""COMPUTED_VALUE"""),"Noviembre")</f>
        <v>Noviembre</v>
      </c>
      <c r="J530" s="89" t="str">
        <f ca="1">IFERROR(__xludf.DUMMYFUNCTION("""COMPUTED_VALUE"""),"NAS")</f>
        <v>NAS</v>
      </c>
      <c r="K530" s="92">
        <f ca="1">IFERROR(__xludf.DUMMYFUNCTION("""COMPUTED_VALUE"""),16)</f>
        <v>16</v>
      </c>
      <c r="L530" s="89" t="str">
        <f ca="1">IFERROR(__xludf.DUMMYFUNCTION("""COMPUTED_VALUE"""),"TRIMESTRE 4")</f>
        <v>TRIMESTRE 4</v>
      </c>
      <c r="M530" s="89" t="str">
        <f ca="1">IFERROR(__xludf.DUMMYFUNCTION("""COMPUTED_VALUE"""),"NIÑAS")</f>
        <v>NIÑAS</v>
      </c>
    </row>
    <row r="531" spans="1:13">
      <c r="A531" s="89" t="str">
        <f ca="1">IFERROR(__xludf.DUMMYFUNCTION("""COMPUTED_VALUE"""),"4.1.3.2")</f>
        <v>4.1.3.2</v>
      </c>
      <c r="B531" s="89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531" s="89" t="str">
        <f ca="1">IFERROR(__xludf.DUMMYFUNCTION("""COMPUTED_VALUE"""),"4. Programas")</f>
        <v>4. Programas</v>
      </c>
      <c r="D531" s="89" t="str">
        <f ca="1">IFERROR(__xludf.DUMMYFUNCTION("""COMPUTED_VALUE"""),"Guadalajara: Capital de las niñas y los niños")</f>
        <v>Guadalajara: Capital de las niñas y los niños</v>
      </c>
      <c r="E531" s="89" t="str">
        <f ca="1">IFERROR(__xludf.DUMMYFUNCTION("""COMPUTED_VALUE"""),"Custodia, tutela, adopciones y acogimiento familiar")</f>
        <v>Custodia, tutela, adopciones y acogimiento familiar</v>
      </c>
      <c r="F531" s="89" t="str">
        <f ca="1">IFERROR(__xludf.DUMMYFUNCTION("""COMPUTED_VALUE"""),"A2C3. Medidas de protección dictadas que se les dio seguimiento")</f>
        <v>A2C3. Medidas de protección dictadas que se les dio seguimiento</v>
      </c>
      <c r="G531" s="89" t="str">
        <f ca="1">IFERROR(__xludf.DUMMYFUNCTION("""COMPUTED_VALUE"""),"Porcentaje de NNA a los que se les dio seguimientos en las medidas de protección dictadas, en 2023")</f>
        <v>Porcentaje de NNA a los que se les dio seguimientos en las medidas de protección dictadas, en 2023</v>
      </c>
      <c r="H531" s="89" t="str">
        <f ca="1">IFERROR(__xludf.DUMMYFUNCTION("""COMPUTED_VALUE"""),"NOS Noviembre")</f>
        <v>NOS Noviembre</v>
      </c>
      <c r="I531" s="89" t="str">
        <f ca="1">IFERROR(__xludf.DUMMYFUNCTION("""COMPUTED_VALUE"""),"Noviembre")</f>
        <v>Noviembre</v>
      </c>
      <c r="J531" s="89" t="str">
        <f ca="1">IFERROR(__xludf.DUMMYFUNCTION("""COMPUTED_VALUE"""),"NOS")</f>
        <v>NOS</v>
      </c>
      <c r="K531" s="92">
        <f ca="1">IFERROR(__xludf.DUMMYFUNCTION("""COMPUTED_VALUE"""),25)</f>
        <v>25</v>
      </c>
      <c r="L531" s="89" t="str">
        <f ca="1">IFERROR(__xludf.DUMMYFUNCTION("""COMPUTED_VALUE"""),"TRIMESTRE 4")</f>
        <v>TRIMESTRE 4</v>
      </c>
      <c r="M531" s="89" t="str">
        <f ca="1">IFERROR(__xludf.DUMMYFUNCTION("""COMPUTED_VALUE"""),"NIÑOS")</f>
        <v>NIÑOS</v>
      </c>
    </row>
    <row r="532" spans="1:13">
      <c r="A532" s="89" t="str">
        <f ca="1">IFERROR(__xludf.DUMMYFUNCTION("""COMPUTED_VALUE"""),"4.1.3.2")</f>
        <v>4.1.3.2</v>
      </c>
      <c r="B532" s="89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532" s="89" t="str">
        <f ca="1">IFERROR(__xludf.DUMMYFUNCTION("""COMPUTED_VALUE"""),"4. Programas")</f>
        <v>4. Programas</v>
      </c>
      <c r="D532" s="89" t="str">
        <f ca="1">IFERROR(__xludf.DUMMYFUNCTION("""COMPUTED_VALUE"""),"Guadalajara: Capital de las niñas y los niños")</f>
        <v>Guadalajara: Capital de las niñas y los niños</v>
      </c>
      <c r="E532" s="89" t="str">
        <f ca="1">IFERROR(__xludf.DUMMYFUNCTION("""COMPUTED_VALUE"""),"Custodia, tutela, adopciones y acogimiento familiar")</f>
        <v>Custodia, tutela, adopciones y acogimiento familiar</v>
      </c>
      <c r="F532" s="89" t="str">
        <f ca="1">IFERROR(__xludf.DUMMYFUNCTION("""COMPUTED_VALUE"""),"A2C3. Medidas de protección dictadas que se les dio seguimiento")</f>
        <v>A2C3. Medidas de protección dictadas que se les dio seguimiento</v>
      </c>
      <c r="G532" s="89" t="str">
        <f ca="1">IFERROR(__xludf.DUMMYFUNCTION("""COMPUTED_VALUE"""),"Porcentaje de NNA a los que se les dio seguimientos en las medidas de protección dictadas, en 2023")</f>
        <v>Porcentaje de NNA a los que se les dio seguimientos en las medidas de protección dictadas, en 2023</v>
      </c>
      <c r="H532" s="89" t="str">
        <f ca="1">IFERROR(__xludf.DUMMYFUNCTION("""COMPUTED_VALUE"""),"AM NOVIEMBRE")</f>
        <v>AM NOVIEMBRE</v>
      </c>
      <c r="I532" s="89" t="str">
        <f ca="1">IFERROR(__xludf.DUMMYFUNCTION("""COMPUTED_VALUE"""),"Noviembre")</f>
        <v>Noviembre</v>
      </c>
      <c r="J532" s="89" t="str">
        <f ca="1">IFERROR(__xludf.DUMMYFUNCTION("""COMPUTED_VALUE"""),"AM")</f>
        <v>AM</v>
      </c>
      <c r="K532" s="92">
        <f ca="1">IFERROR(__xludf.DUMMYFUNCTION("""COMPUTED_VALUE"""),8)</f>
        <v>8</v>
      </c>
      <c r="L532" s="89" t="str">
        <f ca="1">IFERROR(__xludf.DUMMYFUNCTION("""COMPUTED_VALUE"""),"TRIMESTRE 4")</f>
        <v>TRIMESTRE 4</v>
      </c>
      <c r="M532" s="89" t="str">
        <f ca="1">IFERROR(__xludf.DUMMYFUNCTION("""COMPUTED_VALUE"""),"ADOLESCENTES MUJERES")</f>
        <v>ADOLESCENTES MUJERES</v>
      </c>
    </row>
    <row r="533" spans="1:13">
      <c r="A533" s="89" t="str">
        <f ca="1">IFERROR(__xludf.DUMMYFUNCTION("""COMPUTED_VALUE"""),"4.1.3.2")</f>
        <v>4.1.3.2</v>
      </c>
      <c r="B533" s="89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533" s="89" t="str">
        <f ca="1">IFERROR(__xludf.DUMMYFUNCTION("""COMPUTED_VALUE"""),"4. Programas")</f>
        <v>4. Programas</v>
      </c>
      <c r="D533" s="89" t="str">
        <f ca="1">IFERROR(__xludf.DUMMYFUNCTION("""COMPUTED_VALUE"""),"Guadalajara: Capital de las niñas y los niños")</f>
        <v>Guadalajara: Capital de las niñas y los niños</v>
      </c>
      <c r="E533" s="89" t="str">
        <f ca="1">IFERROR(__xludf.DUMMYFUNCTION("""COMPUTED_VALUE"""),"Custodia, tutela, adopciones y acogimiento familiar")</f>
        <v>Custodia, tutela, adopciones y acogimiento familiar</v>
      </c>
      <c r="F533" s="89" t="str">
        <f ca="1">IFERROR(__xludf.DUMMYFUNCTION("""COMPUTED_VALUE"""),"A2C3. Medidas de protección dictadas que se les dio seguimiento")</f>
        <v>A2C3. Medidas de protección dictadas que se les dio seguimiento</v>
      </c>
      <c r="G533" s="89" t="str">
        <f ca="1">IFERROR(__xludf.DUMMYFUNCTION("""COMPUTED_VALUE"""),"Porcentaje de NNA a los que se les dio seguimientos en las medidas de protección dictadas, en 2023")</f>
        <v>Porcentaje de NNA a los que se les dio seguimientos en las medidas de protección dictadas, en 2023</v>
      </c>
      <c r="H533" s="89" t="str">
        <f ca="1">IFERROR(__xludf.DUMMYFUNCTION("""COMPUTED_VALUE"""),"AH NOVIEMBRE")</f>
        <v>AH NOVIEMBRE</v>
      </c>
      <c r="I533" s="89" t="str">
        <f ca="1">IFERROR(__xludf.DUMMYFUNCTION("""COMPUTED_VALUE"""),"Noviembre")</f>
        <v>Noviembre</v>
      </c>
      <c r="J533" s="89" t="str">
        <f ca="1">IFERROR(__xludf.DUMMYFUNCTION("""COMPUTED_VALUE"""),"AH")</f>
        <v>AH</v>
      </c>
      <c r="K533" s="92">
        <f ca="1">IFERROR(__xludf.DUMMYFUNCTION("""COMPUTED_VALUE"""),5)</f>
        <v>5</v>
      </c>
      <c r="L533" s="89" t="str">
        <f ca="1">IFERROR(__xludf.DUMMYFUNCTION("""COMPUTED_VALUE"""),"TRIMESTRE 4")</f>
        <v>TRIMESTRE 4</v>
      </c>
      <c r="M533" s="89" t="str">
        <f ca="1">IFERROR(__xludf.DUMMYFUNCTION("""COMPUTED_VALUE"""),"ADOLESCENTES HOMBRES")</f>
        <v>ADOLESCENTES HOMBRES</v>
      </c>
    </row>
    <row r="534" spans="1:13">
      <c r="A534" s="89" t="str">
        <f ca="1">IFERROR(__xludf.DUMMYFUNCTION("""COMPUTED_VALUE"""),"4.1.3.2")</f>
        <v>4.1.3.2</v>
      </c>
      <c r="B534" s="89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534" s="89" t="str">
        <f ca="1">IFERROR(__xludf.DUMMYFUNCTION("""COMPUTED_VALUE"""),"4. Programas")</f>
        <v>4. Programas</v>
      </c>
      <c r="D534" s="89" t="str">
        <f ca="1">IFERROR(__xludf.DUMMYFUNCTION("""COMPUTED_VALUE"""),"Guadalajara: Capital de las niñas y los niños")</f>
        <v>Guadalajara: Capital de las niñas y los niños</v>
      </c>
      <c r="E534" s="89" t="str">
        <f ca="1">IFERROR(__xludf.DUMMYFUNCTION("""COMPUTED_VALUE"""),"Custodia, tutela, adopciones y acogimiento familiar")</f>
        <v>Custodia, tutela, adopciones y acogimiento familiar</v>
      </c>
      <c r="F534" s="89" t="str">
        <f ca="1">IFERROR(__xludf.DUMMYFUNCTION("""COMPUTED_VALUE"""),"A2C3. Medidas de protección dictadas que se les dio seguimiento")</f>
        <v>A2C3. Medidas de protección dictadas que se les dio seguimiento</v>
      </c>
      <c r="G534" s="89" t="str">
        <f ca="1">IFERROR(__xludf.DUMMYFUNCTION("""COMPUTED_VALUE"""),"Porcentaje de NNA a los que se les dio seguimientos en las medidas de protección dictadas, en 2023")</f>
        <v>Porcentaje de NNA a los que se les dio seguimientos en las medidas de protección dictadas, en 2023</v>
      </c>
      <c r="H534" s="89" t="str">
        <f ca="1">IFERROR(__xludf.DUMMYFUNCTION("""COMPUTED_VALUE"""),"MUJ Noviembre")</f>
        <v>MUJ Noviembre</v>
      </c>
      <c r="I534" s="89" t="str">
        <f ca="1">IFERROR(__xludf.DUMMYFUNCTION("""COMPUTED_VALUE"""),"Noviembre")</f>
        <v>Noviembre</v>
      </c>
      <c r="J534" s="89" t="str">
        <f ca="1">IFERROR(__xludf.DUMMYFUNCTION("""COMPUTED_VALUE"""),"MUJ")</f>
        <v>MUJ</v>
      </c>
      <c r="K534" s="92"/>
      <c r="L534" s="89" t="str">
        <f ca="1">IFERROR(__xludf.DUMMYFUNCTION("""COMPUTED_VALUE"""),"TRIMESTRE 4")</f>
        <v>TRIMESTRE 4</v>
      </c>
      <c r="M534" s="89" t="str">
        <f ca="1">IFERROR(__xludf.DUMMYFUNCTION("""COMPUTED_VALUE"""),"MUJERES ADULTAS")</f>
        <v>MUJERES ADULTAS</v>
      </c>
    </row>
    <row r="535" spans="1:13">
      <c r="A535" s="89" t="str">
        <f ca="1">IFERROR(__xludf.DUMMYFUNCTION("""COMPUTED_VALUE"""),"4.1.3.2")</f>
        <v>4.1.3.2</v>
      </c>
      <c r="B535" s="89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535" s="89" t="str">
        <f ca="1">IFERROR(__xludf.DUMMYFUNCTION("""COMPUTED_VALUE"""),"4. Programas")</f>
        <v>4. Programas</v>
      </c>
      <c r="D535" s="89" t="str">
        <f ca="1">IFERROR(__xludf.DUMMYFUNCTION("""COMPUTED_VALUE"""),"Guadalajara: Capital de las niñas y los niños")</f>
        <v>Guadalajara: Capital de las niñas y los niños</v>
      </c>
      <c r="E535" s="89" t="str">
        <f ca="1">IFERROR(__xludf.DUMMYFUNCTION("""COMPUTED_VALUE"""),"Custodia, tutela, adopciones y acogimiento familiar")</f>
        <v>Custodia, tutela, adopciones y acogimiento familiar</v>
      </c>
      <c r="F535" s="89" t="str">
        <f ca="1">IFERROR(__xludf.DUMMYFUNCTION("""COMPUTED_VALUE"""),"A2C3. Medidas de protección dictadas que se les dio seguimiento")</f>
        <v>A2C3. Medidas de protección dictadas que se les dio seguimiento</v>
      </c>
      <c r="G535" s="89" t="str">
        <f ca="1">IFERROR(__xludf.DUMMYFUNCTION("""COMPUTED_VALUE"""),"Porcentaje de NNA a los que se les dio seguimientos en las medidas de protección dictadas, en 2023")</f>
        <v>Porcentaje de NNA a los que se les dio seguimientos en las medidas de protección dictadas, en 2023</v>
      </c>
      <c r="H535" s="89" t="str">
        <f ca="1">IFERROR(__xludf.DUMMYFUNCTION("""COMPUTED_VALUE"""),"HOM Noviembre")</f>
        <v>HOM Noviembre</v>
      </c>
      <c r="I535" s="89" t="str">
        <f ca="1">IFERROR(__xludf.DUMMYFUNCTION("""COMPUTED_VALUE"""),"Noviembre")</f>
        <v>Noviembre</v>
      </c>
      <c r="J535" s="89" t="str">
        <f ca="1">IFERROR(__xludf.DUMMYFUNCTION("""COMPUTED_VALUE"""),"HOM")</f>
        <v>HOM</v>
      </c>
      <c r="K535" s="92"/>
      <c r="L535" s="89" t="str">
        <f ca="1">IFERROR(__xludf.DUMMYFUNCTION("""COMPUTED_VALUE"""),"TRIMESTRE 4")</f>
        <v>TRIMESTRE 4</v>
      </c>
      <c r="M535" s="89" t="str">
        <f ca="1">IFERROR(__xludf.DUMMYFUNCTION("""COMPUTED_VALUE"""),"HOMBRES ADULTOS")</f>
        <v>HOMBRES ADULTOS</v>
      </c>
    </row>
    <row r="536" spans="1:13">
      <c r="A536" s="89" t="str">
        <f ca="1">IFERROR(__xludf.DUMMYFUNCTION("""COMPUTED_VALUE"""),"4.1.3.2")</f>
        <v>4.1.3.2</v>
      </c>
      <c r="B536" s="89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536" s="89" t="str">
        <f ca="1">IFERROR(__xludf.DUMMYFUNCTION("""COMPUTED_VALUE"""),"4. Programas")</f>
        <v>4. Programas</v>
      </c>
      <c r="D536" s="89" t="str">
        <f ca="1">IFERROR(__xludf.DUMMYFUNCTION("""COMPUTED_VALUE"""),"Guadalajara: Capital de las niñas y los niños")</f>
        <v>Guadalajara: Capital de las niñas y los niños</v>
      </c>
      <c r="E536" s="89" t="str">
        <f ca="1">IFERROR(__xludf.DUMMYFUNCTION("""COMPUTED_VALUE"""),"Custodia, tutela, adopciones y acogimiento familiar")</f>
        <v>Custodia, tutela, adopciones y acogimiento familiar</v>
      </c>
      <c r="F536" s="89" t="str">
        <f ca="1">IFERROR(__xludf.DUMMYFUNCTION("""COMPUTED_VALUE"""),"A2C3. Medidas de protección dictadas que se les dio seguimiento")</f>
        <v>A2C3. Medidas de protección dictadas que se les dio seguimiento</v>
      </c>
      <c r="G536" s="89" t="str">
        <f ca="1">IFERROR(__xludf.DUMMYFUNCTION("""COMPUTED_VALUE"""),"Porcentaje de NNA a los que se les dio seguimientos en las medidas de protección dictadas, en 2023")</f>
        <v>Porcentaje de NNA a los que se les dio seguimientos en las medidas de protección dictadas, en 2023</v>
      </c>
      <c r="H536" s="89" t="str">
        <f ca="1">IFERROR(__xludf.DUMMYFUNCTION("""COMPUTED_VALUE"""),"AMM Noviembre")</f>
        <v>AMM Noviembre</v>
      </c>
      <c r="I536" s="89" t="str">
        <f ca="1">IFERROR(__xludf.DUMMYFUNCTION("""COMPUTED_VALUE"""),"Noviembre")</f>
        <v>Noviembre</v>
      </c>
      <c r="J536" s="89" t="str">
        <f ca="1">IFERROR(__xludf.DUMMYFUNCTION("""COMPUTED_VALUE"""),"AMM")</f>
        <v>AMM</v>
      </c>
      <c r="K536" s="92"/>
      <c r="L536" s="89" t="str">
        <f ca="1">IFERROR(__xludf.DUMMYFUNCTION("""COMPUTED_VALUE"""),"TRIMESTRE 4")</f>
        <v>TRIMESTRE 4</v>
      </c>
      <c r="M536" s="89" t="str">
        <f ca="1">IFERROR(__xludf.DUMMYFUNCTION("""COMPUTED_VALUE"""),"ADULTA MAYOR MUJER")</f>
        <v>ADULTA MAYOR MUJER</v>
      </c>
    </row>
    <row r="537" spans="1:13">
      <c r="A537" s="89" t="str">
        <f ca="1">IFERROR(__xludf.DUMMYFUNCTION("""COMPUTED_VALUE"""),"4.1.3.2")</f>
        <v>4.1.3.2</v>
      </c>
      <c r="B537" s="89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537" s="89" t="str">
        <f ca="1">IFERROR(__xludf.DUMMYFUNCTION("""COMPUTED_VALUE"""),"4. Programas")</f>
        <v>4. Programas</v>
      </c>
      <c r="D537" s="89" t="str">
        <f ca="1">IFERROR(__xludf.DUMMYFUNCTION("""COMPUTED_VALUE"""),"Guadalajara: Capital de las niñas y los niños")</f>
        <v>Guadalajara: Capital de las niñas y los niños</v>
      </c>
      <c r="E537" s="89" t="str">
        <f ca="1">IFERROR(__xludf.DUMMYFUNCTION("""COMPUTED_VALUE"""),"Custodia, tutela, adopciones y acogimiento familiar")</f>
        <v>Custodia, tutela, adopciones y acogimiento familiar</v>
      </c>
      <c r="F537" s="89" t="str">
        <f ca="1">IFERROR(__xludf.DUMMYFUNCTION("""COMPUTED_VALUE"""),"A2C3. Medidas de protección dictadas que se les dio seguimiento")</f>
        <v>A2C3. Medidas de protección dictadas que se les dio seguimiento</v>
      </c>
      <c r="G537" s="89" t="str">
        <f ca="1">IFERROR(__xludf.DUMMYFUNCTION("""COMPUTED_VALUE"""),"Porcentaje de NNA a los que se les dio seguimientos en las medidas de protección dictadas, en 2023")</f>
        <v>Porcentaje de NNA a los que se les dio seguimientos en las medidas de protección dictadas, en 2023</v>
      </c>
      <c r="H537" s="89" t="str">
        <f ca="1">IFERROR(__xludf.DUMMYFUNCTION("""COMPUTED_VALUE"""),"AMH Noviembre")</f>
        <v>AMH Noviembre</v>
      </c>
      <c r="I537" s="89" t="str">
        <f ca="1">IFERROR(__xludf.DUMMYFUNCTION("""COMPUTED_VALUE"""),"Noviembre")</f>
        <v>Noviembre</v>
      </c>
      <c r="J537" s="89" t="str">
        <f ca="1">IFERROR(__xludf.DUMMYFUNCTION("""COMPUTED_VALUE"""),"AMH")</f>
        <v>AMH</v>
      </c>
      <c r="K537" s="92"/>
      <c r="L537" s="89" t="str">
        <f ca="1">IFERROR(__xludf.DUMMYFUNCTION("""COMPUTED_VALUE"""),"TRIMESTRE 4")</f>
        <v>TRIMESTRE 4</v>
      </c>
      <c r="M537" s="89" t="str">
        <f ca="1">IFERROR(__xludf.DUMMYFUNCTION("""COMPUTED_VALUE"""),"ADULTO MAYOR HOMBRE")</f>
        <v>ADULTO MAYOR HOMBRE</v>
      </c>
    </row>
    <row r="538" spans="1:13">
      <c r="A538" s="89" t="str">
        <f ca="1">IFERROR(__xludf.DUMMYFUNCTION("""COMPUTED_VALUE"""),"4.1.3.4")</f>
        <v>4.1.3.4</v>
      </c>
      <c r="B538" s="89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538" s="89" t="str">
        <f ca="1">IFERROR(__xludf.DUMMYFUNCTION("""COMPUTED_VALUE"""),"4. Programas")</f>
        <v>4. Programas</v>
      </c>
      <c r="D538" s="89" t="str">
        <f ca="1">IFERROR(__xludf.DUMMYFUNCTION("""COMPUTED_VALUE"""),"Guadalajara: Capital de las niñas y los niños")</f>
        <v>Guadalajara: Capital de las niñas y los niños</v>
      </c>
      <c r="E538" s="89" t="str">
        <f ca="1">IFERROR(__xludf.DUMMYFUNCTION("""COMPUTED_VALUE"""),"Custodia, tutela, adopciones y acogimiento familiar")</f>
        <v>Custodia, tutela, adopciones y acogimiento familiar</v>
      </c>
      <c r="F538" s="89" t="str">
        <f ca="1">IFERROR(__xludf.DUMMYFUNCTION("""COMPUTED_VALUE"""),"A4C3. NNA integrados en familias.")</f>
        <v>A4C3. NNA integrados en familias.</v>
      </c>
      <c r="G538" s="89" t="str">
        <f ca="1">IFERROR(__xludf.DUMMYFUNCTION("""COMPUTED_VALUE"""),"Porcentaje de NNA integrados en familias, en 2023")</f>
        <v>Porcentaje de NNA integrados en familias, en 2023</v>
      </c>
      <c r="H538" s="89" t="str">
        <f ca="1">IFERROR(__xludf.DUMMYFUNCTION("""COMPUTED_VALUE"""),"NAS Noviembre")</f>
        <v>NAS Noviembre</v>
      </c>
      <c r="I538" s="89" t="str">
        <f ca="1">IFERROR(__xludf.DUMMYFUNCTION("""COMPUTED_VALUE"""),"Noviembre")</f>
        <v>Noviembre</v>
      </c>
      <c r="J538" s="89" t="str">
        <f ca="1">IFERROR(__xludf.DUMMYFUNCTION("""COMPUTED_VALUE"""),"NAS")</f>
        <v>NAS</v>
      </c>
      <c r="K538" s="92">
        <f ca="1">IFERROR(__xludf.DUMMYFUNCTION("""COMPUTED_VALUE"""),11)</f>
        <v>11</v>
      </c>
      <c r="L538" s="89" t="str">
        <f ca="1">IFERROR(__xludf.DUMMYFUNCTION("""COMPUTED_VALUE"""),"TRIMESTRE 4")</f>
        <v>TRIMESTRE 4</v>
      </c>
      <c r="M538" s="89" t="str">
        <f ca="1">IFERROR(__xludf.DUMMYFUNCTION("""COMPUTED_VALUE"""),"NIÑAS")</f>
        <v>NIÑAS</v>
      </c>
    </row>
    <row r="539" spans="1:13">
      <c r="A539" s="89" t="str">
        <f ca="1">IFERROR(__xludf.DUMMYFUNCTION("""COMPUTED_VALUE"""),"4.1.3.4")</f>
        <v>4.1.3.4</v>
      </c>
      <c r="B539" s="89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539" s="89" t="str">
        <f ca="1">IFERROR(__xludf.DUMMYFUNCTION("""COMPUTED_VALUE"""),"4. Programas")</f>
        <v>4. Programas</v>
      </c>
      <c r="D539" s="89" t="str">
        <f ca="1">IFERROR(__xludf.DUMMYFUNCTION("""COMPUTED_VALUE"""),"Guadalajara: Capital de las niñas y los niños")</f>
        <v>Guadalajara: Capital de las niñas y los niños</v>
      </c>
      <c r="E539" s="89" t="str">
        <f ca="1">IFERROR(__xludf.DUMMYFUNCTION("""COMPUTED_VALUE"""),"Custodia, tutela, adopciones y acogimiento familiar")</f>
        <v>Custodia, tutela, adopciones y acogimiento familiar</v>
      </c>
      <c r="F539" s="89" t="str">
        <f ca="1">IFERROR(__xludf.DUMMYFUNCTION("""COMPUTED_VALUE"""),"A4C3. NNA integrados en familias.")</f>
        <v>A4C3. NNA integrados en familias.</v>
      </c>
      <c r="G539" s="89" t="str">
        <f ca="1">IFERROR(__xludf.DUMMYFUNCTION("""COMPUTED_VALUE"""),"Porcentaje de NNA integrados en familias, en 2023")</f>
        <v>Porcentaje de NNA integrados en familias, en 2023</v>
      </c>
      <c r="H539" s="89" t="str">
        <f ca="1">IFERROR(__xludf.DUMMYFUNCTION("""COMPUTED_VALUE"""),"NOS Noviembre")</f>
        <v>NOS Noviembre</v>
      </c>
      <c r="I539" s="89" t="str">
        <f ca="1">IFERROR(__xludf.DUMMYFUNCTION("""COMPUTED_VALUE"""),"Noviembre")</f>
        <v>Noviembre</v>
      </c>
      <c r="J539" s="89" t="str">
        <f ca="1">IFERROR(__xludf.DUMMYFUNCTION("""COMPUTED_VALUE"""),"NOS")</f>
        <v>NOS</v>
      </c>
      <c r="K539" s="92">
        <f ca="1">IFERROR(__xludf.DUMMYFUNCTION("""COMPUTED_VALUE"""),4)</f>
        <v>4</v>
      </c>
      <c r="L539" s="89" t="str">
        <f ca="1">IFERROR(__xludf.DUMMYFUNCTION("""COMPUTED_VALUE"""),"TRIMESTRE 4")</f>
        <v>TRIMESTRE 4</v>
      </c>
      <c r="M539" s="89" t="str">
        <f ca="1">IFERROR(__xludf.DUMMYFUNCTION("""COMPUTED_VALUE"""),"NIÑOS")</f>
        <v>NIÑOS</v>
      </c>
    </row>
    <row r="540" spans="1:13">
      <c r="A540" s="89" t="str">
        <f ca="1">IFERROR(__xludf.DUMMYFUNCTION("""COMPUTED_VALUE"""),"4.1.3.4")</f>
        <v>4.1.3.4</v>
      </c>
      <c r="B540" s="89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540" s="89" t="str">
        <f ca="1">IFERROR(__xludf.DUMMYFUNCTION("""COMPUTED_VALUE"""),"4. Programas")</f>
        <v>4. Programas</v>
      </c>
      <c r="D540" s="89" t="str">
        <f ca="1">IFERROR(__xludf.DUMMYFUNCTION("""COMPUTED_VALUE"""),"Guadalajara: Capital de las niñas y los niños")</f>
        <v>Guadalajara: Capital de las niñas y los niños</v>
      </c>
      <c r="E540" s="89" t="str">
        <f ca="1">IFERROR(__xludf.DUMMYFUNCTION("""COMPUTED_VALUE"""),"Custodia, tutela, adopciones y acogimiento familiar")</f>
        <v>Custodia, tutela, adopciones y acogimiento familiar</v>
      </c>
      <c r="F540" s="89" t="str">
        <f ca="1">IFERROR(__xludf.DUMMYFUNCTION("""COMPUTED_VALUE"""),"A4C3. NNA integrados en familias.")</f>
        <v>A4C3. NNA integrados en familias.</v>
      </c>
      <c r="G540" s="89" t="str">
        <f ca="1">IFERROR(__xludf.DUMMYFUNCTION("""COMPUTED_VALUE"""),"Porcentaje de NNA integrados en familias, en 2023")</f>
        <v>Porcentaje de NNA integrados en familias, en 2023</v>
      </c>
      <c r="H540" s="89" t="str">
        <f ca="1">IFERROR(__xludf.DUMMYFUNCTION("""COMPUTED_VALUE"""),"AM NOVIEMBRE")</f>
        <v>AM NOVIEMBRE</v>
      </c>
      <c r="I540" s="89" t="str">
        <f ca="1">IFERROR(__xludf.DUMMYFUNCTION("""COMPUTED_VALUE"""),"Noviembre")</f>
        <v>Noviembre</v>
      </c>
      <c r="J540" s="89" t="str">
        <f ca="1">IFERROR(__xludf.DUMMYFUNCTION("""COMPUTED_VALUE"""),"AM")</f>
        <v>AM</v>
      </c>
      <c r="K540" s="92">
        <f ca="1">IFERROR(__xludf.DUMMYFUNCTION("""COMPUTED_VALUE"""),2)</f>
        <v>2</v>
      </c>
      <c r="L540" s="89" t="str">
        <f ca="1">IFERROR(__xludf.DUMMYFUNCTION("""COMPUTED_VALUE"""),"TRIMESTRE 4")</f>
        <v>TRIMESTRE 4</v>
      </c>
      <c r="M540" s="89" t="str">
        <f ca="1">IFERROR(__xludf.DUMMYFUNCTION("""COMPUTED_VALUE"""),"ADOLESCENTES MUJERES")</f>
        <v>ADOLESCENTES MUJERES</v>
      </c>
    </row>
    <row r="541" spans="1:13">
      <c r="A541" s="89" t="str">
        <f ca="1">IFERROR(__xludf.DUMMYFUNCTION("""COMPUTED_VALUE"""),"4.1.3.4")</f>
        <v>4.1.3.4</v>
      </c>
      <c r="B541" s="89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541" s="89" t="str">
        <f ca="1">IFERROR(__xludf.DUMMYFUNCTION("""COMPUTED_VALUE"""),"4. Programas")</f>
        <v>4. Programas</v>
      </c>
      <c r="D541" s="89" t="str">
        <f ca="1">IFERROR(__xludf.DUMMYFUNCTION("""COMPUTED_VALUE"""),"Guadalajara: Capital de las niñas y los niños")</f>
        <v>Guadalajara: Capital de las niñas y los niños</v>
      </c>
      <c r="E541" s="89" t="str">
        <f ca="1">IFERROR(__xludf.DUMMYFUNCTION("""COMPUTED_VALUE"""),"Custodia, tutela, adopciones y acogimiento familiar")</f>
        <v>Custodia, tutela, adopciones y acogimiento familiar</v>
      </c>
      <c r="F541" s="89" t="str">
        <f ca="1">IFERROR(__xludf.DUMMYFUNCTION("""COMPUTED_VALUE"""),"A4C3. NNA integrados en familias.")</f>
        <v>A4C3. NNA integrados en familias.</v>
      </c>
      <c r="G541" s="89" t="str">
        <f ca="1">IFERROR(__xludf.DUMMYFUNCTION("""COMPUTED_VALUE"""),"Porcentaje de NNA integrados en familias, en 2023")</f>
        <v>Porcentaje de NNA integrados en familias, en 2023</v>
      </c>
      <c r="H541" s="89" t="str">
        <f ca="1">IFERROR(__xludf.DUMMYFUNCTION("""COMPUTED_VALUE"""),"AH NOVIEMBRE")</f>
        <v>AH NOVIEMBRE</v>
      </c>
      <c r="I541" s="89" t="str">
        <f ca="1">IFERROR(__xludf.DUMMYFUNCTION("""COMPUTED_VALUE"""),"Noviembre")</f>
        <v>Noviembre</v>
      </c>
      <c r="J541" s="89" t="str">
        <f ca="1">IFERROR(__xludf.DUMMYFUNCTION("""COMPUTED_VALUE"""),"AH")</f>
        <v>AH</v>
      </c>
      <c r="K541" s="92">
        <f ca="1">IFERROR(__xludf.DUMMYFUNCTION("""COMPUTED_VALUE"""),1)</f>
        <v>1</v>
      </c>
      <c r="L541" s="89" t="str">
        <f ca="1">IFERROR(__xludf.DUMMYFUNCTION("""COMPUTED_VALUE"""),"TRIMESTRE 4")</f>
        <v>TRIMESTRE 4</v>
      </c>
      <c r="M541" s="89" t="str">
        <f ca="1">IFERROR(__xludf.DUMMYFUNCTION("""COMPUTED_VALUE"""),"ADOLESCENTES HOMBRES")</f>
        <v>ADOLESCENTES HOMBRES</v>
      </c>
    </row>
    <row r="542" spans="1:13">
      <c r="A542" s="89" t="str">
        <f ca="1">IFERROR(__xludf.DUMMYFUNCTION("""COMPUTED_VALUE"""),"4.1.3.4")</f>
        <v>4.1.3.4</v>
      </c>
      <c r="B542" s="89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542" s="89" t="str">
        <f ca="1">IFERROR(__xludf.DUMMYFUNCTION("""COMPUTED_VALUE"""),"4. Programas")</f>
        <v>4. Programas</v>
      </c>
      <c r="D542" s="89" t="str">
        <f ca="1">IFERROR(__xludf.DUMMYFUNCTION("""COMPUTED_VALUE"""),"Guadalajara: Capital de las niñas y los niños")</f>
        <v>Guadalajara: Capital de las niñas y los niños</v>
      </c>
      <c r="E542" s="89" t="str">
        <f ca="1">IFERROR(__xludf.DUMMYFUNCTION("""COMPUTED_VALUE"""),"Custodia, tutela, adopciones y acogimiento familiar")</f>
        <v>Custodia, tutela, adopciones y acogimiento familiar</v>
      </c>
      <c r="F542" s="89" t="str">
        <f ca="1">IFERROR(__xludf.DUMMYFUNCTION("""COMPUTED_VALUE"""),"A4C3. NNA integrados en familias.")</f>
        <v>A4C3. NNA integrados en familias.</v>
      </c>
      <c r="G542" s="89" t="str">
        <f ca="1">IFERROR(__xludf.DUMMYFUNCTION("""COMPUTED_VALUE"""),"Porcentaje de NNA integrados en familias, en 2023")</f>
        <v>Porcentaje de NNA integrados en familias, en 2023</v>
      </c>
      <c r="H542" s="89" t="str">
        <f ca="1">IFERROR(__xludf.DUMMYFUNCTION("""COMPUTED_VALUE"""),"MUJ Noviembre")</f>
        <v>MUJ Noviembre</v>
      </c>
      <c r="I542" s="89" t="str">
        <f ca="1">IFERROR(__xludf.DUMMYFUNCTION("""COMPUTED_VALUE"""),"Noviembre")</f>
        <v>Noviembre</v>
      </c>
      <c r="J542" s="89" t="str">
        <f ca="1">IFERROR(__xludf.DUMMYFUNCTION("""COMPUTED_VALUE"""),"MUJ")</f>
        <v>MUJ</v>
      </c>
      <c r="K542" s="92"/>
      <c r="L542" s="89" t="str">
        <f ca="1">IFERROR(__xludf.DUMMYFUNCTION("""COMPUTED_VALUE"""),"TRIMESTRE 4")</f>
        <v>TRIMESTRE 4</v>
      </c>
      <c r="M542" s="89" t="str">
        <f ca="1">IFERROR(__xludf.DUMMYFUNCTION("""COMPUTED_VALUE"""),"MUJERES ADULTAS")</f>
        <v>MUJERES ADULTAS</v>
      </c>
    </row>
    <row r="543" spans="1:13">
      <c r="A543" s="89" t="str">
        <f ca="1">IFERROR(__xludf.DUMMYFUNCTION("""COMPUTED_VALUE"""),"4.1.3.4")</f>
        <v>4.1.3.4</v>
      </c>
      <c r="B543" s="89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543" s="89" t="str">
        <f ca="1">IFERROR(__xludf.DUMMYFUNCTION("""COMPUTED_VALUE"""),"4. Programas")</f>
        <v>4. Programas</v>
      </c>
      <c r="D543" s="89" t="str">
        <f ca="1">IFERROR(__xludf.DUMMYFUNCTION("""COMPUTED_VALUE"""),"Guadalajara: Capital de las niñas y los niños")</f>
        <v>Guadalajara: Capital de las niñas y los niños</v>
      </c>
      <c r="E543" s="89" t="str">
        <f ca="1">IFERROR(__xludf.DUMMYFUNCTION("""COMPUTED_VALUE"""),"Custodia, tutela, adopciones y acogimiento familiar")</f>
        <v>Custodia, tutela, adopciones y acogimiento familiar</v>
      </c>
      <c r="F543" s="89" t="str">
        <f ca="1">IFERROR(__xludf.DUMMYFUNCTION("""COMPUTED_VALUE"""),"A4C3. NNA integrados en familias.")</f>
        <v>A4C3. NNA integrados en familias.</v>
      </c>
      <c r="G543" s="89" t="str">
        <f ca="1">IFERROR(__xludf.DUMMYFUNCTION("""COMPUTED_VALUE"""),"Porcentaje de NNA integrados en familias, en 2023")</f>
        <v>Porcentaje de NNA integrados en familias, en 2023</v>
      </c>
      <c r="H543" s="89" t="str">
        <f ca="1">IFERROR(__xludf.DUMMYFUNCTION("""COMPUTED_VALUE"""),"HOM Noviembre")</f>
        <v>HOM Noviembre</v>
      </c>
      <c r="I543" s="89" t="str">
        <f ca="1">IFERROR(__xludf.DUMMYFUNCTION("""COMPUTED_VALUE"""),"Noviembre")</f>
        <v>Noviembre</v>
      </c>
      <c r="J543" s="89" t="str">
        <f ca="1">IFERROR(__xludf.DUMMYFUNCTION("""COMPUTED_VALUE"""),"HOM")</f>
        <v>HOM</v>
      </c>
      <c r="K543" s="92"/>
      <c r="L543" s="89" t="str">
        <f ca="1">IFERROR(__xludf.DUMMYFUNCTION("""COMPUTED_VALUE"""),"TRIMESTRE 4")</f>
        <v>TRIMESTRE 4</v>
      </c>
      <c r="M543" s="89" t="str">
        <f ca="1">IFERROR(__xludf.DUMMYFUNCTION("""COMPUTED_VALUE"""),"HOMBRES ADULTOS")</f>
        <v>HOMBRES ADULTOS</v>
      </c>
    </row>
    <row r="544" spans="1:13">
      <c r="A544" s="89" t="str">
        <f ca="1">IFERROR(__xludf.DUMMYFUNCTION("""COMPUTED_VALUE"""),"4.1.3.4")</f>
        <v>4.1.3.4</v>
      </c>
      <c r="B544" s="89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544" s="89" t="str">
        <f ca="1">IFERROR(__xludf.DUMMYFUNCTION("""COMPUTED_VALUE"""),"4. Programas")</f>
        <v>4. Programas</v>
      </c>
      <c r="D544" s="89" t="str">
        <f ca="1">IFERROR(__xludf.DUMMYFUNCTION("""COMPUTED_VALUE"""),"Guadalajara: Capital de las niñas y los niños")</f>
        <v>Guadalajara: Capital de las niñas y los niños</v>
      </c>
      <c r="E544" s="89" t="str">
        <f ca="1">IFERROR(__xludf.DUMMYFUNCTION("""COMPUTED_VALUE"""),"Custodia, tutela, adopciones y acogimiento familiar")</f>
        <v>Custodia, tutela, adopciones y acogimiento familiar</v>
      </c>
      <c r="F544" s="89" t="str">
        <f ca="1">IFERROR(__xludf.DUMMYFUNCTION("""COMPUTED_VALUE"""),"A4C3. NNA integrados en familias.")</f>
        <v>A4C3. NNA integrados en familias.</v>
      </c>
      <c r="G544" s="89" t="str">
        <f ca="1">IFERROR(__xludf.DUMMYFUNCTION("""COMPUTED_VALUE"""),"Porcentaje de NNA integrados en familias, en 2023")</f>
        <v>Porcentaje de NNA integrados en familias, en 2023</v>
      </c>
      <c r="H544" s="89" t="str">
        <f ca="1">IFERROR(__xludf.DUMMYFUNCTION("""COMPUTED_VALUE"""),"AMM Noviembre")</f>
        <v>AMM Noviembre</v>
      </c>
      <c r="I544" s="89" t="str">
        <f ca="1">IFERROR(__xludf.DUMMYFUNCTION("""COMPUTED_VALUE"""),"Noviembre")</f>
        <v>Noviembre</v>
      </c>
      <c r="J544" s="89" t="str">
        <f ca="1">IFERROR(__xludf.DUMMYFUNCTION("""COMPUTED_VALUE"""),"AMM")</f>
        <v>AMM</v>
      </c>
      <c r="K544" s="92"/>
      <c r="L544" s="89" t="str">
        <f ca="1">IFERROR(__xludf.DUMMYFUNCTION("""COMPUTED_VALUE"""),"TRIMESTRE 4")</f>
        <v>TRIMESTRE 4</v>
      </c>
      <c r="M544" s="89" t="str">
        <f ca="1">IFERROR(__xludf.DUMMYFUNCTION("""COMPUTED_VALUE"""),"ADULTA MAYOR MUJER")</f>
        <v>ADULTA MAYOR MUJER</v>
      </c>
    </row>
    <row r="545" spans="1:13">
      <c r="A545" s="89" t="str">
        <f ca="1">IFERROR(__xludf.DUMMYFUNCTION("""COMPUTED_VALUE"""),"4.1.3.4")</f>
        <v>4.1.3.4</v>
      </c>
      <c r="B545" s="89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545" s="89" t="str">
        <f ca="1">IFERROR(__xludf.DUMMYFUNCTION("""COMPUTED_VALUE"""),"4. Programas")</f>
        <v>4. Programas</v>
      </c>
      <c r="D545" s="89" t="str">
        <f ca="1">IFERROR(__xludf.DUMMYFUNCTION("""COMPUTED_VALUE"""),"Guadalajara: Capital de las niñas y los niños")</f>
        <v>Guadalajara: Capital de las niñas y los niños</v>
      </c>
      <c r="E545" s="89" t="str">
        <f ca="1">IFERROR(__xludf.DUMMYFUNCTION("""COMPUTED_VALUE"""),"Custodia, tutela, adopciones y acogimiento familiar")</f>
        <v>Custodia, tutela, adopciones y acogimiento familiar</v>
      </c>
      <c r="F545" s="89" t="str">
        <f ca="1">IFERROR(__xludf.DUMMYFUNCTION("""COMPUTED_VALUE"""),"A4C3. NNA integrados en familias.")</f>
        <v>A4C3. NNA integrados en familias.</v>
      </c>
      <c r="G545" s="89" t="str">
        <f ca="1">IFERROR(__xludf.DUMMYFUNCTION("""COMPUTED_VALUE"""),"Porcentaje de NNA integrados en familias, en 2023")</f>
        <v>Porcentaje de NNA integrados en familias, en 2023</v>
      </c>
      <c r="H545" s="89" t="str">
        <f ca="1">IFERROR(__xludf.DUMMYFUNCTION("""COMPUTED_VALUE"""),"AMH Noviembre")</f>
        <v>AMH Noviembre</v>
      </c>
      <c r="I545" s="89" t="str">
        <f ca="1">IFERROR(__xludf.DUMMYFUNCTION("""COMPUTED_VALUE"""),"Noviembre")</f>
        <v>Noviembre</v>
      </c>
      <c r="J545" s="89" t="str">
        <f ca="1">IFERROR(__xludf.DUMMYFUNCTION("""COMPUTED_VALUE"""),"AMH")</f>
        <v>AMH</v>
      </c>
      <c r="K545" s="92"/>
      <c r="L545" s="89" t="str">
        <f ca="1">IFERROR(__xludf.DUMMYFUNCTION("""COMPUTED_VALUE"""),"TRIMESTRE 4")</f>
        <v>TRIMESTRE 4</v>
      </c>
      <c r="M545" s="89" t="str">
        <f ca="1">IFERROR(__xludf.DUMMYFUNCTION("""COMPUTED_VALUE"""),"ADULTO MAYOR HOMBRE")</f>
        <v>ADULTO MAYOR HOMBRE</v>
      </c>
    </row>
    <row r="546" spans="1:13">
      <c r="A546" s="89" t="str">
        <f ca="1">IFERROR(__xludf.DUMMYFUNCTION("""COMPUTED_VALUE"""),"4.1.3.0")</f>
        <v>4.1.3.0</v>
      </c>
      <c r="B546" s="89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546" s="89" t="str">
        <f ca="1">IFERROR(__xludf.DUMMYFUNCTION("""COMPUTED_VALUE"""),"4. Programas")</f>
        <v>4. Programas</v>
      </c>
      <c r="D546" s="89" t="str">
        <f ca="1">IFERROR(__xludf.DUMMYFUNCTION("""COMPUTED_VALUE"""),"Guadalajara: Capital de las niñas y los niños")</f>
        <v>Guadalajara: Capital de las niñas y los niños</v>
      </c>
      <c r="E546" s="89" t="str">
        <f ca="1">IFERROR(__xludf.DUMMYFUNCTION("""COMPUTED_VALUE"""),"Custodia, tutela, adopciones y acogimiento familiar")</f>
        <v>Custodia, tutela, adopciones y acogimiento familiar</v>
      </c>
      <c r="F546" s="89" t="str">
        <f ca="1">IFERROR(__xludf.DUMMYFUNCTION("""COMPUTED_VALUE"""),"C3. NNA del municipio de Guadalajara que recibieron servicios para la protección y restitución de sus derechos")</f>
        <v>C3. NNA del municipio de Guadalajara que recibieron servicios para la protección y restitución de sus derechos</v>
      </c>
      <c r="G546" s="89" t="str">
        <f ca="1">IFERROR(__xludf.DUMMYFUNCTION("""COMPUTED_VALUE"""),"Porcentaje de NNA con al menos un derecho protegido y/o restituido por la DIPNNA, en 2023")</f>
        <v>Porcentaje de NNA con al menos un derecho protegido y/o restituido por la DIPNNA, en 2023</v>
      </c>
      <c r="H546" s="89" t="str">
        <f ca="1">IFERROR(__xludf.DUMMYFUNCTION("""COMPUTED_VALUE"""),"NAS Diciembre")</f>
        <v>NAS Diciembre</v>
      </c>
      <c r="I546" s="89" t="str">
        <f ca="1">IFERROR(__xludf.DUMMYFUNCTION("""COMPUTED_VALUE"""),"Diciembre")</f>
        <v>Diciembre</v>
      </c>
      <c r="J546" s="89" t="str">
        <f ca="1">IFERROR(__xludf.DUMMYFUNCTION("""COMPUTED_VALUE"""),"NAS")</f>
        <v>NAS</v>
      </c>
      <c r="K546" s="92">
        <f ca="1">IFERROR(__xludf.DUMMYFUNCTION("""COMPUTED_VALUE"""),40)</f>
        <v>40</v>
      </c>
      <c r="L546" s="89" t="str">
        <f ca="1">IFERROR(__xludf.DUMMYFUNCTION("""COMPUTED_VALUE"""),"TRIMESTRE 4")</f>
        <v>TRIMESTRE 4</v>
      </c>
      <c r="M546" s="89" t="str">
        <f ca="1">IFERROR(__xludf.DUMMYFUNCTION("""COMPUTED_VALUE"""),"NIÑAS")</f>
        <v>NIÑAS</v>
      </c>
    </row>
    <row r="547" spans="1:13">
      <c r="A547" s="89" t="str">
        <f ca="1">IFERROR(__xludf.DUMMYFUNCTION("""COMPUTED_VALUE"""),"4.1.3.0")</f>
        <v>4.1.3.0</v>
      </c>
      <c r="B547" s="89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547" s="89" t="str">
        <f ca="1">IFERROR(__xludf.DUMMYFUNCTION("""COMPUTED_VALUE"""),"4. Programas")</f>
        <v>4. Programas</v>
      </c>
      <c r="D547" s="89" t="str">
        <f ca="1">IFERROR(__xludf.DUMMYFUNCTION("""COMPUTED_VALUE"""),"Guadalajara: Capital de las niñas y los niños")</f>
        <v>Guadalajara: Capital de las niñas y los niños</v>
      </c>
      <c r="E547" s="89" t="str">
        <f ca="1">IFERROR(__xludf.DUMMYFUNCTION("""COMPUTED_VALUE"""),"Custodia, tutela, adopciones y acogimiento familiar")</f>
        <v>Custodia, tutela, adopciones y acogimiento familiar</v>
      </c>
      <c r="F547" s="89" t="str">
        <f ca="1">IFERROR(__xludf.DUMMYFUNCTION("""COMPUTED_VALUE"""),"C3. NNA del municipio de Guadalajara que recibieron servicios para la protección y restitución de sus derechos")</f>
        <v>C3. NNA del municipio de Guadalajara que recibieron servicios para la protección y restitución de sus derechos</v>
      </c>
      <c r="G547" s="89" t="str">
        <f ca="1">IFERROR(__xludf.DUMMYFUNCTION("""COMPUTED_VALUE"""),"Porcentaje de NNA con al menos un derecho protegido y/o restituido por la DIPNNA, en 2023")</f>
        <v>Porcentaje de NNA con al menos un derecho protegido y/o restituido por la DIPNNA, en 2023</v>
      </c>
      <c r="H547" s="89" t="str">
        <f ca="1">IFERROR(__xludf.DUMMYFUNCTION("""COMPUTED_VALUE"""),"NOS Diciembre")</f>
        <v>NOS Diciembre</v>
      </c>
      <c r="I547" s="89" t="str">
        <f ca="1">IFERROR(__xludf.DUMMYFUNCTION("""COMPUTED_VALUE"""),"Diciembre")</f>
        <v>Diciembre</v>
      </c>
      <c r="J547" s="89" t="str">
        <f ca="1">IFERROR(__xludf.DUMMYFUNCTION("""COMPUTED_VALUE"""),"NOS")</f>
        <v>NOS</v>
      </c>
      <c r="K547" s="92">
        <f ca="1">IFERROR(__xludf.DUMMYFUNCTION("""COMPUTED_VALUE"""),55)</f>
        <v>55</v>
      </c>
      <c r="L547" s="89" t="str">
        <f ca="1">IFERROR(__xludf.DUMMYFUNCTION("""COMPUTED_VALUE"""),"TRIMESTRE 4")</f>
        <v>TRIMESTRE 4</v>
      </c>
      <c r="M547" s="89" t="str">
        <f ca="1">IFERROR(__xludf.DUMMYFUNCTION("""COMPUTED_VALUE"""),"NIÑOS")</f>
        <v>NIÑOS</v>
      </c>
    </row>
    <row r="548" spans="1:13">
      <c r="A548" s="89" t="str">
        <f ca="1">IFERROR(__xludf.DUMMYFUNCTION("""COMPUTED_VALUE"""),"4.1.3.0")</f>
        <v>4.1.3.0</v>
      </c>
      <c r="B548" s="89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548" s="89" t="str">
        <f ca="1">IFERROR(__xludf.DUMMYFUNCTION("""COMPUTED_VALUE"""),"4. Programas")</f>
        <v>4. Programas</v>
      </c>
      <c r="D548" s="89" t="str">
        <f ca="1">IFERROR(__xludf.DUMMYFUNCTION("""COMPUTED_VALUE"""),"Guadalajara: Capital de las niñas y los niños")</f>
        <v>Guadalajara: Capital de las niñas y los niños</v>
      </c>
      <c r="E548" s="89" t="str">
        <f ca="1">IFERROR(__xludf.DUMMYFUNCTION("""COMPUTED_VALUE"""),"Custodia, tutela, adopciones y acogimiento familiar")</f>
        <v>Custodia, tutela, adopciones y acogimiento familiar</v>
      </c>
      <c r="F548" s="89" t="str">
        <f ca="1">IFERROR(__xludf.DUMMYFUNCTION("""COMPUTED_VALUE"""),"C3. NNA del municipio de Guadalajara que recibieron servicios para la protección y restitución de sus derechos")</f>
        <v>C3. NNA del municipio de Guadalajara que recibieron servicios para la protección y restitución de sus derechos</v>
      </c>
      <c r="G548" s="89" t="str">
        <f ca="1">IFERROR(__xludf.DUMMYFUNCTION("""COMPUTED_VALUE"""),"Porcentaje de NNA con al menos un derecho protegido y/o restituido por la DIPNNA, en 2023")</f>
        <v>Porcentaje de NNA con al menos un derecho protegido y/o restituido por la DIPNNA, en 2023</v>
      </c>
      <c r="H548" s="89" t="str">
        <f ca="1">IFERROR(__xludf.DUMMYFUNCTION("""COMPUTED_VALUE"""),"AM DICIEMBRE")</f>
        <v>AM DICIEMBRE</v>
      </c>
      <c r="I548" s="89" t="str">
        <f ca="1">IFERROR(__xludf.DUMMYFUNCTION("""COMPUTED_VALUE"""),"Diciembre")</f>
        <v>Diciembre</v>
      </c>
      <c r="J548" s="89" t="str">
        <f ca="1">IFERROR(__xludf.DUMMYFUNCTION("""COMPUTED_VALUE"""),"AM")</f>
        <v>AM</v>
      </c>
      <c r="K548" s="92">
        <f ca="1">IFERROR(__xludf.DUMMYFUNCTION("""COMPUTED_VALUE"""),37)</f>
        <v>37</v>
      </c>
      <c r="L548" s="89" t="str">
        <f ca="1">IFERROR(__xludf.DUMMYFUNCTION("""COMPUTED_VALUE"""),"TRIMESTRE 4")</f>
        <v>TRIMESTRE 4</v>
      </c>
      <c r="M548" s="89" t="str">
        <f ca="1">IFERROR(__xludf.DUMMYFUNCTION("""COMPUTED_VALUE"""),"ADOLESCENTES MUJERES")</f>
        <v>ADOLESCENTES MUJERES</v>
      </c>
    </row>
    <row r="549" spans="1:13">
      <c r="A549" s="89" t="str">
        <f ca="1">IFERROR(__xludf.DUMMYFUNCTION("""COMPUTED_VALUE"""),"4.1.3.0")</f>
        <v>4.1.3.0</v>
      </c>
      <c r="B549" s="89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549" s="89" t="str">
        <f ca="1">IFERROR(__xludf.DUMMYFUNCTION("""COMPUTED_VALUE"""),"4. Programas")</f>
        <v>4. Programas</v>
      </c>
      <c r="D549" s="89" t="str">
        <f ca="1">IFERROR(__xludf.DUMMYFUNCTION("""COMPUTED_VALUE"""),"Guadalajara: Capital de las niñas y los niños")</f>
        <v>Guadalajara: Capital de las niñas y los niños</v>
      </c>
      <c r="E549" s="89" t="str">
        <f ca="1">IFERROR(__xludf.DUMMYFUNCTION("""COMPUTED_VALUE"""),"Custodia, tutela, adopciones y acogimiento familiar")</f>
        <v>Custodia, tutela, adopciones y acogimiento familiar</v>
      </c>
      <c r="F549" s="89" t="str">
        <f ca="1">IFERROR(__xludf.DUMMYFUNCTION("""COMPUTED_VALUE"""),"C3. NNA del municipio de Guadalajara que recibieron servicios para la protección y restitución de sus derechos")</f>
        <v>C3. NNA del municipio de Guadalajara que recibieron servicios para la protección y restitución de sus derechos</v>
      </c>
      <c r="G549" s="89" t="str">
        <f ca="1">IFERROR(__xludf.DUMMYFUNCTION("""COMPUTED_VALUE"""),"Porcentaje de NNA con al menos un derecho protegido y/o restituido por la DIPNNA, en 2023")</f>
        <v>Porcentaje de NNA con al menos un derecho protegido y/o restituido por la DIPNNA, en 2023</v>
      </c>
      <c r="H549" s="89" t="str">
        <f ca="1">IFERROR(__xludf.DUMMYFUNCTION("""COMPUTED_VALUE"""),"AH DICIEMBRE")</f>
        <v>AH DICIEMBRE</v>
      </c>
      <c r="I549" s="89" t="str">
        <f ca="1">IFERROR(__xludf.DUMMYFUNCTION("""COMPUTED_VALUE"""),"Diciembre")</f>
        <v>Diciembre</v>
      </c>
      <c r="J549" s="89" t="str">
        <f ca="1">IFERROR(__xludf.DUMMYFUNCTION("""COMPUTED_VALUE"""),"AH")</f>
        <v>AH</v>
      </c>
      <c r="K549" s="92">
        <f ca="1">IFERROR(__xludf.DUMMYFUNCTION("""COMPUTED_VALUE"""),27)</f>
        <v>27</v>
      </c>
      <c r="L549" s="89" t="str">
        <f ca="1">IFERROR(__xludf.DUMMYFUNCTION("""COMPUTED_VALUE"""),"TRIMESTRE 4")</f>
        <v>TRIMESTRE 4</v>
      </c>
      <c r="M549" s="89" t="str">
        <f ca="1">IFERROR(__xludf.DUMMYFUNCTION("""COMPUTED_VALUE"""),"ADOLESCENTES HOMBRES")</f>
        <v>ADOLESCENTES HOMBRES</v>
      </c>
    </row>
    <row r="550" spans="1:13">
      <c r="A550" s="89" t="str">
        <f ca="1">IFERROR(__xludf.DUMMYFUNCTION("""COMPUTED_VALUE"""),"4.1.3.0")</f>
        <v>4.1.3.0</v>
      </c>
      <c r="B550" s="89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550" s="89" t="str">
        <f ca="1">IFERROR(__xludf.DUMMYFUNCTION("""COMPUTED_VALUE"""),"4. Programas")</f>
        <v>4. Programas</v>
      </c>
      <c r="D550" s="89" t="str">
        <f ca="1">IFERROR(__xludf.DUMMYFUNCTION("""COMPUTED_VALUE"""),"Guadalajara: Capital de las niñas y los niños")</f>
        <v>Guadalajara: Capital de las niñas y los niños</v>
      </c>
      <c r="E550" s="89" t="str">
        <f ca="1">IFERROR(__xludf.DUMMYFUNCTION("""COMPUTED_VALUE"""),"Custodia, tutela, adopciones y acogimiento familiar")</f>
        <v>Custodia, tutela, adopciones y acogimiento familiar</v>
      </c>
      <c r="F550" s="89" t="str">
        <f ca="1">IFERROR(__xludf.DUMMYFUNCTION("""COMPUTED_VALUE"""),"C3. NNA del municipio de Guadalajara que recibieron servicios para la protección y restitución de sus derechos")</f>
        <v>C3. NNA del municipio de Guadalajara que recibieron servicios para la protección y restitución de sus derechos</v>
      </c>
      <c r="G550" s="89" t="str">
        <f ca="1">IFERROR(__xludf.DUMMYFUNCTION("""COMPUTED_VALUE"""),"Porcentaje de NNA con al menos un derecho protegido y/o restituido por la DIPNNA, en 2023")</f>
        <v>Porcentaje de NNA con al menos un derecho protegido y/o restituido por la DIPNNA, en 2023</v>
      </c>
      <c r="H550" s="89" t="str">
        <f ca="1">IFERROR(__xludf.DUMMYFUNCTION("""COMPUTED_VALUE"""),"MUJ Diciembre")</f>
        <v>MUJ Diciembre</v>
      </c>
      <c r="I550" s="89" t="str">
        <f ca="1">IFERROR(__xludf.DUMMYFUNCTION("""COMPUTED_VALUE"""),"Diciembre")</f>
        <v>Diciembre</v>
      </c>
      <c r="J550" s="89" t="str">
        <f ca="1">IFERROR(__xludf.DUMMYFUNCTION("""COMPUTED_VALUE"""),"MUJ")</f>
        <v>MUJ</v>
      </c>
      <c r="K550" s="92"/>
      <c r="L550" s="89" t="str">
        <f ca="1">IFERROR(__xludf.DUMMYFUNCTION("""COMPUTED_VALUE"""),"TRIMESTRE 4")</f>
        <v>TRIMESTRE 4</v>
      </c>
      <c r="M550" s="89" t="str">
        <f ca="1">IFERROR(__xludf.DUMMYFUNCTION("""COMPUTED_VALUE"""),"MUJERES ADULTAS")</f>
        <v>MUJERES ADULTAS</v>
      </c>
    </row>
    <row r="551" spans="1:13">
      <c r="A551" s="89" t="str">
        <f ca="1">IFERROR(__xludf.DUMMYFUNCTION("""COMPUTED_VALUE"""),"4.1.3.0")</f>
        <v>4.1.3.0</v>
      </c>
      <c r="B551" s="89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551" s="89" t="str">
        <f ca="1">IFERROR(__xludf.DUMMYFUNCTION("""COMPUTED_VALUE"""),"4. Programas")</f>
        <v>4. Programas</v>
      </c>
      <c r="D551" s="89" t="str">
        <f ca="1">IFERROR(__xludf.DUMMYFUNCTION("""COMPUTED_VALUE"""),"Guadalajara: Capital de las niñas y los niños")</f>
        <v>Guadalajara: Capital de las niñas y los niños</v>
      </c>
      <c r="E551" s="89" t="str">
        <f ca="1">IFERROR(__xludf.DUMMYFUNCTION("""COMPUTED_VALUE"""),"Custodia, tutela, adopciones y acogimiento familiar")</f>
        <v>Custodia, tutela, adopciones y acogimiento familiar</v>
      </c>
      <c r="F551" s="89" t="str">
        <f ca="1">IFERROR(__xludf.DUMMYFUNCTION("""COMPUTED_VALUE"""),"C3. NNA del municipio de Guadalajara que recibieron servicios para la protección y restitución de sus derechos")</f>
        <v>C3. NNA del municipio de Guadalajara que recibieron servicios para la protección y restitución de sus derechos</v>
      </c>
      <c r="G551" s="89" t="str">
        <f ca="1">IFERROR(__xludf.DUMMYFUNCTION("""COMPUTED_VALUE"""),"Porcentaje de NNA con al menos un derecho protegido y/o restituido por la DIPNNA, en 2023")</f>
        <v>Porcentaje de NNA con al menos un derecho protegido y/o restituido por la DIPNNA, en 2023</v>
      </c>
      <c r="H551" s="89" t="str">
        <f ca="1">IFERROR(__xludf.DUMMYFUNCTION("""COMPUTED_VALUE"""),"HOM Diciembre")</f>
        <v>HOM Diciembre</v>
      </c>
      <c r="I551" s="89" t="str">
        <f ca="1">IFERROR(__xludf.DUMMYFUNCTION("""COMPUTED_VALUE"""),"Diciembre")</f>
        <v>Diciembre</v>
      </c>
      <c r="J551" s="89" t="str">
        <f ca="1">IFERROR(__xludf.DUMMYFUNCTION("""COMPUTED_VALUE"""),"HOM")</f>
        <v>HOM</v>
      </c>
      <c r="K551" s="92"/>
      <c r="L551" s="89" t="str">
        <f ca="1">IFERROR(__xludf.DUMMYFUNCTION("""COMPUTED_VALUE"""),"TRIMESTRE 4")</f>
        <v>TRIMESTRE 4</v>
      </c>
      <c r="M551" s="89" t="str">
        <f ca="1">IFERROR(__xludf.DUMMYFUNCTION("""COMPUTED_VALUE"""),"HOMBRES ADULTOS")</f>
        <v>HOMBRES ADULTOS</v>
      </c>
    </row>
    <row r="552" spans="1:13">
      <c r="A552" s="89" t="str">
        <f ca="1">IFERROR(__xludf.DUMMYFUNCTION("""COMPUTED_VALUE"""),"4.1.3.0")</f>
        <v>4.1.3.0</v>
      </c>
      <c r="B552" s="89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552" s="89" t="str">
        <f ca="1">IFERROR(__xludf.DUMMYFUNCTION("""COMPUTED_VALUE"""),"4. Programas")</f>
        <v>4. Programas</v>
      </c>
      <c r="D552" s="89" t="str">
        <f ca="1">IFERROR(__xludf.DUMMYFUNCTION("""COMPUTED_VALUE"""),"Guadalajara: Capital de las niñas y los niños")</f>
        <v>Guadalajara: Capital de las niñas y los niños</v>
      </c>
      <c r="E552" s="89" t="str">
        <f ca="1">IFERROR(__xludf.DUMMYFUNCTION("""COMPUTED_VALUE"""),"Custodia, tutela, adopciones y acogimiento familiar")</f>
        <v>Custodia, tutela, adopciones y acogimiento familiar</v>
      </c>
      <c r="F552" s="89" t="str">
        <f ca="1">IFERROR(__xludf.DUMMYFUNCTION("""COMPUTED_VALUE"""),"C3. NNA del municipio de Guadalajara que recibieron servicios para la protección y restitución de sus derechos")</f>
        <v>C3. NNA del municipio de Guadalajara que recibieron servicios para la protección y restitución de sus derechos</v>
      </c>
      <c r="G552" s="89" t="str">
        <f ca="1">IFERROR(__xludf.DUMMYFUNCTION("""COMPUTED_VALUE"""),"Porcentaje de NNA con al menos un derecho protegido y/o restituido por la DIPNNA, en 2023")</f>
        <v>Porcentaje de NNA con al menos un derecho protegido y/o restituido por la DIPNNA, en 2023</v>
      </c>
      <c r="H552" s="89" t="str">
        <f ca="1">IFERROR(__xludf.DUMMYFUNCTION("""COMPUTED_VALUE"""),"AMM Diciembre")</f>
        <v>AMM Diciembre</v>
      </c>
      <c r="I552" s="89" t="str">
        <f ca="1">IFERROR(__xludf.DUMMYFUNCTION("""COMPUTED_VALUE"""),"Diciembre")</f>
        <v>Diciembre</v>
      </c>
      <c r="J552" s="89" t="str">
        <f ca="1">IFERROR(__xludf.DUMMYFUNCTION("""COMPUTED_VALUE"""),"AMM")</f>
        <v>AMM</v>
      </c>
      <c r="K552" s="92"/>
      <c r="L552" s="89" t="str">
        <f ca="1">IFERROR(__xludf.DUMMYFUNCTION("""COMPUTED_VALUE"""),"TRIMESTRE 4")</f>
        <v>TRIMESTRE 4</v>
      </c>
      <c r="M552" s="89" t="str">
        <f ca="1">IFERROR(__xludf.DUMMYFUNCTION("""COMPUTED_VALUE"""),"ADULTA MAYOR MUJER")</f>
        <v>ADULTA MAYOR MUJER</v>
      </c>
    </row>
    <row r="553" spans="1:13">
      <c r="A553" s="89" t="str">
        <f ca="1">IFERROR(__xludf.DUMMYFUNCTION("""COMPUTED_VALUE"""),"4.1.3.0")</f>
        <v>4.1.3.0</v>
      </c>
      <c r="B553" s="89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553" s="89" t="str">
        <f ca="1">IFERROR(__xludf.DUMMYFUNCTION("""COMPUTED_VALUE"""),"4. Programas")</f>
        <v>4. Programas</v>
      </c>
      <c r="D553" s="89" t="str">
        <f ca="1">IFERROR(__xludf.DUMMYFUNCTION("""COMPUTED_VALUE"""),"Guadalajara: Capital de las niñas y los niños")</f>
        <v>Guadalajara: Capital de las niñas y los niños</v>
      </c>
      <c r="E553" s="89" t="str">
        <f ca="1">IFERROR(__xludf.DUMMYFUNCTION("""COMPUTED_VALUE"""),"Custodia, tutela, adopciones y acogimiento familiar")</f>
        <v>Custodia, tutela, adopciones y acogimiento familiar</v>
      </c>
      <c r="F553" s="89" t="str">
        <f ca="1">IFERROR(__xludf.DUMMYFUNCTION("""COMPUTED_VALUE"""),"C3. NNA del municipio de Guadalajara que recibieron servicios para la protección y restitución de sus derechos")</f>
        <v>C3. NNA del municipio de Guadalajara que recibieron servicios para la protección y restitución de sus derechos</v>
      </c>
      <c r="G553" s="89" t="str">
        <f ca="1">IFERROR(__xludf.DUMMYFUNCTION("""COMPUTED_VALUE"""),"Porcentaje de NNA con al menos un derecho protegido y/o restituido por la DIPNNA, en 2023")</f>
        <v>Porcentaje de NNA con al menos un derecho protegido y/o restituido por la DIPNNA, en 2023</v>
      </c>
      <c r="H553" s="89" t="str">
        <f ca="1">IFERROR(__xludf.DUMMYFUNCTION("""COMPUTED_VALUE"""),"AMH Diciembre")</f>
        <v>AMH Diciembre</v>
      </c>
      <c r="I553" s="89" t="str">
        <f ca="1">IFERROR(__xludf.DUMMYFUNCTION("""COMPUTED_VALUE"""),"Diciembre")</f>
        <v>Diciembre</v>
      </c>
      <c r="J553" s="89" t="str">
        <f ca="1">IFERROR(__xludf.DUMMYFUNCTION("""COMPUTED_VALUE"""),"AMH")</f>
        <v>AMH</v>
      </c>
      <c r="K553" s="92"/>
      <c r="L553" s="89" t="str">
        <f ca="1">IFERROR(__xludf.DUMMYFUNCTION("""COMPUTED_VALUE"""),"TRIMESTRE 4")</f>
        <v>TRIMESTRE 4</v>
      </c>
      <c r="M553" s="89" t="str">
        <f ca="1">IFERROR(__xludf.DUMMYFUNCTION("""COMPUTED_VALUE"""),"ADULTO MAYOR HOMBRE")</f>
        <v>ADULTO MAYOR HOMBRE</v>
      </c>
    </row>
    <row r="554" spans="1:13">
      <c r="A554" s="89" t="str">
        <f ca="1">IFERROR(__xludf.DUMMYFUNCTION("""COMPUTED_VALUE"""),"4.1.3.1")</f>
        <v>4.1.3.1</v>
      </c>
      <c r="B554" s="89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554" s="89" t="str">
        <f ca="1">IFERROR(__xludf.DUMMYFUNCTION("""COMPUTED_VALUE"""),"4. Programas")</f>
        <v>4. Programas</v>
      </c>
      <c r="D554" s="89" t="str">
        <f ca="1">IFERROR(__xludf.DUMMYFUNCTION("""COMPUTED_VALUE"""),"Guadalajara: Capital de las niñas y los niños")</f>
        <v>Guadalajara: Capital de las niñas y los niños</v>
      </c>
      <c r="E554" s="89" t="str">
        <f ca="1">IFERROR(__xludf.DUMMYFUNCTION("""COMPUTED_VALUE"""),"Custodia, tutela, adopciones y acogimiento familiar")</f>
        <v>Custodia, tutela, adopciones y acogimiento familiar</v>
      </c>
      <c r="F554" s="89" t="str">
        <f ca="1">IFERROR(__xludf.DUMMYFUNCTION("""COMPUTED_VALUE"""),"A1C3, Nuevas medidas de protección dictadas atendidas")</f>
        <v>A1C3, Nuevas medidas de protección dictadas atendidas</v>
      </c>
      <c r="G554" s="89" t="str">
        <f ca="1">IFERROR(__xludf.DUMMYFUNCTION("""COMPUTED_VALUE"""),"Porcentaje de NNA a los que se les dio seguimientos en las nuevas medidas de protección dictadas en 2023")</f>
        <v>Porcentaje de NNA a los que se les dio seguimientos en las nuevas medidas de protección dictadas en 2023</v>
      </c>
      <c r="H554" s="89" t="str">
        <f ca="1">IFERROR(__xludf.DUMMYFUNCTION("""COMPUTED_VALUE"""),"NAS Diciembre")</f>
        <v>NAS Diciembre</v>
      </c>
      <c r="I554" s="89" t="str">
        <f ca="1">IFERROR(__xludf.DUMMYFUNCTION("""COMPUTED_VALUE"""),"Diciembre")</f>
        <v>Diciembre</v>
      </c>
      <c r="J554" s="89" t="str">
        <f ca="1">IFERROR(__xludf.DUMMYFUNCTION("""COMPUTED_VALUE"""),"NAS")</f>
        <v>NAS</v>
      </c>
      <c r="K554" s="92">
        <f ca="1">IFERROR(__xludf.DUMMYFUNCTION("""COMPUTED_VALUE"""),3)</f>
        <v>3</v>
      </c>
      <c r="L554" s="89" t="str">
        <f ca="1">IFERROR(__xludf.DUMMYFUNCTION("""COMPUTED_VALUE"""),"TRIMESTRE 4")</f>
        <v>TRIMESTRE 4</v>
      </c>
      <c r="M554" s="89" t="str">
        <f ca="1">IFERROR(__xludf.DUMMYFUNCTION("""COMPUTED_VALUE"""),"NIÑAS")</f>
        <v>NIÑAS</v>
      </c>
    </row>
    <row r="555" spans="1:13">
      <c r="A555" s="89" t="str">
        <f ca="1">IFERROR(__xludf.DUMMYFUNCTION("""COMPUTED_VALUE"""),"4.1.3.1")</f>
        <v>4.1.3.1</v>
      </c>
      <c r="B555" s="89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555" s="89" t="str">
        <f ca="1">IFERROR(__xludf.DUMMYFUNCTION("""COMPUTED_VALUE"""),"4. Programas")</f>
        <v>4. Programas</v>
      </c>
      <c r="D555" s="89" t="str">
        <f ca="1">IFERROR(__xludf.DUMMYFUNCTION("""COMPUTED_VALUE"""),"Guadalajara: Capital de las niñas y los niños")</f>
        <v>Guadalajara: Capital de las niñas y los niños</v>
      </c>
      <c r="E555" s="89" t="str">
        <f ca="1">IFERROR(__xludf.DUMMYFUNCTION("""COMPUTED_VALUE"""),"Custodia, tutela, adopciones y acogimiento familiar")</f>
        <v>Custodia, tutela, adopciones y acogimiento familiar</v>
      </c>
      <c r="F555" s="89" t="str">
        <f ca="1">IFERROR(__xludf.DUMMYFUNCTION("""COMPUTED_VALUE"""),"A1C3, Nuevas medidas de protección dictadas atendidas")</f>
        <v>A1C3, Nuevas medidas de protección dictadas atendidas</v>
      </c>
      <c r="G555" s="89" t="str">
        <f ca="1">IFERROR(__xludf.DUMMYFUNCTION("""COMPUTED_VALUE"""),"Porcentaje de NNA a los que se les dio seguimientos en las nuevas medidas de protección dictadas en 2023")</f>
        <v>Porcentaje de NNA a los que se les dio seguimientos en las nuevas medidas de protección dictadas en 2023</v>
      </c>
      <c r="H555" s="89" t="str">
        <f ca="1">IFERROR(__xludf.DUMMYFUNCTION("""COMPUTED_VALUE"""),"NOS Diciembre")</f>
        <v>NOS Diciembre</v>
      </c>
      <c r="I555" s="89" t="str">
        <f ca="1">IFERROR(__xludf.DUMMYFUNCTION("""COMPUTED_VALUE"""),"Diciembre")</f>
        <v>Diciembre</v>
      </c>
      <c r="J555" s="89" t="str">
        <f ca="1">IFERROR(__xludf.DUMMYFUNCTION("""COMPUTED_VALUE"""),"NOS")</f>
        <v>NOS</v>
      </c>
      <c r="K555" s="92">
        <f ca="1">IFERROR(__xludf.DUMMYFUNCTION("""COMPUTED_VALUE"""),4)</f>
        <v>4</v>
      </c>
      <c r="L555" s="89" t="str">
        <f ca="1">IFERROR(__xludf.DUMMYFUNCTION("""COMPUTED_VALUE"""),"TRIMESTRE 4")</f>
        <v>TRIMESTRE 4</v>
      </c>
      <c r="M555" s="89" t="str">
        <f ca="1">IFERROR(__xludf.DUMMYFUNCTION("""COMPUTED_VALUE"""),"NIÑOS")</f>
        <v>NIÑOS</v>
      </c>
    </row>
    <row r="556" spans="1:13">
      <c r="A556" s="89" t="str">
        <f ca="1">IFERROR(__xludf.DUMMYFUNCTION("""COMPUTED_VALUE"""),"4.1.3.1")</f>
        <v>4.1.3.1</v>
      </c>
      <c r="B556" s="89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556" s="89" t="str">
        <f ca="1">IFERROR(__xludf.DUMMYFUNCTION("""COMPUTED_VALUE"""),"4. Programas")</f>
        <v>4. Programas</v>
      </c>
      <c r="D556" s="89" t="str">
        <f ca="1">IFERROR(__xludf.DUMMYFUNCTION("""COMPUTED_VALUE"""),"Guadalajara: Capital de las niñas y los niños")</f>
        <v>Guadalajara: Capital de las niñas y los niños</v>
      </c>
      <c r="E556" s="89" t="str">
        <f ca="1">IFERROR(__xludf.DUMMYFUNCTION("""COMPUTED_VALUE"""),"Custodia, tutela, adopciones y acogimiento familiar")</f>
        <v>Custodia, tutela, adopciones y acogimiento familiar</v>
      </c>
      <c r="F556" s="89" t="str">
        <f ca="1">IFERROR(__xludf.DUMMYFUNCTION("""COMPUTED_VALUE"""),"A1C3, Nuevas medidas de protección dictadas atendidas")</f>
        <v>A1C3, Nuevas medidas de protección dictadas atendidas</v>
      </c>
      <c r="G556" s="89" t="str">
        <f ca="1">IFERROR(__xludf.DUMMYFUNCTION("""COMPUTED_VALUE"""),"Porcentaje de NNA a los que se les dio seguimientos en las nuevas medidas de protección dictadas en 2023")</f>
        <v>Porcentaje de NNA a los que se les dio seguimientos en las nuevas medidas de protección dictadas en 2023</v>
      </c>
      <c r="H556" s="89" t="str">
        <f ca="1">IFERROR(__xludf.DUMMYFUNCTION("""COMPUTED_VALUE"""),"AM DICIEMBRE")</f>
        <v>AM DICIEMBRE</v>
      </c>
      <c r="I556" s="89" t="str">
        <f ca="1">IFERROR(__xludf.DUMMYFUNCTION("""COMPUTED_VALUE"""),"Diciembre")</f>
        <v>Diciembre</v>
      </c>
      <c r="J556" s="89" t="str">
        <f ca="1">IFERROR(__xludf.DUMMYFUNCTION("""COMPUTED_VALUE"""),"AM")</f>
        <v>AM</v>
      </c>
      <c r="K556" s="92">
        <f ca="1">IFERROR(__xludf.DUMMYFUNCTION("""COMPUTED_VALUE"""),2)</f>
        <v>2</v>
      </c>
      <c r="L556" s="89" t="str">
        <f ca="1">IFERROR(__xludf.DUMMYFUNCTION("""COMPUTED_VALUE"""),"TRIMESTRE 4")</f>
        <v>TRIMESTRE 4</v>
      </c>
      <c r="M556" s="89" t="str">
        <f ca="1">IFERROR(__xludf.DUMMYFUNCTION("""COMPUTED_VALUE"""),"ADOLESCENTES MUJERES")</f>
        <v>ADOLESCENTES MUJERES</v>
      </c>
    </row>
    <row r="557" spans="1:13">
      <c r="A557" s="89" t="str">
        <f ca="1">IFERROR(__xludf.DUMMYFUNCTION("""COMPUTED_VALUE"""),"4.1.3.1")</f>
        <v>4.1.3.1</v>
      </c>
      <c r="B557" s="89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557" s="89" t="str">
        <f ca="1">IFERROR(__xludf.DUMMYFUNCTION("""COMPUTED_VALUE"""),"4. Programas")</f>
        <v>4. Programas</v>
      </c>
      <c r="D557" s="89" t="str">
        <f ca="1">IFERROR(__xludf.DUMMYFUNCTION("""COMPUTED_VALUE"""),"Guadalajara: Capital de las niñas y los niños")</f>
        <v>Guadalajara: Capital de las niñas y los niños</v>
      </c>
      <c r="E557" s="89" t="str">
        <f ca="1">IFERROR(__xludf.DUMMYFUNCTION("""COMPUTED_VALUE"""),"Custodia, tutela, adopciones y acogimiento familiar")</f>
        <v>Custodia, tutela, adopciones y acogimiento familiar</v>
      </c>
      <c r="F557" s="89" t="str">
        <f ca="1">IFERROR(__xludf.DUMMYFUNCTION("""COMPUTED_VALUE"""),"A1C3, Nuevas medidas de protección dictadas atendidas")</f>
        <v>A1C3, Nuevas medidas de protección dictadas atendidas</v>
      </c>
      <c r="G557" s="89" t="str">
        <f ca="1">IFERROR(__xludf.DUMMYFUNCTION("""COMPUTED_VALUE"""),"Porcentaje de NNA a los que se les dio seguimientos en las nuevas medidas de protección dictadas en 2023")</f>
        <v>Porcentaje de NNA a los que se les dio seguimientos en las nuevas medidas de protección dictadas en 2023</v>
      </c>
      <c r="H557" s="89" t="str">
        <f ca="1">IFERROR(__xludf.DUMMYFUNCTION("""COMPUTED_VALUE"""),"AH DICIEMBRE")</f>
        <v>AH DICIEMBRE</v>
      </c>
      <c r="I557" s="89" t="str">
        <f ca="1">IFERROR(__xludf.DUMMYFUNCTION("""COMPUTED_VALUE"""),"Diciembre")</f>
        <v>Diciembre</v>
      </c>
      <c r="J557" s="89" t="str">
        <f ca="1">IFERROR(__xludf.DUMMYFUNCTION("""COMPUTED_VALUE"""),"AH")</f>
        <v>AH</v>
      </c>
      <c r="K557" s="92">
        <f ca="1">IFERROR(__xludf.DUMMYFUNCTION("""COMPUTED_VALUE"""),2)</f>
        <v>2</v>
      </c>
      <c r="L557" s="89" t="str">
        <f ca="1">IFERROR(__xludf.DUMMYFUNCTION("""COMPUTED_VALUE"""),"TRIMESTRE 4")</f>
        <v>TRIMESTRE 4</v>
      </c>
      <c r="M557" s="89" t="str">
        <f ca="1">IFERROR(__xludf.DUMMYFUNCTION("""COMPUTED_VALUE"""),"ADOLESCENTES HOMBRES")</f>
        <v>ADOLESCENTES HOMBRES</v>
      </c>
    </row>
    <row r="558" spans="1:13">
      <c r="A558" s="89" t="str">
        <f ca="1">IFERROR(__xludf.DUMMYFUNCTION("""COMPUTED_VALUE"""),"4.1.3.1")</f>
        <v>4.1.3.1</v>
      </c>
      <c r="B558" s="89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558" s="89" t="str">
        <f ca="1">IFERROR(__xludf.DUMMYFUNCTION("""COMPUTED_VALUE"""),"4. Programas")</f>
        <v>4. Programas</v>
      </c>
      <c r="D558" s="89" t="str">
        <f ca="1">IFERROR(__xludf.DUMMYFUNCTION("""COMPUTED_VALUE"""),"Guadalajara: Capital de las niñas y los niños")</f>
        <v>Guadalajara: Capital de las niñas y los niños</v>
      </c>
      <c r="E558" s="89" t="str">
        <f ca="1">IFERROR(__xludf.DUMMYFUNCTION("""COMPUTED_VALUE"""),"Custodia, tutela, adopciones y acogimiento familiar")</f>
        <v>Custodia, tutela, adopciones y acogimiento familiar</v>
      </c>
      <c r="F558" s="89" t="str">
        <f ca="1">IFERROR(__xludf.DUMMYFUNCTION("""COMPUTED_VALUE"""),"A1C3, Nuevas medidas de protección dictadas atendidas")</f>
        <v>A1C3, Nuevas medidas de protección dictadas atendidas</v>
      </c>
      <c r="G558" s="89" t="str">
        <f ca="1">IFERROR(__xludf.DUMMYFUNCTION("""COMPUTED_VALUE"""),"Porcentaje de NNA a los que se les dio seguimientos en las nuevas medidas de protección dictadas en 2023")</f>
        <v>Porcentaje de NNA a los que se les dio seguimientos en las nuevas medidas de protección dictadas en 2023</v>
      </c>
      <c r="H558" s="89" t="str">
        <f ca="1">IFERROR(__xludf.DUMMYFUNCTION("""COMPUTED_VALUE"""),"MUJ Diciembre")</f>
        <v>MUJ Diciembre</v>
      </c>
      <c r="I558" s="89" t="str">
        <f ca="1">IFERROR(__xludf.DUMMYFUNCTION("""COMPUTED_VALUE"""),"Diciembre")</f>
        <v>Diciembre</v>
      </c>
      <c r="J558" s="89" t="str">
        <f ca="1">IFERROR(__xludf.DUMMYFUNCTION("""COMPUTED_VALUE"""),"MUJ")</f>
        <v>MUJ</v>
      </c>
      <c r="K558" s="92"/>
      <c r="L558" s="89" t="str">
        <f ca="1">IFERROR(__xludf.DUMMYFUNCTION("""COMPUTED_VALUE"""),"TRIMESTRE 4")</f>
        <v>TRIMESTRE 4</v>
      </c>
      <c r="M558" s="89" t="str">
        <f ca="1">IFERROR(__xludf.DUMMYFUNCTION("""COMPUTED_VALUE"""),"MUJERES ADULTAS")</f>
        <v>MUJERES ADULTAS</v>
      </c>
    </row>
    <row r="559" spans="1:13">
      <c r="A559" s="89" t="str">
        <f ca="1">IFERROR(__xludf.DUMMYFUNCTION("""COMPUTED_VALUE"""),"4.1.3.1")</f>
        <v>4.1.3.1</v>
      </c>
      <c r="B559" s="89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559" s="89" t="str">
        <f ca="1">IFERROR(__xludf.DUMMYFUNCTION("""COMPUTED_VALUE"""),"4. Programas")</f>
        <v>4. Programas</v>
      </c>
      <c r="D559" s="89" t="str">
        <f ca="1">IFERROR(__xludf.DUMMYFUNCTION("""COMPUTED_VALUE"""),"Guadalajara: Capital de las niñas y los niños")</f>
        <v>Guadalajara: Capital de las niñas y los niños</v>
      </c>
      <c r="E559" s="89" t="str">
        <f ca="1">IFERROR(__xludf.DUMMYFUNCTION("""COMPUTED_VALUE"""),"Custodia, tutela, adopciones y acogimiento familiar")</f>
        <v>Custodia, tutela, adopciones y acogimiento familiar</v>
      </c>
      <c r="F559" s="89" t="str">
        <f ca="1">IFERROR(__xludf.DUMMYFUNCTION("""COMPUTED_VALUE"""),"A1C3, Nuevas medidas de protección dictadas atendidas")</f>
        <v>A1C3, Nuevas medidas de protección dictadas atendidas</v>
      </c>
      <c r="G559" s="89" t="str">
        <f ca="1">IFERROR(__xludf.DUMMYFUNCTION("""COMPUTED_VALUE"""),"Porcentaje de NNA a los que se les dio seguimientos en las nuevas medidas de protección dictadas en 2023")</f>
        <v>Porcentaje de NNA a los que se les dio seguimientos en las nuevas medidas de protección dictadas en 2023</v>
      </c>
      <c r="H559" s="89" t="str">
        <f ca="1">IFERROR(__xludf.DUMMYFUNCTION("""COMPUTED_VALUE"""),"HOM Diciembre")</f>
        <v>HOM Diciembre</v>
      </c>
      <c r="I559" s="89" t="str">
        <f ca="1">IFERROR(__xludf.DUMMYFUNCTION("""COMPUTED_VALUE"""),"Diciembre")</f>
        <v>Diciembre</v>
      </c>
      <c r="J559" s="89" t="str">
        <f ca="1">IFERROR(__xludf.DUMMYFUNCTION("""COMPUTED_VALUE"""),"HOM")</f>
        <v>HOM</v>
      </c>
      <c r="K559" s="92"/>
      <c r="L559" s="89" t="str">
        <f ca="1">IFERROR(__xludf.DUMMYFUNCTION("""COMPUTED_VALUE"""),"TRIMESTRE 4")</f>
        <v>TRIMESTRE 4</v>
      </c>
      <c r="M559" s="89" t="str">
        <f ca="1">IFERROR(__xludf.DUMMYFUNCTION("""COMPUTED_VALUE"""),"HOMBRES ADULTOS")</f>
        <v>HOMBRES ADULTOS</v>
      </c>
    </row>
    <row r="560" spans="1:13">
      <c r="A560" s="89" t="str">
        <f ca="1">IFERROR(__xludf.DUMMYFUNCTION("""COMPUTED_VALUE"""),"4.1.3.1")</f>
        <v>4.1.3.1</v>
      </c>
      <c r="B560" s="89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560" s="89" t="str">
        <f ca="1">IFERROR(__xludf.DUMMYFUNCTION("""COMPUTED_VALUE"""),"4. Programas")</f>
        <v>4. Programas</v>
      </c>
      <c r="D560" s="89" t="str">
        <f ca="1">IFERROR(__xludf.DUMMYFUNCTION("""COMPUTED_VALUE"""),"Guadalajara: Capital de las niñas y los niños")</f>
        <v>Guadalajara: Capital de las niñas y los niños</v>
      </c>
      <c r="E560" s="89" t="str">
        <f ca="1">IFERROR(__xludf.DUMMYFUNCTION("""COMPUTED_VALUE"""),"Custodia, tutela, adopciones y acogimiento familiar")</f>
        <v>Custodia, tutela, adopciones y acogimiento familiar</v>
      </c>
      <c r="F560" s="89" t="str">
        <f ca="1">IFERROR(__xludf.DUMMYFUNCTION("""COMPUTED_VALUE"""),"A1C3, Nuevas medidas de protección dictadas atendidas")</f>
        <v>A1C3, Nuevas medidas de protección dictadas atendidas</v>
      </c>
      <c r="G560" s="89" t="str">
        <f ca="1">IFERROR(__xludf.DUMMYFUNCTION("""COMPUTED_VALUE"""),"Porcentaje de NNA a los que se les dio seguimientos en las nuevas medidas de protección dictadas en 2023")</f>
        <v>Porcentaje de NNA a los que se les dio seguimientos en las nuevas medidas de protección dictadas en 2023</v>
      </c>
      <c r="H560" s="89" t="str">
        <f ca="1">IFERROR(__xludf.DUMMYFUNCTION("""COMPUTED_VALUE"""),"AMM Diciembre")</f>
        <v>AMM Diciembre</v>
      </c>
      <c r="I560" s="89" t="str">
        <f ca="1">IFERROR(__xludf.DUMMYFUNCTION("""COMPUTED_VALUE"""),"Diciembre")</f>
        <v>Diciembre</v>
      </c>
      <c r="J560" s="89" t="str">
        <f ca="1">IFERROR(__xludf.DUMMYFUNCTION("""COMPUTED_VALUE"""),"AMM")</f>
        <v>AMM</v>
      </c>
      <c r="K560" s="92"/>
      <c r="L560" s="89" t="str">
        <f ca="1">IFERROR(__xludf.DUMMYFUNCTION("""COMPUTED_VALUE"""),"TRIMESTRE 4")</f>
        <v>TRIMESTRE 4</v>
      </c>
      <c r="M560" s="89" t="str">
        <f ca="1">IFERROR(__xludf.DUMMYFUNCTION("""COMPUTED_VALUE"""),"ADULTA MAYOR MUJER")</f>
        <v>ADULTA MAYOR MUJER</v>
      </c>
    </row>
    <row r="561" spans="1:13">
      <c r="A561" s="89" t="str">
        <f ca="1">IFERROR(__xludf.DUMMYFUNCTION("""COMPUTED_VALUE"""),"4.1.3.1")</f>
        <v>4.1.3.1</v>
      </c>
      <c r="B561" s="89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561" s="89" t="str">
        <f ca="1">IFERROR(__xludf.DUMMYFUNCTION("""COMPUTED_VALUE"""),"4. Programas")</f>
        <v>4. Programas</v>
      </c>
      <c r="D561" s="89" t="str">
        <f ca="1">IFERROR(__xludf.DUMMYFUNCTION("""COMPUTED_VALUE"""),"Guadalajara: Capital de las niñas y los niños")</f>
        <v>Guadalajara: Capital de las niñas y los niños</v>
      </c>
      <c r="E561" s="89" t="str">
        <f ca="1">IFERROR(__xludf.DUMMYFUNCTION("""COMPUTED_VALUE"""),"Custodia, tutela, adopciones y acogimiento familiar")</f>
        <v>Custodia, tutela, adopciones y acogimiento familiar</v>
      </c>
      <c r="F561" s="89" t="str">
        <f ca="1">IFERROR(__xludf.DUMMYFUNCTION("""COMPUTED_VALUE"""),"A1C3, Nuevas medidas de protección dictadas atendidas")</f>
        <v>A1C3, Nuevas medidas de protección dictadas atendidas</v>
      </c>
      <c r="G561" s="89" t="str">
        <f ca="1">IFERROR(__xludf.DUMMYFUNCTION("""COMPUTED_VALUE"""),"Porcentaje de NNA a los que se les dio seguimientos en las nuevas medidas de protección dictadas en 2023")</f>
        <v>Porcentaje de NNA a los que se les dio seguimientos en las nuevas medidas de protección dictadas en 2023</v>
      </c>
      <c r="H561" s="89" t="str">
        <f ca="1">IFERROR(__xludf.DUMMYFUNCTION("""COMPUTED_VALUE"""),"AMH Diciembre")</f>
        <v>AMH Diciembre</v>
      </c>
      <c r="I561" s="89" t="str">
        <f ca="1">IFERROR(__xludf.DUMMYFUNCTION("""COMPUTED_VALUE"""),"Diciembre")</f>
        <v>Diciembre</v>
      </c>
      <c r="J561" s="89" t="str">
        <f ca="1">IFERROR(__xludf.DUMMYFUNCTION("""COMPUTED_VALUE"""),"AMH")</f>
        <v>AMH</v>
      </c>
      <c r="K561" s="92"/>
      <c r="L561" s="89" t="str">
        <f ca="1">IFERROR(__xludf.DUMMYFUNCTION("""COMPUTED_VALUE"""),"TRIMESTRE 4")</f>
        <v>TRIMESTRE 4</v>
      </c>
      <c r="M561" s="89" t="str">
        <f ca="1">IFERROR(__xludf.DUMMYFUNCTION("""COMPUTED_VALUE"""),"ADULTO MAYOR HOMBRE")</f>
        <v>ADULTO MAYOR HOMBRE</v>
      </c>
    </row>
    <row r="562" spans="1:13">
      <c r="A562" s="89" t="str">
        <f ca="1">IFERROR(__xludf.DUMMYFUNCTION("""COMPUTED_VALUE"""),"4.1.3.2")</f>
        <v>4.1.3.2</v>
      </c>
      <c r="B562" s="89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562" s="89" t="str">
        <f ca="1">IFERROR(__xludf.DUMMYFUNCTION("""COMPUTED_VALUE"""),"4. Programas")</f>
        <v>4. Programas</v>
      </c>
      <c r="D562" s="89" t="str">
        <f ca="1">IFERROR(__xludf.DUMMYFUNCTION("""COMPUTED_VALUE"""),"Guadalajara: Capital de las niñas y los niños")</f>
        <v>Guadalajara: Capital de las niñas y los niños</v>
      </c>
      <c r="E562" s="89" t="str">
        <f ca="1">IFERROR(__xludf.DUMMYFUNCTION("""COMPUTED_VALUE"""),"Custodia, tutela, adopciones y acogimiento familiar")</f>
        <v>Custodia, tutela, adopciones y acogimiento familiar</v>
      </c>
      <c r="F562" s="89" t="str">
        <f ca="1">IFERROR(__xludf.DUMMYFUNCTION("""COMPUTED_VALUE"""),"A2C3. Medidas de protección dictadas que se les dio seguimiento")</f>
        <v>A2C3. Medidas de protección dictadas que se les dio seguimiento</v>
      </c>
      <c r="G562" s="89" t="str">
        <f ca="1">IFERROR(__xludf.DUMMYFUNCTION("""COMPUTED_VALUE"""),"Porcentaje de NNA a los que se les dio seguimientos en las medidas de protección dictadas, en 2023")</f>
        <v>Porcentaje de NNA a los que se les dio seguimientos en las medidas de protección dictadas, en 2023</v>
      </c>
      <c r="H562" s="89" t="str">
        <f ca="1">IFERROR(__xludf.DUMMYFUNCTION("""COMPUTED_VALUE"""),"NAS Diciembre")</f>
        <v>NAS Diciembre</v>
      </c>
      <c r="I562" s="89" t="str">
        <f ca="1">IFERROR(__xludf.DUMMYFUNCTION("""COMPUTED_VALUE"""),"Diciembre")</f>
        <v>Diciembre</v>
      </c>
      <c r="J562" s="89" t="str">
        <f ca="1">IFERROR(__xludf.DUMMYFUNCTION("""COMPUTED_VALUE"""),"NAS")</f>
        <v>NAS</v>
      </c>
      <c r="K562" s="92">
        <f ca="1">IFERROR(__xludf.DUMMYFUNCTION("""COMPUTED_VALUE"""),33)</f>
        <v>33</v>
      </c>
      <c r="L562" s="89" t="str">
        <f ca="1">IFERROR(__xludf.DUMMYFUNCTION("""COMPUTED_VALUE"""),"TRIMESTRE 4")</f>
        <v>TRIMESTRE 4</v>
      </c>
      <c r="M562" s="89" t="str">
        <f ca="1">IFERROR(__xludf.DUMMYFUNCTION("""COMPUTED_VALUE"""),"NIÑAS")</f>
        <v>NIÑAS</v>
      </c>
    </row>
    <row r="563" spans="1:13">
      <c r="A563" s="89" t="str">
        <f ca="1">IFERROR(__xludf.DUMMYFUNCTION("""COMPUTED_VALUE"""),"4.1.3.2")</f>
        <v>4.1.3.2</v>
      </c>
      <c r="B563" s="89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563" s="89" t="str">
        <f ca="1">IFERROR(__xludf.DUMMYFUNCTION("""COMPUTED_VALUE"""),"4. Programas")</f>
        <v>4. Programas</v>
      </c>
      <c r="D563" s="89" t="str">
        <f ca="1">IFERROR(__xludf.DUMMYFUNCTION("""COMPUTED_VALUE"""),"Guadalajara: Capital de las niñas y los niños")</f>
        <v>Guadalajara: Capital de las niñas y los niños</v>
      </c>
      <c r="E563" s="89" t="str">
        <f ca="1">IFERROR(__xludf.DUMMYFUNCTION("""COMPUTED_VALUE"""),"Custodia, tutela, adopciones y acogimiento familiar")</f>
        <v>Custodia, tutela, adopciones y acogimiento familiar</v>
      </c>
      <c r="F563" s="89" t="str">
        <f ca="1">IFERROR(__xludf.DUMMYFUNCTION("""COMPUTED_VALUE"""),"A2C3. Medidas de protección dictadas que se les dio seguimiento")</f>
        <v>A2C3. Medidas de protección dictadas que se les dio seguimiento</v>
      </c>
      <c r="G563" s="89" t="str">
        <f ca="1">IFERROR(__xludf.DUMMYFUNCTION("""COMPUTED_VALUE"""),"Porcentaje de NNA a los que se les dio seguimientos en las medidas de protección dictadas, en 2023")</f>
        <v>Porcentaje de NNA a los que se les dio seguimientos en las medidas de protección dictadas, en 2023</v>
      </c>
      <c r="H563" s="89" t="str">
        <f ca="1">IFERROR(__xludf.DUMMYFUNCTION("""COMPUTED_VALUE"""),"NOS Diciembre")</f>
        <v>NOS Diciembre</v>
      </c>
      <c r="I563" s="89" t="str">
        <f ca="1">IFERROR(__xludf.DUMMYFUNCTION("""COMPUTED_VALUE"""),"Diciembre")</f>
        <v>Diciembre</v>
      </c>
      <c r="J563" s="89" t="str">
        <f ca="1">IFERROR(__xludf.DUMMYFUNCTION("""COMPUTED_VALUE"""),"NOS")</f>
        <v>NOS</v>
      </c>
      <c r="K563" s="92">
        <f ca="1">IFERROR(__xludf.DUMMYFUNCTION("""COMPUTED_VALUE"""),22)</f>
        <v>22</v>
      </c>
      <c r="L563" s="89" t="str">
        <f ca="1">IFERROR(__xludf.DUMMYFUNCTION("""COMPUTED_VALUE"""),"TRIMESTRE 4")</f>
        <v>TRIMESTRE 4</v>
      </c>
      <c r="M563" s="89" t="str">
        <f ca="1">IFERROR(__xludf.DUMMYFUNCTION("""COMPUTED_VALUE"""),"NIÑOS")</f>
        <v>NIÑOS</v>
      </c>
    </row>
    <row r="564" spans="1:13">
      <c r="A564" s="89" t="str">
        <f ca="1">IFERROR(__xludf.DUMMYFUNCTION("""COMPUTED_VALUE"""),"4.1.3.2")</f>
        <v>4.1.3.2</v>
      </c>
      <c r="B564" s="89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564" s="89" t="str">
        <f ca="1">IFERROR(__xludf.DUMMYFUNCTION("""COMPUTED_VALUE"""),"4. Programas")</f>
        <v>4. Programas</v>
      </c>
      <c r="D564" s="89" t="str">
        <f ca="1">IFERROR(__xludf.DUMMYFUNCTION("""COMPUTED_VALUE"""),"Guadalajara: Capital de las niñas y los niños")</f>
        <v>Guadalajara: Capital de las niñas y los niños</v>
      </c>
      <c r="E564" s="89" t="str">
        <f ca="1">IFERROR(__xludf.DUMMYFUNCTION("""COMPUTED_VALUE"""),"Custodia, tutela, adopciones y acogimiento familiar")</f>
        <v>Custodia, tutela, adopciones y acogimiento familiar</v>
      </c>
      <c r="F564" s="89" t="str">
        <f ca="1">IFERROR(__xludf.DUMMYFUNCTION("""COMPUTED_VALUE"""),"A2C3. Medidas de protección dictadas que se les dio seguimiento")</f>
        <v>A2C3. Medidas de protección dictadas que se les dio seguimiento</v>
      </c>
      <c r="G564" s="89" t="str">
        <f ca="1">IFERROR(__xludf.DUMMYFUNCTION("""COMPUTED_VALUE"""),"Porcentaje de NNA a los que se les dio seguimientos en las medidas de protección dictadas, en 2023")</f>
        <v>Porcentaje de NNA a los que se les dio seguimientos en las medidas de protección dictadas, en 2023</v>
      </c>
      <c r="H564" s="89" t="str">
        <f ca="1">IFERROR(__xludf.DUMMYFUNCTION("""COMPUTED_VALUE"""),"AM DICIEMBRE")</f>
        <v>AM DICIEMBRE</v>
      </c>
      <c r="I564" s="89" t="str">
        <f ca="1">IFERROR(__xludf.DUMMYFUNCTION("""COMPUTED_VALUE"""),"Diciembre")</f>
        <v>Diciembre</v>
      </c>
      <c r="J564" s="89" t="str">
        <f ca="1">IFERROR(__xludf.DUMMYFUNCTION("""COMPUTED_VALUE"""),"AM")</f>
        <v>AM</v>
      </c>
      <c r="K564" s="92">
        <f ca="1">IFERROR(__xludf.DUMMYFUNCTION("""COMPUTED_VALUE"""),9)</f>
        <v>9</v>
      </c>
      <c r="L564" s="89" t="str">
        <f ca="1">IFERROR(__xludf.DUMMYFUNCTION("""COMPUTED_VALUE"""),"TRIMESTRE 4")</f>
        <v>TRIMESTRE 4</v>
      </c>
      <c r="M564" s="89" t="str">
        <f ca="1">IFERROR(__xludf.DUMMYFUNCTION("""COMPUTED_VALUE"""),"ADOLESCENTES MUJERES")</f>
        <v>ADOLESCENTES MUJERES</v>
      </c>
    </row>
    <row r="565" spans="1:13">
      <c r="A565" s="89" t="str">
        <f ca="1">IFERROR(__xludf.DUMMYFUNCTION("""COMPUTED_VALUE"""),"4.1.3.2")</f>
        <v>4.1.3.2</v>
      </c>
      <c r="B565" s="89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565" s="89" t="str">
        <f ca="1">IFERROR(__xludf.DUMMYFUNCTION("""COMPUTED_VALUE"""),"4. Programas")</f>
        <v>4. Programas</v>
      </c>
      <c r="D565" s="89" t="str">
        <f ca="1">IFERROR(__xludf.DUMMYFUNCTION("""COMPUTED_VALUE"""),"Guadalajara: Capital de las niñas y los niños")</f>
        <v>Guadalajara: Capital de las niñas y los niños</v>
      </c>
      <c r="E565" s="89" t="str">
        <f ca="1">IFERROR(__xludf.DUMMYFUNCTION("""COMPUTED_VALUE"""),"Custodia, tutela, adopciones y acogimiento familiar")</f>
        <v>Custodia, tutela, adopciones y acogimiento familiar</v>
      </c>
      <c r="F565" s="89" t="str">
        <f ca="1">IFERROR(__xludf.DUMMYFUNCTION("""COMPUTED_VALUE"""),"A2C3. Medidas de protección dictadas que se les dio seguimiento")</f>
        <v>A2C3. Medidas de protección dictadas que se les dio seguimiento</v>
      </c>
      <c r="G565" s="89" t="str">
        <f ca="1">IFERROR(__xludf.DUMMYFUNCTION("""COMPUTED_VALUE"""),"Porcentaje de NNA a los que se les dio seguimientos en las medidas de protección dictadas, en 2023")</f>
        <v>Porcentaje de NNA a los que se les dio seguimientos en las medidas de protección dictadas, en 2023</v>
      </c>
      <c r="H565" s="89" t="str">
        <f ca="1">IFERROR(__xludf.DUMMYFUNCTION("""COMPUTED_VALUE"""),"AH DICIEMBRE")</f>
        <v>AH DICIEMBRE</v>
      </c>
      <c r="I565" s="89" t="str">
        <f ca="1">IFERROR(__xludf.DUMMYFUNCTION("""COMPUTED_VALUE"""),"Diciembre")</f>
        <v>Diciembre</v>
      </c>
      <c r="J565" s="89" t="str">
        <f ca="1">IFERROR(__xludf.DUMMYFUNCTION("""COMPUTED_VALUE"""),"AH")</f>
        <v>AH</v>
      </c>
      <c r="K565" s="92">
        <f ca="1">IFERROR(__xludf.DUMMYFUNCTION("""COMPUTED_VALUE"""),3)</f>
        <v>3</v>
      </c>
      <c r="L565" s="89" t="str">
        <f ca="1">IFERROR(__xludf.DUMMYFUNCTION("""COMPUTED_VALUE"""),"TRIMESTRE 4")</f>
        <v>TRIMESTRE 4</v>
      </c>
      <c r="M565" s="89" t="str">
        <f ca="1">IFERROR(__xludf.DUMMYFUNCTION("""COMPUTED_VALUE"""),"ADOLESCENTES HOMBRES")</f>
        <v>ADOLESCENTES HOMBRES</v>
      </c>
    </row>
    <row r="566" spans="1:13">
      <c r="A566" s="89" t="str">
        <f ca="1">IFERROR(__xludf.DUMMYFUNCTION("""COMPUTED_VALUE"""),"4.1.3.2")</f>
        <v>4.1.3.2</v>
      </c>
      <c r="B566" s="89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566" s="89" t="str">
        <f ca="1">IFERROR(__xludf.DUMMYFUNCTION("""COMPUTED_VALUE"""),"4. Programas")</f>
        <v>4. Programas</v>
      </c>
      <c r="D566" s="89" t="str">
        <f ca="1">IFERROR(__xludf.DUMMYFUNCTION("""COMPUTED_VALUE"""),"Guadalajara: Capital de las niñas y los niños")</f>
        <v>Guadalajara: Capital de las niñas y los niños</v>
      </c>
      <c r="E566" s="89" t="str">
        <f ca="1">IFERROR(__xludf.DUMMYFUNCTION("""COMPUTED_VALUE"""),"Custodia, tutela, adopciones y acogimiento familiar")</f>
        <v>Custodia, tutela, adopciones y acogimiento familiar</v>
      </c>
      <c r="F566" s="89" t="str">
        <f ca="1">IFERROR(__xludf.DUMMYFUNCTION("""COMPUTED_VALUE"""),"A2C3. Medidas de protección dictadas que se les dio seguimiento")</f>
        <v>A2C3. Medidas de protección dictadas que se les dio seguimiento</v>
      </c>
      <c r="G566" s="89" t="str">
        <f ca="1">IFERROR(__xludf.DUMMYFUNCTION("""COMPUTED_VALUE"""),"Porcentaje de NNA a los que se les dio seguimientos en las medidas de protección dictadas, en 2023")</f>
        <v>Porcentaje de NNA a los que se les dio seguimientos en las medidas de protección dictadas, en 2023</v>
      </c>
      <c r="H566" s="89" t="str">
        <f ca="1">IFERROR(__xludf.DUMMYFUNCTION("""COMPUTED_VALUE"""),"MUJ Diciembre")</f>
        <v>MUJ Diciembre</v>
      </c>
      <c r="I566" s="89" t="str">
        <f ca="1">IFERROR(__xludf.DUMMYFUNCTION("""COMPUTED_VALUE"""),"Diciembre")</f>
        <v>Diciembre</v>
      </c>
      <c r="J566" s="89" t="str">
        <f ca="1">IFERROR(__xludf.DUMMYFUNCTION("""COMPUTED_VALUE"""),"MUJ")</f>
        <v>MUJ</v>
      </c>
      <c r="K566" s="92"/>
      <c r="L566" s="89" t="str">
        <f ca="1">IFERROR(__xludf.DUMMYFUNCTION("""COMPUTED_VALUE"""),"TRIMESTRE 4")</f>
        <v>TRIMESTRE 4</v>
      </c>
      <c r="M566" s="89" t="str">
        <f ca="1">IFERROR(__xludf.DUMMYFUNCTION("""COMPUTED_VALUE"""),"MUJERES ADULTAS")</f>
        <v>MUJERES ADULTAS</v>
      </c>
    </row>
    <row r="567" spans="1:13">
      <c r="A567" s="89" t="str">
        <f ca="1">IFERROR(__xludf.DUMMYFUNCTION("""COMPUTED_VALUE"""),"4.1.3.2")</f>
        <v>4.1.3.2</v>
      </c>
      <c r="B567" s="89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567" s="89" t="str">
        <f ca="1">IFERROR(__xludf.DUMMYFUNCTION("""COMPUTED_VALUE"""),"4. Programas")</f>
        <v>4. Programas</v>
      </c>
      <c r="D567" s="89" t="str">
        <f ca="1">IFERROR(__xludf.DUMMYFUNCTION("""COMPUTED_VALUE"""),"Guadalajara: Capital de las niñas y los niños")</f>
        <v>Guadalajara: Capital de las niñas y los niños</v>
      </c>
      <c r="E567" s="89" t="str">
        <f ca="1">IFERROR(__xludf.DUMMYFUNCTION("""COMPUTED_VALUE"""),"Custodia, tutela, adopciones y acogimiento familiar")</f>
        <v>Custodia, tutela, adopciones y acogimiento familiar</v>
      </c>
      <c r="F567" s="89" t="str">
        <f ca="1">IFERROR(__xludf.DUMMYFUNCTION("""COMPUTED_VALUE"""),"A2C3. Medidas de protección dictadas que se les dio seguimiento")</f>
        <v>A2C3. Medidas de protección dictadas que se les dio seguimiento</v>
      </c>
      <c r="G567" s="89" t="str">
        <f ca="1">IFERROR(__xludf.DUMMYFUNCTION("""COMPUTED_VALUE"""),"Porcentaje de NNA a los que se les dio seguimientos en las medidas de protección dictadas, en 2023")</f>
        <v>Porcentaje de NNA a los que se les dio seguimientos en las medidas de protección dictadas, en 2023</v>
      </c>
      <c r="H567" s="89" t="str">
        <f ca="1">IFERROR(__xludf.DUMMYFUNCTION("""COMPUTED_VALUE"""),"HOM Diciembre")</f>
        <v>HOM Diciembre</v>
      </c>
      <c r="I567" s="89" t="str">
        <f ca="1">IFERROR(__xludf.DUMMYFUNCTION("""COMPUTED_VALUE"""),"Diciembre")</f>
        <v>Diciembre</v>
      </c>
      <c r="J567" s="89" t="str">
        <f ca="1">IFERROR(__xludf.DUMMYFUNCTION("""COMPUTED_VALUE"""),"HOM")</f>
        <v>HOM</v>
      </c>
      <c r="K567" s="92"/>
      <c r="L567" s="89" t="str">
        <f ca="1">IFERROR(__xludf.DUMMYFUNCTION("""COMPUTED_VALUE"""),"TRIMESTRE 4")</f>
        <v>TRIMESTRE 4</v>
      </c>
      <c r="M567" s="89" t="str">
        <f ca="1">IFERROR(__xludf.DUMMYFUNCTION("""COMPUTED_VALUE"""),"HOMBRES ADULTOS")</f>
        <v>HOMBRES ADULTOS</v>
      </c>
    </row>
    <row r="568" spans="1:13">
      <c r="A568" s="89" t="str">
        <f ca="1">IFERROR(__xludf.DUMMYFUNCTION("""COMPUTED_VALUE"""),"4.1.3.2")</f>
        <v>4.1.3.2</v>
      </c>
      <c r="B568" s="89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568" s="89" t="str">
        <f ca="1">IFERROR(__xludf.DUMMYFUNCTION("""COMPUTED_VALUE"""),"4. Programas")</f>
        <v>4. Programas</v>
      </c>
      <c r="D568" s="89" t="str">
        <f ca="1">IFERROR(__xludf.DUMMYFUNCTION("""COMPUTED_VALUE"""),"Guadalajara: Capital de las niñas y los niños")</f>
        <v>Guadalajara: Capital de las niñas y los niños</v>
      </c>
      <c r="E568" s="89" t="str">
        <f ca="1">IFERROR(__xludf.DUMMYFUNCTION("""COMPUTED_VALUE"""),"Custodia, tutela, adopciones y acogimiento familiar")</f>
        <v>Custodia, tutela, adopciones y acogimiento familiar</v>
      </c>
      <c r="F568" s="89" t="str">
        <f ca="1">IFERROR(__xludf.DUMMYFUNCTION("""COMPUTED_VALUE"""),"A2C3. Medidas de protección dictadas que se les dio seguimiento")</f>
        <v>A2C3. Medidas de protección dictadas que se les dio seguimiento</v>
      </c>
      <c r="G568" s="89" t="str">
        <f ca="1">IFERROR(__xludf.DUMMYFUNCTION("""COMPUTED_VALUE"""),"Porcentaje de NNA a los que se les dio seguimientos en las medidas de protección dictadas, en 2023")</f>
        <v>Porcentaje de NNA a los que se les dio seguimientos en las medidas de protección dictadas, en 2023</v>
      </c>
      <c r="H568" s="89" t="str">
        <f ca="1">IFERROR(__xludf.DUMMYFUNCTION("""COMPUTED_VALUE"""),"AMM Diciembre")</f>
        <v>AMM Diciembre</v>
      </c>
      <c r="I568" s="89" t="str">
        <f ca="1">IFERROR(__xludf.DUMMYFUNCTION("""COMPUTED_VALUE"""),"Diciembre")</f>
        <v>Diciembre</v>
      </c>
      <c r="J568" s="89" t="str">
        <f ca="1">IFERROR(__xludf.DUMMYFUNCTION("""COMPUTED_VALUE"""),"AMM")</f>
        <v>AMM</v>
      </c>
      <c r="K568" s="92"/>
      <c r="L568" s="89" t="str">
        <f ca="1">IFERROR(__xludf.DUMMYFUNCTION("""COMPUTED_VALUE"""),"TRIMESTRE 4")</f>
        <v>TRIMESTRE 4</v>
      </c>
      <c r="M568" s="89" t="str">
        <f ca="1">IFERROR(__xludf.DUMMYFUNCTION("""COMPUTED_VALUE"""),"ADULTA MAYOR MUJER")</f>
        <v>ADULTA MAYOR MUJER</v>
      </c>
    </row>
    <row r="569" spans="1:13">
      <c r="A569" s="89" t="str">
        <f ca="1">IFERROR(__xludf.DUMMYFUNCTION("""COMPUTED_VALUE"""),"4.1.3.2")</f>
        <v>4.1.3.2</v>
      </c>
      <c r="B569" s="89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569" s="89" t="str">
        <f ca="1">IFERROR(__xludf.DUMMYFUNCTION("""COMPUTED_VALUE"""),"4. Programas")</f>
        <v>4. Programas</v>
      </c>
      <c r="D569" s="89" t="str">
        <f ca="1">IFERROR(__xludf.DUMMYFUNCTION("""COMPUTED_VALUE"""),"Guadalajara: Capital de las niñas y los niños")</f>
        <v>Guadalajara: Capital de las niñas y los niños</v>
      </c>
      <c r="E569" s="89" t="str">
        <f ca="1">IFERROR(__xludf.DUMMYFUNCTION("""COMPUTED_VALUE"""),"Custodia, tutela, adopciones y acogimiento familiar")</f>
        <v>Custodia, tutela, adopciones y acogimiento familiar</v>
      </c>
      <c r="F569" s="89" t="str">
        <f ca="1">IFERROR(__xludf.DUMMYFUNCTION("""COMPUTED_VALUE"""),"A2C3. Medidas de protección dictadas que se les dio seguimiento")</f>
        <v>A2C3. Medidas de protección dictadas que se les dio seguimiento</v>
      </c>
      <c r="G569" s="89" t="str">
        <f ca="1">IFERROR(__xludf.DUMMYFUNCTION("""COMPUTED_VALUE"""),"Porcentaje de NNA a los que se les dio seguimientos en las medidas de protección dictadas, en 2023")</f>
        <v>Porcentaje de NNA a los que se les dio seguimientos en las medidas de protección dictadas, en 2023</v>
      </c>
      <c r="H569" s="89" t="str">
        <f ca="1">IFERROR(__xludf.DUMMYFUNCTION("""COMPUTED_VALUE"""),"AMH Diciembre")</f>
        <v>AMH Diciembre</v>
      </c>
      <c r="I569" s="89" t="str">
        <f ca="1">IFERROR(__xludf.DUMMYFUNCTION("""COMPUTED_VALUE"""),"Diciembre")</f>
        <v>Diciembre</v>
      </c>
      <c r="J569" s="89" t="str">
        <f ca="1">IFERROR(__xludf.DUMMYFUNCTION("""COMPUTED_VALUE"""),"AMH")</f>
        <v>AMH</v>
      </c>
      <c r="K569" s="92"/>
      <c r="L569" s="89" t="str">
        <f ca="1">IFERROR(__xludf.DUMMYFUNCTION("""COMPUTED_VALUE"""),"TRIMESTRE 4")</f>
        <v>TRIMESTRE 4</v>
      </c>
      <c r="M569" s="89" t="str">
        <f ca="1">IFERROR(__xludf.DUMMYFUNCTION("""COMPUTED_VALUE"""),"ADULTO MAYOR HOMBRE")</f>
        <v>ADULTO MAYOR HOMBRE</v>
      </c>
    </row>
    <row r="570" spans="1:13">
      <c r="A570" s="89" t="str">
        <f ca="1">IFERROR(__xludf.DUMMYFUNCTION("""COMPUTED_VALUE"""),"4.1.3.4")</f>
        <v>4.1.3.4</v>
      </c>
      <c r="B570" s="89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570" s="89" t="str">
        <f ca="1">IFERROR(__xludf.DUMMYFUNCTION("""COMPUTED_VALUE"""),"4. Programas")</f>
        <v>4. Programas</v>
      </c>
      <c r="D570" s="89" t="str">
        <f ca="1">IFERROR(__xludf.DUMMYFUNCTION("""COMPUTED_VALUE"""),"Guadalajara: Capital de las niñas y los niños")</f>
        <v>Guadalajara: Capital de las niñas y los niños</v>
      </c>
      <c r="E570" s="89" t="str">
        <f ca="1">IFERROR(__xludf.DUMMYFUNCTION("""COMPUTED_VALUE"""),"Custodia, tutela, adopciones y acogimiento familiar")</f>
        <v>Custodia, tutela, adopciones y acogimiento familiar</v>
      </c>
      <c r="F570" s="89" t="str">
        <f ca="1">IFERROR(__xludf.DUMMYFUNCTION("""COMPUTED_VALUE"""),"A4C3. NNA integrados en familias.")</f>
        <v>A4C3. NNA integrados en familias.</v>
      </c>
      <c r="G570" s="89" t="str">
        <f ca="1">IFERROR(__xludf.DUMMYFUNCTION("""COMPUTED_VALUE"""),"Porcentaje de NNA integrados en familias, en 2023")</f>
        <v>Porcentaje de NNA integrados en familias, en 2023</v>
      </c>
      <c r="H570" s="89" t="str">
        <f ca="1">IFERROR(__xludf.DUMMYFUNCTION("""COMPUTED_VALUE"""),"NAS Diciembre")</f>
        <v>NAS Diciembre</v>
      </c>
      <c r="I570" s="89" t="str">
        <f ca="1">IFERROR(__xludf.DUMMYFUNCTION("""COMPUTED_VALUE"""),"Diciembre")</f>
        <v>Diciembre</v>
      </c>
      <c r="J570" s="89" t="str">
        <f ca="1">IFERROR(__xludf.DUMMYFUNCTION("""COMPUTED_VALUE"""),"NAS")</f>
        <v>NAS</v>
      </c>
      <c r="K570" s="92">
        <f ca="1">IFERROR(__xludf.DUMMYFUNCTION("""COMPUTED_VALUE"""),5)</f>
        <v>5</v>
      </c>
      <c r="L570" s="89" t="str">
        <f ca="1">IFERROR(__xludf.DUMMYFUNCTION("""COMPUTED_VALUE"""),"TRIMESTRE 4")</f>
        <v>TRIMESTRE 4</v>
      </c>
      <c r="M570" s="89" t="str">
        <f ca="1">IFERROR(__xludf.DUMMYFUNCTION("""COMPUTED_VALUE"""),"NIÑAS")</f>
        <v>NIÑAS</v>
      </c>
    </row>
    <row r="571" spans="1:13">
      <c r="A571" s="89" t="str">
        <f ca="1">IFERROR(__xludf.DUMMYFUNCTION("""COMPUTED_VALUE"""),"4.1.3.4")</f>
        <v>4.1.3.4</v>
      </c>
      <c r="B571" s="89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571" s="89" t="str">
        <f ca="1">IFERROR(__xludf.DUMMYFUNCTION("""COMPUTED_VALUE"""),"4. Programas")</f>
        <v>4. Programas</v>
      </c>
      <c r="D571" s="89" t="str">
        <f ca="1">IFERROR(__xludf.DUMMYFUNCTION("""COMPUTED_VALUE"""),"Guadalajara: Capital de las niñas y los niños")</f>
        <v>Guadalajara: Capital de las niñas y los niños</v>
      </c>
      <c r="E571" s="89" t="str">
        <f ca="1">IFERROR(__xludf.DUMMYFUNCTION("""COMPUTED_VALUE"""),"Custodia, tutela, adopciones y acogimiento familiar")</f>
        <v>Custodia, tutela, adopciones y acogimiento familiar</v>
      </c>
      <c r="F571" s="89" t="str">
        <f ca="1">IFERROR(__xludf.DUMMYFUNCTION("""COMPUTED_VALUE"""),"A4C3. NNA integrados en familias.")</f>
        <v>A4C3. NNA integrados en familias.</v>
      </c>
      <c r="G571" s="89" t="str">
        <f ca="1">IFERROR(__xludf.DUMMYFUNCTION("""COMPUTED_VALUE"""),"Porcentaje de NNA integrados en familias, en 2023")</f>
        <v>Porcentaje de NNA integrados en familias, en 2023</v>
      </c>
      <c r="H571" s="89" t="str">
        <f ca="1">IFERROR(__xludf.DUMMYFUNCTION("""COMPUTED_VALUE"""),"NOS Diciembre")</f>
        <v>NOS Diciembre</v>
      </c>
      <c r="I571" s="89" t="str">
        <f ca="1">IFERROR(__xludf.DUMMYFUNCTION("""COMPUTED_VALUE"""),"Diciembre")</f>
        <v>Diciembre</v>
      </c>
      <c r="J571" s="89" t="str">
        <f ca="1">IFERROR(__xludf.DUMMYFUNCTION("""COMPUTED_VALUE"""),"NOS")</f>
        <v>NOS</v>
      </c>
      <c r="K571" s="92">
        <f ca="1">IFERROR(__xludf.DUMMYFUNCTION("""COMPUTED_VALUE"""),2)</f>
        <v>2</v>
      </c>
      <c r="L571" s="89" t="str">
        <f ca="1">IFERROR(__xludf.DUMMYFUNCTION("""COMPUTED_VALUE"""),"TRIMESTRE 4")</f>
        <v>TRIMESTRE 4</v>
      </c>
      <c r="M571" s="89" t="str">
        <f ca="1">IFERROR(__xludf.DUMMYFUNCTION("""COMPUTED_VALUE"""),"NIÑOS")</f>
        <v>NIÑOS</v>
      </c>
    </row>
    <row r="572" spans="1:13">
      <c r="A572" s="89" t="str">
        <f ca="1">IFERROR(__xludf.DUMMYFUNCTION("""COMPUTED_VALUE"""),"4.1.3.4")</f>
        <v>4.1.3.4</v>
      </c>
      <c r="B572" s="89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572" s="89" t="str">
        <f ca="1">IFERROR(__xludf.DUMMYFUNCTION("""COMPUTED_VALUE"""),"4. Programas")</f>
        <v>4. Programas</v>
      </c>
      <c r="D572" s="89" t="str">
        <f ca="1">IFERROR(__xludf.DUMMYFUNCTION("""COMPUTED_VALUE"""),"Guadalajara: Capital de las niñas y los niños")</f>
        <v>Guadalajara: Capital de las niñas y los niños</v>
      </c>
      <c r="E572" s="89" t="str">
        <f ca="1">IFERROR(__xludf.DUMMYFUNCTION("""COMPUTED_VALUE"""),"Custodia, tutela, adopciones y acogimiento familiar")</f>
        <v>Custodia, tutela, adopciones y acogimiento familiar</v>
      </c>
      <c r="F572" s="89" t="str">
        <f ca="1">IFERROR(__xludf.DUMMYFUNCTION("""COMPUTED_VALUE"""),"A4C3. NNA integrados en familias.")</f>
        <v>A4C3. NNA integrados en familias.</v>
      </c>
      <c r="G572" s="89" t="str">
        <f ca="1">IFERROR(__xludf.DUMMYFUNCTION("""COMPUTED_VALUE"""),"Porcentaje de NNA integrados en familias, en 2023")</f>
        <v>Porcentaje de NNA integrados en familias, en 2023</v>
      </c>
      <c r="H572" s="89" t="str">
        <f ca="1">IFERROR(__xludf.DUMMYFUNCTION("""COMPUTED_VALUE"""),"AM DICIEMBRE")</f>
        <v>AM DICIEMBRE</v>
      </c>
      <c r="I572" s="89" t="str">
        <f ca="1">IFERROR(__xludf.DUMMYFUNCTION("""COMPUTED_VALUE"""),"Diciembre")</f>
        <v>Diciembre</v>
      </c>
      <c r="J572" s="89" t="str">
        <f ca="1">IFERROR(__xludf.DUMMYFUNCTION("""COMPUTED_VALUE"""),"AM")</f>
        <v>AM</v>
      </c>
      <c r="K572" s="92">
        <f ca="1">IFERROR(__xludf.DUMMYFUNCTION("""COMPUTED_VALUE"""),3)</f>
        <v>3</v>
      </c>
      <c r="L572" s="89" t="str">
        <f ca="1">IFERROR(__xludf.DUMMYFUNCTION("""COMPUTED_VALUE"""),"TRIMESTRE 4")</f>
        <v>TRIMESTRE 4</v>
      </c>
      <c r="M572" s="89" t="str">
        <f ca="1">IFERROR(__xludf.DUMMYFUNCTION("""COMPUTED_VALUE"""),"ADOLESCENTES MUJERES")</f>
        <v>ADOLESCENTES MUJERES</v>
      </c>
    </row>
    <row r="573" spans="1:13">
      <c r="A573" s="89" t="str">
        <f ca="1">IFERROR(__xludf.DUMMYFUNCTION("""COMPUTED_VALUE"""),"4.1.3.4")</f>
        <v>4.1.3.4</v>
      </c>
      <c r="B573" s="89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573" s="89" t="str">
        <f ca="1">IFERROR(__xludf.DUMMYFUNCTION("""COMPUTED_VALUE"""),"4. Programas")</f>
        <v>4. Programas</v>
      </c>
      <c r="D573" s="89" t="str">
        <f ca="1">IFERROR(__xludf.DUMMYFUNCTION("""COMPUTED_VALUE"""),"Guadalajara: Capital de las niñas y los niños")</f>
        <v>Guadalajara: Capital de las niñas y los niños</v>
      </c>
      <c r="E573" s="89" t="str">
        <f ca="1">IFERROR(__xludf.DUMMYFUNCTION("""COMPUTED_VALUE"""),"Custodia, tutela, adopciones y acogimiento familiar")</f>
        <v>Custodia, tutela, adopciones y acogimiento familiar</v>
      </c>
      <c r="F573" s="89" t="str">
        <f ca="1">IFERROR(__xludf.DUMMYFUNCTION("""COMPUTED_VALUE"""),"A4C3. NNA integrados en familias.")</f>
        <v>A4C3. NNA integrados en familias.</v>
      </c>
      <c r="G573" s="89" t="str">
        <f ca="1">IFERROR(__xludf.DUMMYFUNCTION("""COMPUTED_VALUE"""),"Porcentaje de NNA integrados en familias, en 2023")</f>
        <v>Porcentaje de NNA integrados en familias, en 2023</v>
      </c>
      <c r="H573" s="89" t="str">
        <f ca="1">IFERROR(__xludf.DUMMYFUNCTION("""COMPUTED_VALUE"""),"AH DICIEMBRE")</f>
        <v>AH DICIEMBRE</v>
      </c>
      <c r="I573" s="89" t="str">
        <f ca="1">IFERROR(__xludf.DUMMYFUNCTION("""COMPUTED_VALUE"""),"Diciembre")</f>
        <v>Diciembre</v>
      </c>
      <c r="J573" s="89" t="str">
        <f ca="1">IFERROR(__xludf.DUMMYFUNCTION("""COMPUTED_VALUE"""),"AH")</f>
        <v>AH</v>
      </c>
      <c r="K573" s="92"/>
      <c r="L573" s="89" t="str">
        <f ca="1">IFERROR(__xludf.DUMMYFUNCTION("""COMPUTED_VALUE"""),"TRIMESTRE 4")</f>
        <v>TRIMESTRE 4</v>
      </c>
      <c r="M573" s="89" t="str">
        <f ca="1">IFERROR(__xludf.DUMMYFUNCTION("""COMPUTED_VALUE"""),"ADOLESCENTES HOMBRES")</f>
        <v>ADOLESCENTES HOMBRES</v>
      </c>
    </row>
    <row r="574" spans="1:13">
      <c r="A574" s="89" t="str">
        <f ca="1">IFERROR(__xludf.DUMMYFUNCTION("""COMPUTED_VALUE"""),"4.1.3.4")</f>
        <v>4.1.3.4</v>
      </c>
      <c r="B574" s="89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574" s="89" t="str">
        <f ca="1">IFERROR(__xludf.DUMMYFUNCTION("""COMPUTED_VALUE"""),"4. Programas")</f>
        <v>4. Programas</v>
      </c>
      <c r="D574" s="89" t="str">
        <f ca="1">IFERROR(__xludf.DUMMYFUNCTION("""COMPUTED_VALUE"""),"Guadalajara: Capital de las niñas y los niños")</f>
        <v>Guadalajara: Capital de las niñas y los niños</v>
      </c>
      <c r="E574" s="89" t="str">
        <f ca="1">IFERROR(__xludf.DUMMYFUNCTION("""COMPUTED_VALUE"""),"Custodia, tutela, adopciones y acogimiento familiar")</f>
        <v>Custodia, tutela, adopciones y acogimiento familiar</v>
      </c>
      <c r="F574" s="89" t="str">
        <f ca="1">IFERROR(__xludf.DUMMYFUNCTION("""COMPUTED_VALUE"""),"A4C3. NNA integrados en familias.")</f>
        <v>A4C3. NNA integrados en familias.</v>
      </c>
      <c r="G574" s="89" t="str">
        <f ca="1">IFERROR(__xludf.DUMMYFUNCTION("""COMPUTED_VALUE"""),"Porcentaje de NNA integrados en familias, en 2023")</f>
        <v>Porcentaje de NNA integrados en familias, en 2023</v>
      </c>
      <c r="H574" s="89" t="str">
        <f ca="1">IFERROR(__xludf.DUMMYFUNCTION("""COMPUTED_VALUE"""),"MUJ Diciembre")</f>
        <v>MUJ Diciembre</v>
      </c>
      <c r="I574" s="89" t="str">
        <f ca="1">IFERROR(__xludf.DUMMYFUNCTION("""COMPUTED_VALUE"""),"Diciembre")</f>
        <v>Diciembre</v>
      </c>
      <c r="J574" s="89" t="str">
        <f ca="1">IFERROR(__xludf.DUMMYFUNCTION("""COMPUTED_VALUE"""),"MUJ")</f>
        <v>MUJ</v>
      </c>
      <c r="K574" s="92"/>
      <c r="L574" s="89" t="str">
        <f ca="1">IFERROR(__xludf.DUMMYFUNCTION("""COMPUTED_VALUE"""),"TRIMESTRE 4")</f>
        <v>TRIMESTRE 4</v>
      </c>
      <c r="M574" s="89" t="str">
        <f ca="1">IFERROR(__xludf.DUMMYFUNCTION("""COMPUTED_VALUE"""),"MUJERES ADULTAS")</f>
        <v>MUJERES ADULTAS</v>
      </c>
    </row>
    <row r="575" spans="1:13">
      <c r="A575" s="89" t="str">
        <f ca="1">IFERROR(__xludf.DUMMYFUNCTION("""COMPUTED_VALUE"""),"4.1.3.4")</f>
        <v>4.1.3.4</v>
      </c>
      <c r="B575" s="89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575" s="89" t="str">
        <f ca="1">IFERROR(__xludf.DUMMYFUNCTION("""COMPUTED_VALUE"""),"4. Programas")</f>
        <v>4. Programas</v>
      </c>
      <c r="D575" s="89" t="str">
        <f ca="1">IFERROR(__xludf.DUMMYFUNCTION("""COMPUTED_VALUE"""),"Guadalajara: Capital de las niñas y los niños")</f>
        <v>Guadalajara: Capital de las niñas y los niños</v>
      </c>
      <c r="E575" s="89" t="str">
        <f ca="1">IFERROR(__xludf.DUMMYFUNCTION("""COMPUTED_VALUE"""),"Custodia, tutela, adopciones y acogimiento familiar")</f>
        <v>Custodia, tutela, adopciones y acogimiento familiar</v>
      </c>
      <c r="F575" s="89" t="str">
        <f ca="1">IFERROR(__xludf.DUMMYFUNCTION("""COMPUTED_VALUE"""),"A4C3. NNA integrados en familias.")</f>
        <v>A4C3. NNA integrados en familias.</v>
      </c>
      <c r="G575" s="89" t="str">
        <f ca="1">IFERROR(__xludf.DUMMYFUNCTION("""COMPUTED_VALUE"""),"Porcentaje de NNA integrados en familias, en 2023")</f>
        <v>Porcentaje de NNA integrados en familias, en 2023</v>
      </c>
      <c r="H575" s="89" t="str">
        <f ca="1">IFERROR(__xludf.DUMMYFUNCTION("""COMPUTED_VALUE"""),"HOM Diciembre")</f>
        <v>HOM Diciembre</v>
      </c>
      <c r="I575" s="89" t="str">
        <f ca="1">IFERROR(__xludf.DUMMYFUNCTION("""COMPUTED_VALUE"""),"Diciembre")</f>
        <v>Diciembre</v>
      </c>
      <c r="J575" s="89" t="str">
        <f ca="1">IFERROR(__xludf.DUMMYFUNCTION("""COMPUTED_VALUE"""),"HOM")</f>
        <v>HOM</v>
      </c>
      <c r="K575" s="92"/>
      <c r="L575" s="89" t="str">
        <f ca="1">IFERROR(__xludf.DUMMYFUNCTION("""COMPUTED_VALUE"""),"TRIMESTRE 4")</f>
        <v>TRIMESTRE 4</v>
      </c>
      <c r="M575" s="89" t="str">
        <f ca="1">IFERROR(__xludf.DUMMYFUNCTION("""COMPUTED_VALUE"""),"HOMBRES ADULTOS")</f>
        <v>HOMBRES ADULTOS</v>
      </c>
    </row>
    <row r="576" spans="1:13">
      <c r="A576" s="89" t="str">
        <f ca="1">IFERROR(__xludf.DUMMYFUNCTION("""COMPUTED_VALUE"""),"4.1.3.4")</f>
        <v>4.1.3.4</v>
      </c>
      <c r="B576" s="89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576" s="89" t="str">
        <f ca="1">IFERROR(__xludf.DUMMYFUNCTION("""COMPUTED_VALUE"""),"4. Programas")</f>
        <v>4. Programas</v>
      </c>
      <c r="D576" s="89" t="str">
        <f ca="1">IFERROR(__xludf.DUMMYFUNCTION("""COMPUTED_VALUE"""),"Guadalajara: Capital de las niñas y los niños")</f>
        <v>Guadalajara: Capital de las niñas y los niños</v>
      </c>
      <c r="E576" s="89" t="str">
        <f ca="1">IFERROR(__xludf.DUMMYFUNCTION("""COMPUTED_VALUE"""),"Custodia, tutela, adopciones y acogimiento familiar")</f>
        <v>Custodia, tutela, adopciones y acogimiento familiar</v>
      </c>
      <c r="F576" s="89" t="str">
        <f ca="1">IFERROR(__xludf.DUMMYFUNCTION("""COMPUTED_VALUE"""),"A4C3. NNA integrados en familias.")</f>
        <v>A4C3. NNA integrados en familias.</v>
      </c>
      <c r="G576" s="89" t="str">
        <f ca="1">IFERROR(__xludf.DUMMYFUNCTION("""COMPUTED_VALUE"""),"Porcentaje de NNA integrados en familias, en 2023")</f>
        <v>Porcentaje de NNA integrados en familias, en 2023</v>
      </c>
      <c r="H576" s="89" t="str">
        <f ca="1">IFERROR(__xludf.DUMMYFUNCTION("""COMPUTED_VALUE"""),"AMM Diciembre")</f>
        <v>AMM Diciembre</v>
      </c>
      <c r="I576" s="89" t="str">
        <f ca="1">IFERROR(__xludf.DUMMYFUNCTION("""COMPUTED_VALUE"""),"Diciembre")</f>
        <v>Diciembre</v>
      </c>
      <c r="J576" s="89" t="str">
        <f ca="1">IFERROR(__xludf.DUMMYFUNCTION("""COMPUTED_VALUE"""),"AMM")</f>
        <v>AMM</v>
      </c>
      <c r="K576" s="92"/>
      <c r="L576" s="89" t="str">
        <f ca="1">IFERROR(__xludf.DUMMYFUNCTION("""COMPUTED_VALUE"""),"TRIMESTRE 4")</f>
        <v>TRIMESTRE 4</v>
      </c>
      <c r="M576" s="89" t="str">
        <f ca="1">IFERROR(__xludf.DUMMYFUNCTION("""COMPUTED_VALUE"""),"ADULTA MAYOR MUJER")</f>
        <v>ADULTA MAYOR MUJER</v>
      </c>
    </row>
    <row r="577" spans="1:13">
      <c r="A577" s="89" t="str">
        <f ca="1">IFERROR(__xludf.DUMMYFUNCTION("""COMPUTED_VALUE"""),"4.1.3.4")</f>
        <v>4.1.3.4</v>
      </c>
      <c r="B577" s="89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577" s="89" t="str">
        <f ca="1">IFERROR(__xludf.DUMMYFUNCTION("""COMPUTED_VALUE"""),"4. Programas")</f>
        <v>4. Programas</v>
      </c>
      <c r="D577" s="89" t="str">
        <f ca="1">IFERROR(__xludf.DUMMYFUNCTION("""COMPUTED_VALUE"""),"Guadalajara: Capital de las niñas y los niños")</f>
        <v>Guadalajara: Capital de las niñas y los niños</v>
      </c>
      <c r="E577" s="89" t="str">
        <f ca="1">IFERROR(__xludf.DUMMYFUNCTION("""COMPUTED_VALUE"""),"Custodia, tutela, adopciones y acogimiento familiar")</f>
        <v>Custodia, tutela, adopciones y acogimiento familiar</v>
      </c>
      <c r="F577" s="89" t="str">
        <f ca="1">IFERROR(__xludf.DUMMYFUNCTION("""COMPUTED_VALUE"""),"A4C3. NNA integrados en familias.")</f>
        <v>A4C3. NNA integrados en familias.</v>
      </c>
      <c r="G577" s="89" t="str">
        <f ca="1">IFERROR(__xludf.DUMMYFUNCTION("""COMPUTED_VALUE"""),"Porcentaje de NNA integrados en familias, en 2023")</f>
        <v>Porcentaje de NNA integrados en familias, en 2023</v>
      </c>
      <c r="H577" s="89" t="str">
        <f ca="1">IFERROR(__xludf.DUMMYFUNCTION("""COMPUTED_VALUE"""),"AMH Diciembre")</f>
        <v>AMH Diciembre</v>
      </c>
      <c r="I577" s="89" t="str">
        <f ca="1">IFERROR(__xludf.DUMMYFUNCTION("""COMPUTED_VALUE"""),"Diciembre")</f>
        <v>Diciembre</v>
      </c>
      <c r="J577" s="89" t="str">
        <f ca="1">IFERROR(__xludf.DUMMYFUNCTION("""COMPUTED_VALUE"""),"AMH")</f>
        <v>AMH</v>
      </c>
      <c r="K577" s="92"/>
      <c r="L577" s="89" t="str">
        <f ca="1">IFERROR(__xludf.DUMMYFUNCTION("""COMPUTED_VALUE"""),"TRIMESTRE 4")</f>
        <v>TRIMESTRE 4</v>
      </c>
      <c r="M577" s="89" t="str">
        <f ca="1">IFERROR(__xludf.DUMMYFUNCTION("""COMPUTED_VALUE"""),"ADULTO MAYOR HOMBRE")</f>
        <v>ADULTO MAYOR HOMBRE</v>
      </c>
    </row>
    <row r="578" spans="1:13">
      <c r="A578" s="89" t="str">
        <f ca="1">IFERROR(__xludf.DUMMYFUNCTION("""COMPUTED_VALUE"""),"4.1.1.0")</f>
        <v>4.1.1.0</v>
      </c>
      <c r="B578" s="89" t="str">
        <f ca="1">IFERROR(__xludf.DUMMYFUNCTION("""COMPUTED_VALUE"""),"Centro de Convivencia Familiar/Jefatura del Departamento de Centro de Convivencia /Dirección Jurídica/Coord.2. Dirección Jurídica")</f>
        <v>Centro de Convivencia Familiar/Jefatura del Departamento de Centro de Convivencia /Dirección Jurídica/Coord.2. Dirección Jurídica</v>
      </c>
      <c r="C578" s="89" t="str">
        <f ca="1">IFERROR(__xludf.DUMMYFUNCTION("""COMPUTED_VALUE"""),"2. Dirección Jurídica")</f>
        <v>2. Dirección Jurídica</v>
      </c>
      <c r="D578" s="89" t="str">
        <f ca="1">IFERROR(__xludf.DUMMYFUNCTION("""COMPUTED_VALUE"""),"Guadalajara: Capital de las niñas y los niños")</f>
        <v>Guadalajara: Capital de las niñas y los niños</v>
      </c>
      <c r="E578" s="89" t="str">
        <f ca="1">IFERROR(__xludf.DUMMYFUNCTION("""COMPUTED_VALUE"""),"Centro de Convivencia Familiar")</f>
        <v>Centro de Convivencia Familiar</v>
      </c>
      <c r="F578" s="89" t="str">
        <f ca="1">IFERROR(__xludf.DUMMYFUNCTION("""COMPUTED_VALUE"""),"C1. Servicios otorgados para la restituciòn del derecho a la sana convivencia entre padres, madres e hijas o hijos")</f>
        <v>C1. Servicios otorgados para la restituciòn del derecho a la sana convivencia entre padres, madres e hijas o hijos</v>
      </c>
      <c r="G578" s="89" t="str">
        <f ca="1">IFERROR(__xludf.DUMMYFUNCTION("""COMPUTED_VALUE"""),"Porcentaje de servicios a niñas, niños y adolescentes, y a sus progenitores que logran la convivencia en 2023")</f>
        <v>Porcentaje de servicios a niñas, niños y adolescentes, y a sus progenitores que logran la convivencia en 2023</v>
      </c>
      <c r="H578" s="89" t="str">
        <f ca="1">IFERROR(__xludf.DUMMYFUNCTION("""COMPUTED_VALUE"""),"Servicio")</f>
        <v>Servicio</v>
      </c>
      <c r="I578" s="89" t="str">
        <f ca="1">IFERROR(__xludf.DUMMYFUNCTION("""COMPUTED_VALUE"""),"Enero")</f>
        <v>Enero</v>
      </c>
      <c r="J578" s="89" t="str">
        <f ca="1">IFERROR(__xludf.DUMMYFUNCTION("""COMPUTED_VALUE"""),"N/A")</f>
        <v>N/A</v>
      </c>
      <c r="K578" s="92">
        <f ca="1">IFERROR(__xludf.DUMMYFUNCTION("""COMPUTED_VALUE"""),800)</f>
        <v>800</v>
      </c>
      <c r="L578" s="89" t="str">
        <f ca="1">IFERROR(__xludf.DUMMYFUNCTION("""COMPUTED_VALUE"""),"TRIMESTRE 1")</f>
        <v>TRIMESTRE 1</v>
      </c>
      <c r="M578" s="89" t="str">
        <f ca="1">IFERROR(__xludf.DUMMYFUNCTION("""COMPUTED_VALUE"""),"SERVICIOS")</f>
        <v>SERVICIOS</v>
      </c>
    </row>
    <row r="579" spans="1:13">
      <c r="A579" s="89" t="str">
        <f ca="1">IFERROR(__xludf.DUMMYFUNCTION("""COMPUTED_VALUE"""),"4.1.1.1")</f>
        <v>4.1.1.1</v>
      </c>
      <c r="B579" s="89" t="str">
        <f ca="1">IFERROR(__xludf.DUMMYFUNCTION("""COMPUTED_VALUE"""),"Centro de Convivencia Familiar/Jefatura del Departamento de Centro de Convivencia /Dirección Jurídica/Coord.2. Dirección Jurídica")</f>
        <v>Centro de Convivencia Familiar/Jefatura del Departamento de Centro de Convivencia /Dirección Jurídica/Coord.2. Dirección Jurídica</v>
      </c>
      <c r="C579" s="89" t="str">
        <f ca="1">IFERROR(__xludf.DUMMYFUNCTION("""COMPUTED_VALUE"""),"2. Dirección Jurídica")</f>
        <v>2. Dirección Jurídica</v>
      </c>
      <c r="D579" s="89" t="str">
        <f ca="1">IFERROR(__xludf.DUMMYFUNCTION("""COMPUTED_VALUE"""),"Guadalajara: Capital de las niñas y los niños")</f>
        <v>Guadalajara: Capital de las niñas y los niños</v>
      </c>
      <c r="E579" s="89" t="str">
        <f ca="1">IFERROR(__xludf.DUMMYFUNCTION("""COMPUTED_VALUE"""),"Centro de Convivencia Familiar")</f>
        <v>Centro de Convivencia Familiar</v>
      </c>
      <c r="F579" s="89" t="str">
        <f ca="1">IFERROR(__xludf.DUMMYFUNCTION("""COMPUTED_VALUE"""),"A1C1. Convivencias supervisadas realizadas en CECOFAM en 2023")</f>
        <v>A1C1. Convivencias supervisadas realizadas en CECOFAM en 2023</v>
      </c>
      <c r="G579" s="89" t="str">
        <f ca="1">IFERROR(__xludf.DUMMYFUNCTION("""COMPUTED_VALUE"""),"Porcentaje de convivencias supervisadas realizadas de NNA y padres, madres o cuidadores en 2023")</f>
        <v>Porcentaje de convivencias supervisadas realizadas de NNA y padres, madres o cuidadores en 2023</v>
      </c>
      <c r="H579" s="89" t="str">
        <f ca="1">IFERROR(__xludf.DUMMYFUNCTION("""COMPUTED_VALUE"""),"Servicio")</f>
        <v>Servicio</v>
      </c>
      <c r="I579" s="89" t="str">
        <f ca="1">IFERROR(__xludf.DUMMYFUNCTION("""COMPUTED_VALUE"""),"Enero")</f>
        <v>Enero</v>
      </c>
      <c r="J579" s="89" t="str">
        <f ca="1">IFERROR(__xludf.DUMMYFUNCTION("""COMPUTED_VALUE"""),"N/A")</f>
        <v>N/A</v>
      </c>
      <c r="K579" s="92">
        <f ca="1">IFERROR(__xludf.DUMMYFUNCTION("""COMPUTED_VALUE"""),507)</f>
        <v>507</v>
      </c>
      <c r="L579" s="89" t="str">
        <f ca="1">IFERROR(__xludf.DUMMYFUNCTION("""COMPUTED_VALUE"""),"TRIMESTRE 1")</f>
        <v>TRIMESTRE 1</v>
      </c>
      <c r="M579" s="89" t="str">
        <f ca="1">IFERROR(__xludf.DUMMYFUNCTION("""COMPUTED_VALUE"""),"SERVICIOS")</f>
        <v>SERVICIOS</v>
      </c>
    </row>
    <row r="580" spans="1:13">
      <c r="A580" s="89" t="str">
        <f ca="1">IFERROR(__xludf.DUMMYFUNCTION("""COMPUTED_VALUE"""),"4.1.1.2")</f>
        <v>4.1.1.2</v>
      </c>
      <c r="B580" s="89" t="str">
        <f ca="1">IFERROR(__xludf.DUMMYFUNCTION("""COMPUTED_VALUE"""),"Centro de Convivencia Familiar/Jefatura del Departamento de Centro de Convivencia /Dirección Jurídica/Coord.2. Dirección Jurídica")</f>
        <v>Centro de Convivencia Familiar/Jefatura del Departamento de Centro de Convivencia /Dirección Jurídica/Coord.2. Dirección Jurídica</v>
      </c>
      <c r="C580" s="89" t="str">
        <f ca="1">IFERROR(__xludf.DUMMYFUNCTION("""COMPUTED_VALUE"""),"2. Dirección Jurídica")</f>
        <v>2. Dirección Jurídica</v>
      </c>
      <c r="D580" s="89" t="str">
        <f ca="1">IFERROR(__xludf.DUMMYFUNCTION("""COMPUTED_VALUE"""),"Guadalajara: Capital de las niñas y los niños")</f>
        <v>Guadalajara: Capital de las niñas y los niños</v>
      </c>
      <c r="E580" s="89" t="str">
        <f ca="1">IFERROR(__xludf.DUMMYFUNCTION("""COMPUTED_VALUE"""),"Centro de Convivencia Familiar")</f>
        <v>Centro de Convivencia Familiar</v>
      </c>
      <c r="F580" s="89" t="str">
        <f ca="1">IFERROR(__xludf.DUMMYFUNCTION("""COMPUTED_VALUE"""),"A2C1. Servicio de entrega recepción de NNA realizado en 2023")</f>
        <v>A2C1. Servicio de entrega recepción de NNA realizado en 2023</v>
      </c>
      <c r="G580" s="89" t="str">
        <f ca="1">IFERROR(__xludf.DUMMYFUNCTION("""COMPUTED_VALUE"""),"Porcentaje de servicios de entrega  y recepción de NNA en CECOFAM en 2023")</f>
        <v>Porcentaje de servicios de entrega  y recepción de NNA en CECOFAM en 2023</v>
      </c>
      <c r="H580" s="89" t="str">
        <f ca="1">IFERROR(__xludf.DUMMYFUNCTION("""COMPUTED_VALUE"""),"Servicio")</f>
        <v>Servicio</v>
      </c>
      <c r="I580" s="89" t="str">
        <f ca="1">IFERROR(__xludf.DUMMYFUNCTION("""COMPUTED_VALUE"""),"Enero")</f>
        <v>Enero</v>
      </c>
      <c r="J580" s="89" t="str">
        <f ca="1">IFERROR(__xludf.DUMMYFUNCTION("""COMPUTED_VALUE"""),"N/A")</f>
        <v>N/A</v>
      </c>
      <c r="K580" s="92">
        <f ca="1">IFERROR(__xludf.DUMMYFUNCTION("""COMPUTED_VALUE"""),230)</f>
        <v>230</v>
      </c>
      <c r="L580" s="89" t="str">
        <f ca="1">IFERROR(__xludf.DUMMYFUNCTION("""COMPUTED_VALUE"""),"TRIMESTRE 1")</f>
        <v>TRIMESTRE 1</v>
      </c>
      <c r="M580" s="89" t="str">
        <f ca="1">IFERROR(__xludf.DUMMYFUNCTION("""COMPUTED_VALUE"""),"SERVICIOS")</f>
        <v>SERVICIOS</v>
      </c>
    </row>
    <row r="581" spans="1:13">
      <c r="A581" s="89" t="str">
        <f ca="1">IFERROR(__xludf.DUMMYFUNCTION("""COMPUTED_VALUE"""),"4.1.1.0")</f>
        <v>4.1.1.0</v>
      </c>
      <c r="B581" s="89" t="str">
        <f ca="1">IFERROR(__xludf.DUMMYFUNCTION("""COMPUTED_VALUE"""),"Centro de Convivencia Familiar/Jefatura del Departamento de Centro de Convivencia /Dirección Jurídica/Coord.2. Dirección Jurídica")</f>
        <v>Centro de Convivencia Familiar/Jefatura del Departamento de Centro de Convivencia /Dirección Jurídica/Coord.2. Dirección Jurídica</v>
      </c>
      <c r="C581" s="89" t="str">
        <f ca="1">IFERROR(__xludf.DUMMYFUNCTION("""COMPUTED_VALUE"""),"2. Dirección Jurídica")</f>
        <v>2. Dirección Jurídica</v>
      </c>
      <c r="D581" s="89" t="str">
        <f ca="1">IFERROR(__xludf.DUMMYFUNCTION("""COMPUTED_VALUE"""),"Guadalajara: Capital de las niñas y los niños")</f>
        <v>Guadalajara: Capital de las niñas y los niños</v>
      </c>
      <c r="E581" s="89" t="str">
        <f ca="1">IFERROR(__xludf.DUMMYFUNCTION("""COMPUTED_VALUE"""),"Centro de Convivencia Familiar")</f>
        <v>Centro de Convivencia Familiar</v>
      </c>
      <c r="F581" s="89" t="str">
        <f ca="1">IFERROR(__xludf.DUMMYFUNCTION("""COMPUTED_VALUE"""),"C1. Servicios otorgados para la restituciòn del derecho a la sana convivencia entre padres, madres e hijas o hijos")</f>
        <v>C1. Servicios otorgados para la restituciòn del derecho a la sana convivencia entre padres, madres e hijas o hijos</v>
      </c>
      <c r="G581" s="89" t="str">
        <f ca="1">IFERROR(__xludf.DUMMYFUNCTION("""COMPUTED_VALUE"""),"Porcentaje de servicios a niñas, niños y adolescentes, y a sus progenitores que logran la convivencia en 2023")</f>
        <v>Porcentaje de servicios a niñas, niños y adolescentes, y a sus progenitores que logran la convivencia en 2023</v>
      </c>
      <c r="H581" s="89" t="str">
        <f ca="1">IFERROR(__xludf.DUMMYFUNCTION("""COMPUTED_VALUE"""),"Servicio")</f>
        <v>Servicio</v>
      </c>
      <c r="I581" s="89" t="str">
        <f ca="1">IFERROR(__xludf.DUMMYFUNCTION("""COMPUTED_VALUE"""),"Febrero")</f>
        <v>Febrero</v>
      </c>
      <c r="J581" s="89" t="str">
        <f ca="1">IFERROR(__xludf.DUMMYFUNCTION("""COMPUTED_VALUE"""),"N/A")</f>
        <v>N/A</v>
      </c>
      <c r="K581" s="92">
        <f ca="1">IFERROR(__xludf.DUMMYFUNCTION("""COMPUTED_VALUE"""),803)</f>
        <v>803</v>
      </c>
      <c r="L581" s="89" t="str">
        <f ca="1">IFERROR(__xludf.DUMMYFUNCTION("""COMPUTED_VALUE"""),"TRIMESTRE 1")</f>
        <v>TRIMESTRE 1</v>
      </c>
      <c r="M581" s="89" t="str">
        <f ca="1">IFERROR(__xludf.DUMMYFUNCTION("""COMPUTED_VALUE"""),"SERVICIOS")</f>
        <v>SERVICIOS</v>
      </c>
    </row>
    <row r="582" spans="1:13">
      <c r="A582" s="89" t="str">
        <f ca="1">IFERROR(__xludf.DUMMYFUNCTION("""COMPUTED_VALUE"""),"4.1.1.1")</f>
        <v>4.1.1.1</v>
      </c>
      <c r="B582" s="89" t="str">
        <f ca="1">IFERROR(__xludf.DUMMYFUNCTION("""COMPUTED_VALUE"""),"Centro de Convivencia Familiar/Jefatura del Departamento de Centro de Convivencia /Dirección Jurídica/Coord.2. Dirección Jurídica")</f>
        <v>Centro de Convivencia Familiar/Jefatura del Departamento de Centro de Convivencia /Dirección Jurídica/Coord.2. Dirección Jurídica</v>
      </c>
      <c r="C582" s="89" t="str">
        <f ca="1">IFERROR(__xludf.DUMMYFUNCTION("""COMPUTED_VALUE"""),"2. Dirección Jurídica")</f>
        <v>2. Dirección Jurídica</v>
      </c>
      <c r="D582" s="89" t="str">
        <f ca="1">IFERROR(__xludf.DUMMYFUNCTION("""COMPUTED_VALUE"""),"Guadalajara: Capital de las niñas y los niños")</f>
        <v>Guadalajara: Capital de las niñas y los niños</v>
      </c>
      <c r="E582" s="89" t="str">
        <f ca="1">IFERROR(__xludf.DUMMYFUNCTION("""COMPUTED_VALUE"""),"Centro de Convivencia Familiar")</f>
        <v>Centro de Convivencia Familiar</v>
      </c>
      <c r="F582" s="89" t="str">
        <f ca="1">IFERROR(__xludf.DUMMYFUNCTION("""COMPUTED_VALUE"""),"A1C1. Convivencias supervisadas realizadas en CECOFAM en 2023")</f>
        <v>A1C1. Convivencias supervisadas realizadas en CECOFAM en 2023</v>
      </c>
      <c r="G582" s="89" t="str">
        <f ca="1">IFERROR(__xludf.DUMMYFUNCTION("""COMPUTED_VALUE"""),"Porcentaje de convivencias supervisadas realizadas de NNA y padres, madres o cuidadores en 2023")</f>
        <v>Porcentaje de convivencias supervisadas realizadas de NNA y padres, madres o cuidadores en 2023</v>
      </c>
      <c r="H582" s="89" t="str">
        <f ca="1">IFERROR(__xludf.DUMMYFUNCTION("""COMPUTED_VALUE"""),"Servicio")</f>
        <v>Servicio</v>
      </c>
      <c r="I582" s="89" t="str">
        <f ca="1">IFERROR(__xludf.DUMMYFUNCTION("""COMPUTED_VALUE"""),"Febrero")</f>
        <v>Febrero</v>
      </c>
      <c r="J582" s="89" t="str">
        <f ca="1">IFERROR(__xludf.DUMMYFUNCTION("""COMPUTED_VALUE"""),"N/A")</f>
        <v>N/A</v>
      </c>
      <c r="K582" s="92">
        <f ca="1">IFERROR(__xludf.DUMMYFUNCTION("""COMPUTED_VALUE"""),513)</f>
        <v>513</v>
      </c>
      <c r="L582" s="89" t="str">
        <f ca="1">IFERROR(__xludf.DUMMYFUNCTION("""COMPUTED_VALUE"""),"TRIMESTRE 1")</f>
        <v>TRIMESTRE 1</v>
      </c>
      <c r="M582" s="89" t="str">
        <f ca="1">IFERROR(__xludf.DUMMYFUNCTION("""COMPUTED_VALUE"""),"SERVICIOS")</f>
        <v>SERVICIOS</v>
      </c>
    </row>
    <row r="583" spans="1:13">
      <c r="A583" s="89" t="str">
        <f ca="1">IFERROR(__xludf.DUMMYFUNCTION("""COMPUTED_VALUE"""),"4.1.1.2")</f>
        <v>4.1.1.2</v>
      </c>
      <c r="B583" s="89" t="str">
        <f ca="1">IFERROR(__xludf.DUMMYFUNCTION("""COMPUTED_VALUE"""),"Centro de Convivencia Familiar/Jefatura del Departamento de Centro de Convivencia /Dirección Jurídica/Coord.2. Dirección Jurídica")</f>
        <v>Centro de Convivencia Familiar/Jefatura del Departamento de Centro de Convivencia /Dirección Jurídica/Coord.2. Dirección Jurídica</v>
      </c>
      <c r="C583" s="89" t="str">
        <f ca="1">IFERROR(__xludf.DUMMYFUNCTION("""COMPUTED_VALUE"""),"2. Dirección Jurídica")</f>
        <v>2. Dirección Jurídica</v>
      </c>
      <c r="D583" s="89" t="str">
        <f ca="1">IFERROR(__xludf.DUMMYFUNCTION("""COMPUTED_VALUE"""),"Guadalajara: Capital de las niñas y los niños")</f>
        <v>Guadalajara: Capital de las niñas y los niños</v>
      </c>
      <c r="E583" s="89" t="str">
        <f ca="1">IFERROR(__xludf.DUMMYFUNCTION("""COMPUTED_VALUE"""),"Centro de Convivencia Familiar")</f>
        <v>Centro de Convivencia Familiar</v>
      </c>
      <c r="F583" s="89" t="str">
        <f ca="1">IFERROR(__xludf.DUMMYFUNCTION("""COMPUTED_VALUE"""),"A2C1. Servicio de entrega recepción de NNA realizado en 2023")</f>
        <v>A2C1. Servicio de entrega recepción de NNA realizado en 2023</v>
      </c>
      <c r="G583" s="89" t="str">
        <f ca="1">IFERROR(__xludf.DUMMYFUNCTION("""COMPUTED_VALUE"""),"Porcentaje de servicios de entrega  y recepción de NNA en CECOFAM en 2023")</f>
        <v>Porcentaje de servicios de entrega  y recepción de NNA en CECOFAM en 2023</v>
      </c>
      <c r="H583" s="89" t="str">
        <f ca="1">IFERROR(__xludf.DUMMYFUNCTION("""COMPUTED_VALUE"""),"Servicio")</f>
        <v>Servicio</v>
      </c>
      <c r="I583" s="89" t="str">
        <f ca="1">IFERROR(__xludf.DUMMYFUNCTION("""COMPUTED_VALUE"""),"Febrero")</f>
        <v>Febrero</v>
      </c>
      <c r="J583" s="89" t="str">
        <f ca="1">IFERROR(__xludf.DUMMYFUNCTION("""COMPUTED_VALUE"""),"N/A")</f>
        <v>N/A</v>
      </c>
      <c r="K583" s="92">
        <f ca="1">IFERROR(__xludf.DUMMYFUNCTION("""COMPUTED_VALUE"""),240)</f>
        <v>240</v>
      </c>
      <c r="L583" s="89" t="str">
        <f ca="1">IFERROR(__xludf.DUMMYFUNCTION("""COMPUTED_VALUE"""),"TRIMESTRE 1")</f>
        <v>TRIMESTRE 1</v>
      </c>
      <c r="M583" s="89" t="str">
        <f ca="1">IFERROR(__xludf.DUMMYFUNCTION("""COMPUTED_VALUE"""),"SERVICIOS")</f>
        <v>SERVICIOS</v>
      </c>
    </row>
    <row r="584" spans="1:13">
      <c r="A584" s="89" t="str">
        <f ca="1">IFERROR(__xludf.DUMMYFUNCTION("""COMPUTED_VALUE"""),"4.1.1.0")</f>
        <v>4.1.1.0</v>
      </c>
      <c r="B584" s="89" t="str">
        <f ca="1">IFERROR(__xludf.DUMMYFUNCTION("""COMPUTED_VALUE"""),"Centro de Convivencia Familiar/Jefatura del Departamento de Centro de Convivencia /Dirección Jurídica/Coord.2. Dirección Jurídica")</f>
        <v>Centro de Convivencia Familiar/Jefatura del Departamento de Centro de Convivencia /Dirección Jurídica/Coord.2. Dirección Jurídica</v>
      </c>
      <c r="C584" s="89" t="str">
        <f ca="1">IFERROR(__xludf.DUMMYFUNCTION("""COMPUTED_VALUE"""),"2. Dirección Jurídica")</f>
        <v>2. Dirección Jurídica</v>
      </c>
      <c r="D584" s="89" t="str">
        <f ca="1">IFERROR(__xludf.DUMMYFUNCTION("""COMPUTED_VALUE"""),"Guadalajara: Capital de las niñas y los niños")</f>
        <v>Guadalajara: Capital de las niñas y los niños</v>
      </c>
      <c r="E584" s="89" t="str">
        <f ca="1">IFERROR(__xludf.DUMMYFUNCTION("""COMPUTED_VALUE"""),"Centro de Convivencia Familiar")</f>
        <v>Centro de Convivencia Familiar</v>
      </c>
      <c r="F584" s="89" t="str">
        <f ca="1">IFERROR(__xludf.DUMMYFUNCTION("""COMPUTED_VALUE"""),"C1. Servicios otorgados para la restituciòn del derecho a la sana convivencia entre padres, madres e hijas o hijos")</f>
        <v>C1. Servicios otorgados para la restituciòn del derecho a la sana convivencia entre padres, madres e hijas o hijos</v>
      </c>
      <c r="G584" s="89" t="str">
        <f ca="1">IFERROR(__xludf.DUMMYFUNCTION("""COMPUTED_VALUE"""),"Porcentaje de servicios a niñas, niños y adolescentes, y a sus progenitores que logran la convivencia en 2023")</f>
        <v>Porcentaje de servicios a niñas, niños y adolescentes, y a sus progenitores que logran la convivencia en 2023</v>
      </c>
      <c r="H584" s="89" t="str">
        <f ca="1">IFERROR(__xludf.DUMMYFUNCTION("""COMPUTED_VALUE"""),"Servicio")</f>
        <v>Servicio</v>
      </c>
      <c r="I584" s="89" t="str">
        <f ca="1">IFERROR(__xludf.DUMMYFUNCTION("""COMPUTED_VALUE"""),"Marzo")</f>
        <v>Marzo</v>
      </c>
      <c r="J584" s="89" t="str">
        <f ca="1">IFERROR(__xludf.DUMMYFUNCTION("""COMPUTED_VALUE"""),"N/A")</f>
        <v>N/A</v>
      </c>
      <c r="K584" s="92">
        <f ca="1">IFERROR(__xludf.DUMMYFUNCTION("""COMPUTED_VALUE"""),795)</f>
        <v>795</v>
      </c>
      <c r="L584" s="89" t="str">
        <f ca="1">IFERROR(__xludf.DUMMYFUNCTION("""COMPUTED_VALUE"""),"TRIMESTRE 1")</f>
        <v>TRIMESTRE 1</v>
      </c>
      <c r="M584" s="89" t="str">
        <f ca="1">IFERROR(__xludf.DUMMYFUNCTION("""COMPUTED_VALUE"""),"SERVICIOS")</f>
        <v>SERVICIOS</v>
      </c>
    </row>
    <row r="585" spans="1:13">
      <c r="A585" s="89" t="str">
        <f ca="1">IFERROR(__xludf.DUMMYFUNCTION("""COMPUTED_VALUE"""),"4.1.1.1")</f>
        <v>4.1.1.1</v>
      </c>
      <c r="B585" s="89" t="str">
        <f ca="1">IFERROR(__xludf.DUMMYFUNCTION("""COMPUTED_VALUE"""),"Centro de Convivencia Familiar/Jefatura del Departamento de Centro de Convivencia /Dirección Jurídica/Coord.2. Dirección Jurídica")</f>
        <v>Centro de Convivencia Familiar/Jefatura del Departamento de Centro de Convivencia /Dirección Jurídica/Coord.2. Dirección Jurídica</v>
      </c>
      <c r="C585" s="89" t="str">
        <f ca="1">IFERROR(__xludf.DUMMYFUNCTION("""COMPUTED_VALUE"""),"2. Dirección Jurídica")</f>
        <v>2. Dirección Jurídica</v>
      </c>
      <c r="D585" s="89" t="str">
        <f ca="1">IFERROR(__xludf.DUMMYFUNCTION("""COMPUTED_VALUE"""),"Guadalajara: Capital de las niñas y los niños")</f>
        <v>Guadalajara: Capital de las niñas y los niños</v>
      </c>
      <c r="E585" s="89" t="str">
        <f ca="1">IFERROR(__xludf.DUMMYFUNCTION("""COMPUTED_VALUE"""),"Centro de Convivencia Familiar")</f>
        <v>Centro de Convivencia Familiar</v>
      </c>
      <c r="F585" s="89" t="str">
        <f ca="1">IFERROR(__xludf.DUMMYFUNCTION("""COMPUTED_VALUE"""),"A1C1. Convivencias supervisadas realizadas en CECOFAM en 2023")</f>
        <v>A1C1. Convivencias supervisadas realizadas en CECOFAM en 2023</v>
      </c>
      <c r="G585" s="89" t="str">
        <f ca="1">IFERROR(__xludf.DUMMYFUNCTION("""COMPUTED_VALUE"""),"Porcentaje de convivencias supervisadas realizadas de NNA y padres, madres o cuidadores en 2023")</f>
        <v>Porcentaje de convivencias supervisadas realizadas de NNA y padres, madres o cuidadores en 2023</v>
      </c>
      <c r="H585" s="89" t="str">
        <f ca="1">IFERROR(__xludf.DUMMYFUNCTION("""COMPUTED_VALUE"""),"Servicio")</f>
        <v>Servicio</v>
      </c>
      <c r="I585" s="89" t="str">
        <f ca="1">IFERROR(__xludf.DUMMYFUNCTION("""COMPUTED_VALUE"""),"Marzo")</f>
        <v>Marzo</v>
      </c>
      <c r="J585" s="89" t="str">
        <f ca="1">IFERROR(__xludf.DUMMYFUNCTION("""COMPUTED_VALUE"""),"N/A")</f>
        <v>N/A</v>
      </c>
      <c r="K585" s="92">
        <f ca="1">IFERROR(__xludf.DUMMYFUNCTION("""COMPUTED_VALUE"""),494)</f>
        <v>494</v>
      </c>
      <c r="L585" s="89" t="str">
        <f ca="1">IFERROR(__xludf.DUMMYFUNCTION("""COMPUTED_VALUE"""),"TRIMESTRE 1")</f>
        <v>TRIMESTRE 1</v>
      </c>
      <c r="M585" s="89" t="str">
        <f ca="1">IFERROR(__xludf.DUMMYFUNCTION("""COMPUTED_VALUE"""),"SERVICIOS")</f>
        <v>SERVICIOS</v>
      </c>
    </row>
    <row r="586" spans="1:13">
      <c r="A586" s="89" t="str">
        <f ca="1">IFERROR(__xludf.DUMMYFUNCTION("""COMPUTED_VALUE"""),"4.1.1.2")</f>
        <v>4.1.1.2</v>
      </c>
      <c r="B586" s="89" t="str">
        <f ca="1">IFERROR(__xludf.DUMMYFUNCTION("""COMPUTED_VALUE"""),"Centro de Convivencia Familiar/Jefatura del Departamento de Centro de Convivencia /Dirección Jurídica/Coord.2. Dirección Jurídica")</f>
        <v>Centro de Convivencia Familiar/Jefatura del Departamento de Centro de Convivencia /Dirección Jurídica/Coord.2. Dirección Jurídica</v>
      </c>
      <c r="C586" s="89" t="str">
        <f ca="1">IFERROR(__xludf.DUMMYFUNCTION("""COMPUTED_VALUE"""),"2. Dirección Jurídica")</f>
        <v>2. Dirección Jurídica</v>
      </c>
      <c r="D586" s="89" t="str">
        <f ca="1">IFERROR(__xludf.DUMMYFUNCTION("""COMPUTED_VALUE"""),"Guadalajara: Capital de las niñas y los niños")</f>
        <v>Guadalajara: Capital de las niñas y los niños</v>
      </c>
      <c r="E586" s="89" t="str">
        <f ca="1">IFERROR(__xludf.DUMMYFUNCTION("""COMPUTED_VALUE"""),"Centro de Convivencia Familiar")</f>
        <v>Centro de Convivencia Familiar</v>
      </c>
      <c r="F586" s="89" t="str">
        <f ca="1">IFERROR(__xludf.DUMMYFUNCTION("""COMPUTED_VALUE"""),"A2C1. Servicio de entrega recepción de NNA realizado en 2023")</f>
        <v>A2C1. Servicio de entrega recepción de NNA realizado en 2023</v>
      </c>
      <c r="G586" s="89" t="str">
        <f ca="1">IFERROR(__xludf.DUMMYFUNCTION("""COMPUTED_VALUE"""),"Porcentaje de servicios de entrega  y recepción de NNA en CECOFAM en 2023")</f>
        <v>Porcentaje de servicios de entrega  y recepción de NNA en CECOFAM en 2023</v>
      </c>
      <c r="H586" s="89" t="str">
        <f ca="1">IFERROR(__xludf.DUMMYFUNCTION("""COMPUTED_VALUE"""),"Servicio")</f>
        <v>Servicio</v>
      </c>
      <c r="I586" s="89" t="str">
        <f ca="1">IFERROR(__xludf.DUMMYFUNCTION("""COMPUTED_VALUE"""),"Marzo")</f>
        <v>Marzo</v>
      </c>
      <c r="J586" s="89" t="str">
        <f ca="1">IFERROR(__xludf.DUMMYFUNCTION("""COMPUTED_VALUE"""),"N/A")</f>
        <v>N/A</v>
      </c>
      <c r="K586" s="92">
        <f ca="1">IFERROR(__xludf.DUMMYFUNCTION("""COMPUTED_VALUE"""),233)</f>
        <v>233</v>
      </c>
      <c r="L586" s="89" t="str">
        <f ca="1">IFERROR(__xludf.DUMMYFUNCTION("""COMPUTED_VALUE"""),"TRIMESTRE 1")</f>
        <v>TRIMESTRE 1</v>
      </c>
      <c r="M586" s="89" t="str">
        <f ca="1">IFERROR(__xludf.DUMMYFUNCTION("""COMPUTED_VALUE"""),"SERVICIOS")</f>
        <v>SERVICIOS</v>
      </c>
    </row>
    <row r="587" spans="1:13">
      <c r="A587" s="89" t="str">
        <f ca="1">IFERROR(__xludf.DUMMYFUNCTION("""COMPUTED_VALUE"""),"4.1.1.0")</f>
        <v>4.1.1.0</v>
      </c>
      <c r="B587" s="89" t="str">
        <f ca="1">IFERROR(__xludf.DUMMYFUNCTION("""COMPUTED_VALUE"""),"Centro de Convivencia Familiar/Jefatura del Departamento de Centro de Convivencia /Dirección Jurídica/Coord.2. Dirección Jurídica")</f>
        <v>Centro de Convivencia Familiar/Jefatura del Departamento de Centro de Convivencia /Dirección Jurídica/Coord.2. Dirección Jurídica</v>
      </c>
      <c r="C587" s="89" t="str">
        <f ca="1">IFERROR(__xludf.DUMMYFUNCTION("""COMPUTED_VALUE"""),"2. Dirección Jurídica")</f>
        <v>2. Dirección Jurídica</v>
      </c>
      <c r="D587" s="89" t="str">
        <f ca="1">IFERROR(__xludf.DUMMYFUNCTION("""COMPUTED_VALUE"""),"Guadalajara: Capital de las niñas y los niños")</f>
        <v>Guadalajara: Capital de las niñas y los niños</v>
      </c>
      <c r="E587" s="89" t="str">
        <f ca="1">IFERROR(__xludf.DUMMYFUNCTION("""COMPUTED_VALUE"""),"Centro de Convivencia Familiar")</f>
        <v>Centro de Convivencia Familiar</v>
      </c>
      <c r="F587" s="89" t="str">
        <f ca="1">IFERROR(__xludf.DUMMYFUNCTION("""COMPUTED_VALUE"""),"C1. Servicios otorgados para la restituciòn del derecho a la sana convivencia entre padres, madres e hijas o hijos")</f>
        <v>C1. Servicios otorgados para la restituciòn del derecho a la sana convivencia entre padres, madres e hijas o hijos</v>
      </c>
      <c r="G587" s="89" t="str">
        <f ca="1">IFERROR(__xludf.DUMMYFUNCTION("""COMPUTED_VALUE"""),"Porcentaje de servicios a niñas, niños y adolescentes, y a sus progenitores que logran la convivencia en 2023")</f>
        <v>Porcentaje de servicios a niñas, niños y adolescentes, y a sus progenitores que logran la convivencia en 2023</v>
      </c>
      <c r="H587" s="89" t="str">
        <f ca="1">IFERROR(__xludf.DUMMYFUNCTION("""COMPUTED_VALUE"""),"Servicio")</f>
        <v>Servicio</v>
      </c>
      <c r="I587" s="89" t="str">
        <f ca="1">IFERROR(__xludf.DUMMYFUNCTION("""COMPUTED_VALUE"""),"Abril")</f>
        <v>Abril</v>
      </c>
      <c r="J587" s="89" t="str">
        <f ca="1">IFERROR(__xludf.DUMMYFUNCTION("""COMPUTED_VALUE"""),"N/A")</f>
        <v>N/A</v>
      </c>
      <c r="K587" s="92">
        <f ca="1">IFERROR(__xludf.DUMMYFUNCTION("""COMPUTED_VALUE"""),454)</f>
        <v>454</v>
      </c>
      <c r="L587" s="89" t="str">
        <f ca="1">IFERROR(__xludf.DUMMYFUNCTION("""COMPUTED_VALUE"""),"TRIMESTRE 2")</f>
        <v>TRIMESTRE 2</v>
      </c>
      <c r="M587" s="89" t="str">
        <f ca="1">IFERROR(__xludf.DUMMYFUNCTION("""COMPUTED_VALUE"""),"SERVICIOS")</f>
        <v>SERVICIOS</v>
      </c>
    </row>
    <row r="588" spans="1:13">
      <c r="A588" s="89" t="str">
        <f ca="1">IFERROR(__xludf.DUMMYFUNCTION("""COMPUTED_VALUE"""),"4.1.1.1")</f>
        <v>4.1.1.1</v>
      </c>
      <c r="B588" s="89" t="str">
        <f ca="1">IFERROR(__xludf.DUMMYFUNCTION("""COMPUTED_VALUE"""),"Centro de Convivencia Familiar/Jefatura del Departamento de Centro de Convivencia /Dirección Jurídica/Coord.2. Dirección Jurídica")</f>
        <v>Centro de Convivencia Familiar/Jefatura del Departamento de Centro de Convivencia /Dirección Jurídica/Coord.2. Dirección Jurídica</v>
      </c>
      <c r="C588" s="89" t="str">
        <f ca="1">IFERROR(__xludf.DUMMYFUNCTION("""COMPUTED_VALUE"""),"2. Dirección Jurídica")</f>
        <v>2. Dirección Jurídica</v>
      </c>
      <c r="D588" s="89" t="str">
        <f ca="1">IFERROR(__xludf.DUMMYFUNCTION("""COMPUTED_VALUE"""),"Guadalajara: Capital de las niñas y los niños")</f>
        <v>Guadalajara: Capital de las niñas y los niños</v>
      </c>
      <c r="E588" s="89" t="str">
        <f ca="1">IFERROR(__xludf.DUMMYFUNCTION("""COMPUTED_VALUE"""),"Centro de Convivencia Familiar")</f>
        <v>Centro de Convivencia Familiar</v>
      </c>
      <c r="F588" s="89" t="str">
        <f ca="1">IFERROR(__xludf.DUMMYFUNCTION("""COMPUTED_VALUE"""),"A1C1. Convivencias supervisadas realizadas en CECOFAM en 2023")</f>
        <v>A1C1. Convivencias supervisadas realizadas en CECOFAM en 2023</v>
      </c>
      <c r="G588" s="89" t="str">
        <f ca="1">IFERROR(__xludf.DUMMYFUNCTION("""COMPUTED_VALUE"""),"Porcentaje de convivencias supervisadas realizadas de NNA y padres, madres o cuidadores en 2023")</f>
        <v>Porcentaje de convivencias supervisadas realizadas de NNA y padres, madres o cuidadores en 2023</v>
      </c>
      <c r="H588" s="89" t="str">
        <f ca="1">IFERROR(__xludf.DUMMYFUNCTION("""COMPUTED_VALUE"""),"Servicio")</f>
        <v>Servicio</v>
      </c>
      <c r="I588" s="89" t="str">
        <f ca="1">IFERROR(__xludf.DUMMYFUNCTION("""COMPUTED_VALUE"""),"Abril")</f>
        <v>Abril</v>
      </c>
      <c r="J588" s="89" t="str">
        <f ca="1">IFERROR(__xludf.DUMMYFUNCTION("""COMPUTED_VALUE"""),"N/A")</f>
        <v>N/A</v>
      </c>
      <c r="K588" s="92">
        <f ca="1">IFERROR(__xludf.DUMMYFUNCTION("""COMPUTED_VALUE"""),350)</f>
        <v>350</v>
      </c>
      <c r="L588" s="89" t="str">
        <f ca="1">IFERROR(__xludf.DUMMYFUNCTION("""COMPUTED_VALUE"""),"TRIMESTRE 2")</f>
        <v>TRIMESTRE 2</v>
      </c>
      <c r="M588" s="89" t="str">
        <f ca="1">IFERROR(__xludf.DUMMYFUNCTION("""COMPUTED_VALUE"""),"SERVICIOS")</f>
        <v>SERVICIOS</v>
      </c>
    </row>
    <row r="589" spans="1:13">
      <c r="A589" s="89" t="str">
        <f ca="1">IFERROR(__xludf.DUMMYFUNCTION("""COMPUTED_VALUE"""),"4.1.1.2")</f>
        <v>4.1.1.2</v>
      </c>
      <c r="B589" s="89" t="str">
        <f ca="1">IFERROR(__xludf.DUMMYFUNCTION("""COMPUTED_VALUE"""),"Centro de Convivencia Familiar/Jefatura del Departamento de Centro de Convivencia /Dirección Jurídica/Coord.2. Dirección Jurídica")</f>
        <v>Centro de Convivencia Familiar/Jefatura del Departamento de Centro de Convivencia /Dirección Jurídica/Coord.2. Dirección Jurídica</v>
      </c>
      <c r="C589" s="89" t="str">
        <f ca="1">IFERROR(__xludf.DUMMYFUNCTION("""COMPUTED_VALUE"""),"2. Dirección Jurídica")</f>
        <v>2. Dirección Jurídica</v>
      </c>
      <c r="D589" s="89" t="str">
        <f ca="1">IFERROR(__xludf.DUMMYFUNCTION("""COMPUTED_VALUE"""),"Guadalajara: Capital de las niñas y los niños")</f>
        <v>Guadalajara: Capital de las niñas y los niños</v>
      </c>
      <c r="E589" s="89" t="str">
        <f ca="1">IFERROR(__xludf.DUMMYFUNCTION("""COMPUTED_VALUE"""),"Centro de Convivencia Familiar")</f>
        <v>Centro de Convivencia Familiar</v>
      </c>
      <c r="F589" s="89" t="str">
        <f ca="1">IFERROR(__xludf.DUMMYFUNCTION("""COMPUTED_VALUE"""),"A2C1. Servicio de entrega recepción de NNA realizado en 2023")</f>
        <v>A2C1. Servicio de entrega recepción de NNA realizado en 2023</v>
      </c>
      <c r="G589" s="89" t="str">
        <f ca="1">IFERROR(__xludf.DUMMYFUNCTION("""COMPUTED_VALUE"""),"Porcentaje de servicios de entrega  y recepción de NNA en CECOFAM en 2023")</f>
        <v>Porcentaje de servicios de entrega  y recepción de NNA en CECOFAM en 2023</v>
      </c>
      <c r="H589" s="89" t="str">
        <f ca="1">IFERROR(__xludf.DUMMYFUNCTION("""COMPUTED_VALUE"""),"Servicio")</f>
        <v>Servicio</v>
      </c>
      <c r="I589" s="89" t="str">
        <f ca="1">IFERROR(__xludf.DUMMYFUNCTION("""COMPUTED_VALUE"""),"Abril")</f>
        <v>Abril</v>
      </c>
      <c r="J589" s="89" t="str">
        <f ca="1">IFERROR(__xludf.DUMMYFUNCTION("""COMPUTED_VALUE"""),"N/A")</f>
        <v>N/A</v>
      </c>
      <c r="K589" s="92">
        <f ca="1">IFERROR(__xludf.DUMMYFUNCTION("""COMPUTED_VALUE"""),104)</f>
        <v>104</v>
      </c>
      <c r="L589" s="89" t="str">
        <f ca="1">IFERROR(__xludf.DUMMYFUNCTION("""COMPUTED_VALUE"""),"TRIMESTRE 2")</f>
        <v>TRIMESTRE 2</v>
      </c>
      <c r="M589" s="89" t="str">
        <f ca="1">IFERROR(__xludf.DUMMYFUNCTION("""COMPUTED_VALUE"""),"SERVICIOS")</f>
        <v>SERVICIOS</v>
      </c>
    </row>
    <row r="590" spans="1:13">
      <c r="A590" s="89" t="str">
        <f ca="1">IFERROR(__xludf.DUMMYFUNCTION("""COMPUTED_VALUE"""),"4.1.1.0")</f>
        <v>4.1.1.0</v>
      </c>
      <c r="B590" s="89" t="str">
        <f ca="1">IFERROR(__xludf.DUMMYFUNCTION("""COMPUTED_VALUE"""),"Centro de Convivencia Familiar/Jefatura del Departamento de Centro de Convivencia /Dirección Jurídica/Coord.2. Dirección Jurídica")</f>
        <v>Centro de Convivencia Familiar/Jefatura del Departamento de Centro de Convivencia /Dirección Jurídica/Coord.2. Dirección Jurídica</v>
      </c>
      <c r="C590" s="89" t="str">
        <f ca="1">IFERROR(__xludf.DUMMYFUNCTION("""COMPUTED_VALUE"""),"2. Dirección Jurídica")</f>
        <v>2. Dirección Jurídica</v>
      </c>
      <c r="D590" s="89" t="str">
        <f ca="1">IFERROR(__xludf.DUMMYFUNCTION("""COMPUTED_VALUE"""),"Guadalajara: Capital de las niñas y los niños")</f>
        <v>Guadalajara: Capital de las niñas y los niños</v>
      </c>
      <c r="E590" s="89" t="str">
        <f ca="1">IFERROR(__xludf.DUMMYFUNCTION("""COMPUTED_VALUE"""),"Centro de Convivencia Familiar")</f>
        <v>Centro de Convivencia Familiar</v>
      </c>
      <c r="F590" s="89" t="str">
        <f ca="1">IFERROR(__xludf.DUMMYFUNCTION("""COMPUTED_VALUE"""),"C1. Servicios otorgados para la restituciòn del derecho a la sana convivencia entre padres, madres e hijas o hijos")</f>
        <v>C1. Servicios otorgados para la restituciòn del derecho a la sana convivencia entre padres, madres e hijas o hijos</v>
      </c>
      <c r="G590" s="89" t="str">
        <f ca="1">IFERROR(__xludf.DUMMYFUNCTION("""COMPUTED_VALUE"""),"Porcentaje de servicios a niñas, niños y adolescentes, y a sus progenitores que logran la convivencia en 2023")</f>
        <v>Porcentaje de servicios a niñas, niños y adolescentes, y a sus progenitores que logran la convivencia en 2023</v>
      </c>
      <c r="H590" s="89" t="str">
        <f ca="1">IFERROR(__xludf.DUMMYFUNCTION("""COMPUTED_VALUE"""),"Servicio")</f>
        <v>Servicio</v>
      </c>
      <c r="I590" s="89" t="str">
        <f ca="1">IFERROR(__xludf.DUMMYFUNCTION("""COMPUTED_VALUE"""),"Mayo")</f>
        <v>Mayo</v>
      </c>
      <c r="J590" s="89" t="str">
        <f ca="1">IFERROR(__xludf.DUMMYFUNCTION("""COMPUTED_VALUE"""),"N/A")</f>
        <v>N/A</v>
      </c>
      <c r="K590" s="92">
        <f ca="1">IFERROR(__xludf.DUMMYFUNCTION("""COMPUTED_VALUE"""),550)</f>
        <v>550</v>
      </c>
      <c r="L590" s="89" t="str">
        <f ca="1">IFERROR(__xludf.DUMMYFUNCTION("""COMPUTED_VALUE"""),"TRIMESTRE 2")</f>
        <v>TRIMESTRE 2</v>
      </c>
      <c r="M590" s="89" t="str">
        <f ca="1">IFERROR(__xludf.DUMMYFUNCTION("""COMPUTED_VALUE"""),"SERVICIOS")</f>
        <v>SERVICIOS</v>
      </c>
    </row>
    <row r="591" spans="1:13">
      <c r="A591" s="89" t="str">
        <f ca="1">IFERROR(__xludf.DUMMYFUNCTION("""COMPUTED_VALUE"""),"4.1.1.1")</f>
        <v>4.1.1.1</v>
      </c>
      <c r="B591" s="89" t="str">
        <f ca="1">IFERROR(__xludf.DUMMYFUNCTION("""COMPUTED_VALUE"""),"Centro de Convivencia Familiar/Jefatura del Departamento de Centro de Convivencia /Dirección Jurídica/Coord.2. Dirección Jurídica")</f>
        <v>Centro de Convivencia Familiar/Jefatura del Departamento de Centro de Convivencia /Dirección Jurídica/Coord.2. Dirección Jurídica</v>
      </c>
      <c r="C591" s="89" t="str">
        <f ca="1">IFERROR(__xludf.DUMMYFUNCTION("""COMPUTED_VALUE"""),"2. Dirección Jurídica")</f>
        <v>2. Dirección Jurídica</v>
      </c>
      <c r="D591" s="89" t="str">
        <f ca="1">IFERROR(__xludf.DUMMYFUNCTION("""COMPUTED_VALUE"""),"Guadalajara: Capital de las niñas y los niños")</f>
        <v>Guadalajara: Capital de las niñas y los niños</v>
      </c>
      <c r="E591" s="89" t="str">
        <f ca="1">IFERROR(__xludf.DUMMYFUNCTION("""COMPUTED_VALUE"""),"Centro de Convivencia Familiar")</f>
        <v>Centro de Convivencia Familiar</v>
      </c>
      <c r="F591" s="89" t="str">
        <f ca="1">IFERROR(__xludf.DUMMYFUNCTION("""COMPUTED_VALUE"""),"A1C1. Convivencias supervisadas realizadas en CECOFAM en 2023")</f>
        <v>A1C1. Convivencias supervisadas realizadas en CECOFAM en 2023</v>
      </c>
      <c r="G591" s="89" t="str">
        <f ca="1">IFERROR(__xludf.DUMMYFUNCTION("""COMPUTED_VALUE"""),"Porcentaje de convivencias supervisadas realizadas de NNA y padres, madres o cuidadores en 2023")</f>
        <v>Porcentaje de convivencias supervisadas realizadas de NNA y padres, madres o cuidadores en 2023</v>
      </c>
      <c r="H591" s="89" t="str">
        <f ca="1">IFERROR(__xludf.DUMMYFUNCTION("""COMPUTED_VALUE"""),"Servicio")</f>
        <v>Servicio</v>
      </c>
      <c r="I591" s="89" t="str">
        <f ca="1">IFERROR(__xludf.DUMMYFUNCTION("""COMPUTED_VALUE"""),"Mayo")</f>
        <v>Mayo</v>
      </c>
      <c r="J591" s="89" t="str">
        <f ca="1">IFERROR(__xludf.DUMMYFUNCTION("""COMPUTED_VALUE"""),"N/A")</f>
        <v>N/A</v>
      </c>
      <c r="K591" s="92">
        <f ca="1">IFERROR(__xludf.DUMMYFUNCTION("""COMPUTED_VALUE"""),403)</f>
        <v>403</v>
      </c>
      <c r="L591" s="89" t="str">
        <f ca="1">IFERROR(__xludf.DUMMYFUNCTION("""COMPUTED_VALUE"""),"TRIMESTRE 2")</f>
        <v>TRIMESTRE 2</v>
      </c>
      <c r="M591" s="89" t="str">
        <f ca="1">IFERROR(__xludf.DUMMYFUNCTION("""COMPUTED_VALUE"""),"SERVICIOS")</f>
        <v>SERVICIOS</v>
      </c>
    </row>
    <row r="592" spans="1:13">
      <c r="A592" s="89" t="str">
        <f ca="1">IFERROR(__xludf.DUMMYFUNCTION("""COMPUTED_VALUE"""),"4.1.1.2")</f>
        <v>4.1.1.2</v>
      </c>
      <c r="B592" s="89" t="str">
        <f ca="1">IFERROR(__xludf.DUMMYFUNCTION("""COMPUTED_VALUE"""),"Centro de Convivencia Familiar/Jefatura del Departamento de Centro de Convivencia /Dirección Jurídica/Coord.2. Dirección Jurídica")</f>
        <v>Centro de Convivencia Familiar/Jefatura del Departamento de Centro de Convivencia /Dirección Jurídica/Coord.2. Dirección Jurídica</v>
      </c>
      <c r="C592" s="89" t="str">
        <f ca="1">IFERROR(__xludf.DUMMYFUNCTION("""COMPUTED_VALUE"""),"2. Dirección Jurídica")</f>
        <v>2. Dirección Jurídica</v>
      </c>
      <c r="D592" s="89" t="str">
        <f ca="1">IFERROR(__xludf.DUMMYFUNCTION("""COMPUTED_VALUE"""),"Guadalajara: Capital de las niñas y los niños")</f>
        <v>Guadalajara: Capital de las niñas y los niños</v>
      </c>
      <c r="E592" s="89" t="str">
        <f ca="1">IFERROR(__xludf.DUMMYFUNCTION("""COMPUTED_VALUE"""),"Centro de Convivencia Familiar")</f>
        <v>Centro de Convivencia Familiar</v>
      </c>
      <c r="F592" s="89" t="str">
        <f ca="1">IFERROR(__xludf.DUMMYFUNCTION("""COMPUTED_VALUE"""),"A2C1. Servicio de entrega recepción de NNA realizado en 2023")</f>
        <v>A2C1. Servicio de entrega recepción de NNA realizado en 2023</v>
      </c>
      <c r="G592" s="89" t="str">
        <f ca="1">IFERROR(__xludf.DUMMYFUNCTION("""COMPUTED_VALUE"""),"Porcentaje de servicios de entrega  y recepción de NNA en CECOFAM en 2023")</f>
        <v>Porcentaje de servicios de entrega  y recepción de NNA en CECOFAM en 2023</v>
      </c>
      <c r="H592" s="89" t="str">
        <f ca="1">IFERROR(__xludf.DUMMYFUNCTION("""COMPUTED_VALUE"""),"Servicio")</f>
        <v>Servicio</v>
      </c>
      <c r="I592" s="89" t="str">
        <f ca="1">IFERROR(__xludf.DUMMYFUNCTION("""COMPUTED_VALUE"""),"Mayo")</f>
        <v>Mayo</v>
      </c>
      <c r="J592" s="89" t="str">
        <f ca="1">IFERROR(__xludf.DUMMYFUNCTION("""COMPUTED_VALUE"""),"N/A")</f>
        <v>N/A</v>
      </c>
      <c r="K592" s="92">
        <f ca="1">IFERROR(__xludf.DUMMYFUNCTION("""COMPUTED_VALUE"""),147)</f>
        <v>147</v>
      </c>
      <c r="L592" s="89" t="str">
        <f ca="1">IFERROR(__xludf.DUMMYFUNCTION("""COMPUTED_VALUE"""),"TRIMESTRE 2")</f>
        <v>TRIMESTRE 2</v>
      </c>
      <c r="M592" s="89" t="str">
        <f ca="1">IFERROR(__xludf.DUMMYFUNCTION("""COMPUTED_VALUE"""),"SERVICIOS")</f>
        <v>SERVICIOS</v>
      </c>
    </row>
    <row r="593" spans="1:13">
      <c r="A593" s="89" t="str">
        <f ca="1">IFERROR(__xludf.DUMMYFUNCTION("""COMPUTED_VALUE"""),"4.1.1.0")</f>
        <v>4.1.1.0</v>
      </c>
      <c r="B593" s="89" t="str">
        <f ca="1">IFERROR(__xludf.DUMMYFUNCTION("""COMPUTED_VALUE"""),"Centro de Convivencia Familiar/Jefatura del Departamento de Centro de Convivencia /Dirección Jurídica/Coord.2. Dirección Jurídica")</f>
        <v>Centro de Convivencia Familiar/Jefatura del Departamento de Centro de Convivencia /Dirección Jurídica/Coord.2. Dirección Jurídica</v>
      </c>
      <c r="C593" s="89" t="str">
        <f ca="1">IFERROR(__xludf.DUMMYFUNCTION("""COMPUTED_VALUE"""),"2. Dirección Jurídica")</f>
        <v>2. Dirección Jurídica</v>
      </c>
      <c r="D593" s="89" t="str">
        <f ca="1">IFERROR(__xludf.DUMMYFUNCTION("""COMPUTED_VALUE"""),"Guadalajara: Capital de las niñas y los niños")</f>
        <v>Guadalajara: Capital de las niñas y los niños</v>
      </c>
      <c r="E593" s="89" t="str">
        <f ca="1">IFERROR(__xludf.DUMMYFUNCTION("""COMPUTED_VALUE"""),"Centro de Convivencia Familiar")</f>
        <v>Centro de Convivencia Familiar</v>
      </c>
      <c r="F593" s="89" t="str">
        <f ca="1">IFERROR(__xludf.DUMMYFUNCTION("""COMPUTED_VALUE"""),"C1. Servicios otorgados para la restituciòn del derecho a la sana convivencia entre padres, madres e hijas o hijos")</f>
        <v>C1. Servicios otorgados para la restituciòn del derecho a la sana convivencia entre padres, madres e hijas o hijos</v>
      </c>
      <c r="G593" s="89" t="str">
        <f ca="1">IFERROR(__xludf.DUMMYFUNCTION("""COMPUTED_VALUE"""),"Porcentaje de servicios a niñas, niños y adolescentes, y a sus progenitores que logran la convivencia en 2023")</f>
        <v>Porcentaje de servicios a niñas, niños y adolescentes, y a sus progenitores que logran la convivencia en 2023</v>
      </c>
      <c r="H593" s="89" t="str">
        <f ca="1">IFERROR(__xludf.DUMMYFUNCTION("""COMPUTED_VALUE"""),"Servicio")</f>
        <v>Servicio</v>
      </c>
      <c r="I593" s="89" t="str">
        <f ca="1">IFERROR(__xludf.DUMMYFUNCTION("""COMPUTED_VALUE"""),"Junio")</f>
        <v>Junio</v>
      </c>
      <c r="J593" s="89" t="str">
        <f ca="1">IFERROR(__xludf.DUMMYFUNCTION("""COMPUTED_VALUE"""),"N/A")</f>
        <v>N/A</v>
      </c>
      <c r="K593" s="92">
        <f ca="1">IFERROR(__xludf.DUMMYFUNCTION("""COMPUTED_VALUE"""),517)</f>
        <v>517</v>
      </c>
      <c r="L593" s="89" t="str">
        <f ca="1">IFERROR(__xludf.DUMMYFUNCTION("""COMPUTED_VALUE"""),"TRIMESTRE 2")</f>
        <v>TRIMESTRE 2</v>
      </c>
      <c r="M593" s="89" t="str">
        <f ca="1">IFERROR(__xludf.DUMMYFUNCTION("""COMPUTED_VALUE"""),"SERVICIOS")</f>
        <v>SERVICIOS</v>
      </c>
    </row>
    <row r="594" spans="1:13">
      <c r="A594" s="89" t="str">
        <f ca="1">IFERROR(__xludf.DUMMYFUNCTION("""COMPUTED_VALUE"""),"4.1.1.1")</f>
        <v>4.1.1.1</v>
      </c>
      <c r="B594" s="89" t="str">
        <f ca="1">IFERROR(__xludf.DUMMYFUNCTION("""COMPUTED_VALUE"""),"Centro de Convivencia Familiar/Jefatura del Departamento de Centro de Convivencia /Dirección Jurídica/Coord.2. Dirección Jurídica")</f>
        <v>Centro de Convivencia Familiar/Jefatura del Departamento de Centro de Convivencia /Dirección Jurídica/Coord.2. Dirección Jurídica</v>
      </c>
      <c r="C594" s="89" t="str">
        <f ca="1">IFERROR(__xludf.DUMMYFUNCTION("""COMPUTED_VALUE"""),"2. Dirección Jurídica")</f>
        <v>2. Dirección Jurídica</v>
      </c>
      <c r="D594" s="89" t="str">
        <f ca="1">IFERROR(__xludf.DUMMYFUNCTION("""COMPUTED_VALUE"""),"Guadalajara: Capital de las niñas y los niños")</f>
        <v>Guadalajara: Capital de las niñas y los niños</v>
      </c>
      <c r="E594" s="89" t="str">
        <f ca="1">IFERROR(__xludf.DUMMYFUNCTION("""COMPUTED_VALUE"""),"Centro de Convivencia Familiar")</f>
        <v>Centro de Convivencia Familiar</v>
      </c>
      <c r="F594" s="89" t="str">
        <f ca="1">IFERROR(__xludf.DUMMYFUNCTION("""COMPUTED_VALUE"""),"A1C1. Convivencias supervisadas realizadas en CECOFAM en 2023")</f>
        <v>A1C1. Convivencias supervisadas realizadas en CECOFAM en 2023</v>
      </c>
      <c r="G594" s="89" t="str">
        <f ca="1">IFERROR(__xludf.DUMMYFUNCTION("""COMPUTED_VALUE"""),"Porcentaje de convivencias supervisadas realizadas de NNA y padres, madres o cuidadores en 2023")</f>
        <v>Porcentaje de convivencias supervisadas realizadas de NNA y padres, madres o cuidadores en 2023</v>
      </c>
      <c r="H594" s="89" t="str">
        <f ca="1">IFERROR(__xludf.DUMMYFUNCTION("""COMPUTED_VALUE"""),"Servicio")</f>
        <v>Servicio</v>
      </c>
      <c r="I594" s="89" t="str">
        <f ca="1">IFERROR(__xludf.DUMMYFUNCTION("""COMPUTED_VALUE"""),"Junio")</f>
        <v>Junio</v>
      </c>
      <c r="J594" s="89" t="str">
        <f ca="1">IFERROR(__xludf.DUMMYFUNCTION("""COMPUTED_VALUE"""),"N/A")</f>
        <v>N/A</v>
      </c>
      <c r="K594" s="92">
        <f ca="1">IFERROR(__xludf.DUMMYFUNCTION("""COMPUTED_VALUE"""),408)</f>
        <v>408</v>
      </c>
      <c r="L594" s="89" t="str">
        <f ca="1">IFERROR(__xludf.DUMMYFUNCTION("""COMPUTED_VALUE"""),"TRIMESTRE 2")</f>
        <v>TRIMESTRE 2</v>
      </c>
      <c r="M594" s="89" t="str">
        <f ca="1">IFERROR(__xludf.DUMMYFUNCTION("""COMPUTED_VALUE"""),"SERVICIOS")</f>
        <v>SERVICIOS</v>
      </c>
    </row>
    <row r="595" spans="1:13">
      <c r="A595" s="89" t="str">
        <f ca="1">IFERROR(__xludf.DUMMYFUNCTION("""COMPUTED_VALUE"""),"4.1.1.2")</f>
        <v>4.1.1.2</v>
      </c>
      <c r="B595" s="89" t="str">
        <f ca="1">IFERROR(__xludf.DUMMYFUNCTION("""COMPUTED_VALUE"""),"Centro de Convivencia Familiar/Jefatura del Departamento de Centro de Convivencia /Dirección Jurídica/Coord.2. Dirección Jurídica")</f>
        <v>Centro de Convivencia Familiar/Jefatura del Departamento de Centro de Convivencia /Dirección Jurídica/Coord.2. Dirección Jurídica</v>
      </c>
      <c r="C595" s="89" t="str">
        <f ca="1">IFERROR(__xludf.DUMMYFUNCTION("""COMPUTED_VALUE"""),"2. Dirección Jurídica")</f>
        <v>2. Dirección Jurídica</v>
      </c>
      <c r="D595" s="89" t="str">
        <f ca="1">IFERROR(__xludf.DUMMYFUNCTION("""COMPUTED_VALUE"""),"Guadalajara: Capital de las niñas y los niños")</f>
        <v>Guadalajara: Capital de las niñas y los niños</v>
      </c>
      <c r="E595" s="89" t="str">
        <f ca="1">IFERROR(__xludf.DUMMYFUNCTION("""COMPUTED_VALUE"""),"Centro de Convivencia Familiar")</f>
        <v>Centro de Convivencia Familiar</v>
      </c>
      <c r="F595" s="89" t="str">
        <f ca="1">IFERROR(__xludf.DUMMYFUNCTION("""COMPUTED_VALUE"""),"A2C1. Servicio de entrega recepción de NNA realizado en 2023")</f>
        <v>A2C1. Servicio de entrega recepción de NNA realizado en 2023</v>
      </c>
      <c r="G595" s="89" t="str">
        <f ca="1">IFERROR(__xludf.DUMMYFUNCTION("""COMPUTED_VALUE"""),"Porcentaje de servicios de entrega  y recepción de NNA en CECOFAM en 2023")</f>
        <v>Porcentaje de servicios de entrega  y recepción de NNA en CECOFAM en 2023</v>
      </c>
      <c r="H595" s="89" t="str">
        <f ca="1">IFERROR(__xludf.DUMMYFUNCTION("""COMPUTED_VALUE"""),"Servicio")</f>
        <v>Servicio</v>
      </c>
      <c r="I595" s="89" t="str">
        <f ca="1">IFERROR(__xludf.DUMMYFUNCTION("""COMPUTED_VALUE"""),"Junio")</f>
        <v>Junio</v>
      </c>
      <c r="J595" s="89" t="str">
        <f ca="1">IFERROR(__xludf.DUMMYFUNCTION("""COMPUTED_VALUE"""),"N/A")</f>
        <v>N/A</v>
      </c>
      <c r="K595" s="92">
        <f ca="1">IFERROR(__xludf.DUMMYFUNCTION("""COMPUTED_VALUE"""),109)</f>
        <v>109</v>
      </c>
      <c r="L595" s="89" t="str">
        <f ca="1">IFERROR(__xludf.DUMMYFUNCTION("""COMPUTED_VALUE"""),"TRIMESTRE 2")</f>
        <v>TRIMESTRE 2</v>
      </c>
      <c r="M595" s="89" t="str">
        <f ca="1">IFERROR(__xludf.DUMMYFUNCTION("""COMPUTED_VALUE"""),"SERVICIOS")</f>
        <v>SERVICIOS</v>
      </c>
    </row>
    <row r="596" spans="1:13">
      <c r="A596" s="89" t="str">
        <f ca="1">IFERROR(__xludf.DUMMYFUNCTION("""COMPUTED_VALUE"""),"4.1.1.0")</f>
        <v>4.1.1.0</v>
      </c>
      <c r="B596" s="89" t="str">
        <f ca="1">IFERROR(__xludf.DUMMYFUNCTION("""COMPUTED_VALUE"""),"Centro de Convivencia Familiar/Jefatura del Departamento de Centro de Convivencia /Dirección Jurídica/Coord.2. Dirección Jurídica")</f>
        <v>Centro de Convivencia Familiar/Jefatura del Departamento de Centro de Convivencia /Dirección Jurídica/Coord.2. Dirección Jurídica</v>
      </c>
      <c r="C596" s="89" t="str">
        <f ca="1">IFERROR(__xludf.DUMMYFUNCTION("""COMPUTED_VALUE"""),"2. Dirección Jurídica")</f>
        <v>2. Dirección Jurídica</v>
      </c>
      <c r="D596" s="89" t="str">
        <f ca="1">IFERROR(__xludf.DUMMYFUNCTION("""COMPUTED_VALUE"""),"Guadalajara: Capital de las niñas y los niños")</f>
        <v>Guadalajara: Capital de las niñas y los niños</v>
      </c>
      <c r="E596" s="89" t="str">
        <f ca="1">IFERROR(__xludf.DUMMYFUNCTION("""COMPUTED_VALUE"""),"Centro de Convivencia Familiar")</f>
        <v>Centro de Convivencia Familiar</v>
      </c>
      <c r="F596" s="89" t="str">
        <f ca="1">IFERROR(__xludf.DUMMYFUNCTION("""COMPUTED_VALUE"""),"C1. Servicios otorgados para la restituciòn del derecho a la sana convivencia entre padres, madres e hijas o hijos")</f>
        <v>C1. Servicios otorgados para la restituciòn del derecho a la sana convivencia entre padres, madres e hijas o hijos</v>
      </c>
      <c r="G596" s="89" t="str">
        <f ca="1">IFERROR(__xludf.DUMMYFUNCTION("""COMPUTED_VALUE"""),"Porcentaje de servicios a niñas, niños y adolescentes, y a sus progenitores que logran la convivencia en 2023")</f>
        <v>Porcentaje de servicios a niñas, niños y adolescentes, y a sus progenitores que logran la convivencia en 2023</v>
      </c>
      <c r="H596" s="89" t="str">
        <f ca="1">IFERROR(__xludf.DUMMYFUNCTION("""COMPUTED_VALUE"""),"Servicio")</f>
        <v>Servicio</v>
      </c>
      <c r="I596" s="89" t="str">
        <f ca="1">IFERROR(__xludf.DUMMYFUNCTION("""COMPUTED_VALUE"""),"Julio")</f>
        <v>Julio</v>
      </c>
      <c r="J596" s="89" t="str">
        <f ca="1">IFERROR(__xludf.DUMMYFUNCTION("""COMPUTED_VALUE"""),"N/A")</f>
        <v>N/A</v>
      </c>
      <c r="K596" s="92">
        <f ca="1">IFERROR(__xludf.DUMMYFUNCTION("""COMPUTED_VALUE"""),694)</f>
        <v>694</v>
      </c>
      <c r="L596" s="89" t="str">
        <f ca="1">IFERROR(__xludf.DUMMYFUNCTION("""COMPUTED_VALUE"""),"TRIMESTRE 3")</f>
        <v>TRIMESTRE 3</v>
      </c>
      <c r="M596" s="89" t="str">
        <f ca="1">IFERROR(__xludf.DUMMYFUNCTION("""COMPUTED_VALUE"""),"SERVICIOS")</f>
        <v>SERVICIOS</v>
      </c>
    </row>
    <row r="597" spans="1:13">
      <c r="A597" s="89" t="str">
        <f ca="1">IFERROR(__xludf.DUMMYFUNCTION("""COMPUTED_VALUE"""),"4.1.1.1")</f>
        <v>4.1.1.1</v>
      </c>
      <c r="B597" s="89" t="str">
        <f ca="1">IFERROR(__xludf.DUMMYFUNCTION("""COMPUTED_VALUE"""),"Centro de Convivencia Familiar/Jefatura del Departamento de Centro de Convivencia /Dirección Jurídica/Coord.2. Dirección Jurídica")</f>
        <v>Centro de Convivencia Familiar/Jefatura del Departamento de Centro de Convivencia /Dirección Jurídica/Coord.2. Dirección Jurídica</v>
      </c>
      <c r="C597" s="89" t="str">
        <f ca="1">IFERROR(__xludf.DUMMYFUNCTION("""COMPUTED_VALUE"""),"2. Dirección Jurídica")</f>
        <v>2. Dirección Jurídica</v>
      </c>
      <c r="D597" s="89" t="str">
        <f ca="1">IFERROR(__xludf.DUMMYFUNCTION("""COMPUTED_VALUE"""),"Guadalajara: Capital de las niñas y los niños")</f>
        <v>Guadalajara: Capital de las niñas y los niños</v>
      </c>
      <c r="E597" s="89" t="str">
        <f ca="1">IFERROR(__xludf.DUMMYFUNCTION("""COMPUTED_VALUE"""),"Centro de Convivencia Familiar")</f>
        <v>Centro de Convivencia Familiar</v>
      </c>
      <c r="F597" s="89" t="str">
        <f ca="1">IFERROR(__xludf.DUMMYFUNCTION("""COMPUTED_VALUE"""),"A1C1. Convivencias supervisadas realizadas en CECOFAM en 2023")</f>
        <v>A1C1. Convivencias supervisadas realizadas en CECOFAM en 2023</v>
      </c>
      <c r="G597" s="89" t="str">
        <f ca="1">IFERROR(__xludf.DUMMYFUNCTION("""COMPUTED_VALUE"""),"Porcentaje de convivencias supervisadas realizadas de NNA y padres, madres o cuidadores en 2023")</f>
        <v>Porcentaje de convivencias supervisadas realizadas de NNA y padres, madres o cuidadores en 2023</v>
      </c>
      <c r="H597" s="89" t="str">
        <f ca="1">IFERROR(__xludf.DUMMYFUNCTION("""COMPUTED_VALUE"""),"Servicio")</f>
        <v>Servicio</v>
      </c>
      <c r="I597" s="89" t="str">
        <f ca="1">IFERROR(__xludf.DUMMYFUNCTION("""COMPUTED_VALUE"""),"Julio")</f>
        <v>Julio</v>
      </c>
      <c r="J597" s="89" t="str">
        <f ca="1">IFERROR(__xludf.DUMMYFUNCTION("""COMPUTED_VALUE"""),"N/A")</f>
        <v>N/A</v>
      </c>
      <c r="K597" s="92">
        <f ca="1">IFERROR(__xludf.DUMMYFUNCTION("""COMPUTED_VALUE"""),499)</f>
        <v>499</v>
      </c>
      <c r="L597" s="89" t="str">
        <f ca="1">IFERROR(__xludf.DUMMYFUNCTION("""COMPUTED_VALUE"""),"TRIMESTRE 3")</f>
        <v>TRIMESTRE 3</v>
      </c>
      <c r="M597" s="89" t="str">
        <f ca="1">IFERROR(__xludf.DUMMYFUNCTION("""COMPUTED_VALUE"""),"SERVICIOS")</f>
        <v>SERVICIOS</v>
      </c>
    </row>
    <row r="598" spans="1:13">
      <c r="A598" s="89" t="str">
        <f ca="1">IFERROR(__xludf.DUMMYFUNCTION("""COMPUTED_VALUE"""),"4.1.1.2")</f>
        <v>4.1.1.2</v>
      </c>
      <c r="B598" s="89" t="str">
        <f ca="1">IFERROR(__xludf.DUMMYFUNCTION("""COMPUTED_VALUE"""),"Centro de Convivencia Familiar/Jefatura del Departamento de Centro de Convivencia /Dirección Jurídica/Coord.2. Dirección Jurídica")</f>
        <v>Centro de Convivencia Familiar/Jefatura del Departamento de Centro de Convivencia /Dirección Jurídica/Coord.2. Dirección Jurídica</v>
      </c>
      <c r="C598" s="89" t="str">
        <f ca="1">IFERROR(__xludf.DUMMYFUNCTION("""COMPUTED_VALUE"""),"2. Dirección Jurídica")</f>
        <v>2. Dirección Jurídica</v>
      </c>
      <c r="D598" s="89" t="str">
        <f ca="1">IFERROR(__xludf.DUMMYFUNCTION("""COMPUTED_VALUE"""),"Guadalajara: Capital de las niñas y los niños")</f>
        <v>Guadalajara: Capital de las niñas y los niños</v>
      </c>
      <c r="E598" s="89" t="str">
        <f ca="1">IFERROR(__xludf.DUMMYFUNCTION("""COMPUTED_VALUE"""),"Centro de Convivencia Familiar")</f>
        <v>Centro de Convivencia Familiar</v>
      </c>
      <c r="F598" s="89" t="str">
        <f ca="1">IFERROR(__xludf.DUMMYFUNCTION("""COMPUTED_VALUE"""),"A2C1. Servicio de entrega recepción de NNA realizado en 2023")</f>
        <v>A2C1. Servicio de entrega recepción de NNA realizado en 2023</v>
      </c>
      <c r="G598" s="89" t="str">
        <f ca="1">IFERROR(__xludf.DUMMYFUNCTION("""COMPUTED_VALUE"""),"Porcentaje de servicios de entrega  y recepción de NNA en CECOFAM en 2023")</f>
        <v>Porcentaje de servicios de entrega  y recepción de NNA en CECOFAM en 2023</v>
      </c>
      <c r="H598" s="89" t="str">
        <f ca="1">IFERROR(__xludf.DUMMYFUNCTION("""COMPUTED_VALUE"""),"Servicio")</f>
        <v>Servicio</v>
      </c>
      <c r="I598" s="89" t="str">
        <f ca="1">IFERROR(__xludf.DUMMYFUNCTION("""COMPUTED_VALUE"""),"Julio")</f>
        <v>Julio</v>
      </c>
      <c r="J598" s="89" t="str">
        <f ca="1">IFERROR(__xludf.DUMMYFUNCTION("""COMPUTED_VALUE"""),"N/A")</f>
        <v>N/A</v>
      </c>
      <c r="K598" s="92">
        <f ca="1">IFERROR(__xludf.DUMMYFUNCTION("""COMPUTED_VALUE"""),195)</f>
        <v>195</v>
      </c>
      <c r="L598" s="89" t="str">
        <f ca="1">IFERROR(__xludf.DUMMYFUNCTION("""COMPUTED_VALUE"""),"TRIMESTRE 3")</f>
        <v>TRIMESTRE 3</v>
      </c>
      <c r="M598" s="89" t="str">
        <f ca="1">IFERROR(__xludf.DUMMYFUNCTION("""COMPUTED_VALUE"""),"SERVICIOS")</f>
        <v>SERVICIOS</v>
      </c>
    </row>
    <row r="599" spans="1:13">
      <c r="A599" s="89" t="str">
        <f ca="1">IFERROR(__xludf.DUMMYFUNCTION("""COMPUTED_VALUE"""),"4.1.1.0")</f>
        <v>4.1.1.0</v>
      </c>
      <c r="B599" s="89" t="str">
        <f ca="1">IFERROR(__xludf.DUMMYFUNCTION("""COMPUTED_VALUE"""),"Centro de Convivencia Familiar/Jefatura del Departamento de Centro de Convivencia /Dirección Jurídica/Coord.2. Dirección Jurídica")</f>
        <v>Centro de Convivencia Familiar/Jefatura del Departamento de Centro de Convivencia /Dirección Jurídica/Coord.2. Dirección Jurídica</v>
      </c>
      <c r="C599" s="89" t="str">
        <f ca="1">IFERROR(__xludf.DUMMYFUNCTION("""COMPUTED_VALUE"""),"2. Dirección Jurídica")</f>
        <v>2. Dirección Jurídica</v>
      </c>
      <c r="D599" s="89" t="str">
        <f ca="1">IFERROR(__xludf.DUMMYFUNCTION("""COMPUTED_VALUE"""),"Guadalajara: Capital de las niñas y los niños")</f>
        <v>Guadalajara: Capital de las niñas y los niños</v>
      </c>
      <c r="E599" s="89" t="str">
        <f ca="1">IFERROR(__xludf.DUMMYFUNCTION("""COMPUTED_VALUE"""),"Centro de Convivencia Familiar")</f>
        <v>Centro de Convivencia Familiar</v>
      </c>
      <c r="F599" s="89" t="str">
        <f ca="1">IFERROR(__xludf.DUMMYFUNCTION("""COMPUTED_VALUE"""),"C1. Servicios otorgados para la restituciòn del derecho a la sana convivencia entre padres, madres e hijas o hijos")</f>
        <v>C1. Servicios otorgados para la restituciòn del derecho a la sana convivencia entre padres, madres e hijas o hijos</v>
      </c>
      <c r="G599" s="89" t="str">
        <f ca="1">IFERROR(__xludf.DUMMYFUNCTION("""COMPUTED_VALUE"""),"Porcentaje de servicios a niñas, niños y adolescentes, y a sus progenitores que logran la convivencia en 2023")</f>
        <v>Porcentaje de servicios a niñas, niños y adolescentes, y a sus progenitores que logran la convivencia en 2023</v>
      </c>
      <c r="H599" s="89" t="str">
        <f ca="1">IFERROR(__xludf.DUMMYFUNCTION("""COMPUTED_VALUE"""),"Servicio")</f>
        <v>Servicio</v>
      </c>
      <c r="I599" s="89" t="str">
        <f ca="1">IFERROR(__xludf.DUMMYFUNCTION("""COMPUTED_VALUE"""),"Agosto")</f>
        <v>Agosto</v>
      </c>
      <c r="J599" s="89" t="str">
        <f ca="1">IFERROR(__xludf.DUMMYFUNCTION("""COMPUTED_VALUE"""),"N/A")</f>
        <v>N/A</v>
      </c>
      <c r="K599" s="92">
        <f ca="1">IFERROR(__xludf.DUMMYFUNCTION("""COMPUTED_VALUE"""),714)</f>
        <v>714</v>
      </c>
      <c r="L599" s="89" t="str">
        <f ca="1">IFERROR(__xludf.DUMMYFUNCTION("""COMPUTED_VALUE"""),"TRIMESTRE 3")</f>
        <v>TRIMESTRE 3</v>
      </c>
      <c r="M599" s="89" t="str">
        <f ca="1">IFERROR(__xludf.DUMMYFUNCTION("""COMPUTED_VALUE"""),"SERVICIOS")</f>
        <v>SERVICIOS</v>
      </c>
    </row>
    <row r="600" spans="1:13">
      <c r="A600" s="89" t="str">
        <f ca="1">IFERROR(__xludf.DUMMYFUNCTION("""COMPUTED_VALUE"""),"4.1.1.1")</f>
        <v>4.1.1.1</v>
      </c>
      <c r="B600" s="89" t="str">
        <f ca="1">IFERROR(__xludf.DUMMYFUNCTION("""COMPUTED_VALUE"""),"Centro de Convivencia Familiar/Jefatura del Departamento de Centro de Convivencia /Dirección Jurídica/Coord.2. Dirección Jurídica")</f>
        <v>Centro de Convivencia Familiar/Jefatura del Departamento de Centro de Convivencia /Dirección Jurídica/Coord.2. Dirección Jurídica</v>
      </c>
      <c r="C600" s="89" t="str">
        <f ca="1">IFERROR(__xludf.DUMMYFUNCTION("""COMPUTED_VALUE"""),"2. Dirección Jurídica")</f>
        <v>2. Dirección Jurídica</v>
      </c>
      <c r="D600" s="89" t="str">
        <f ca="1">IFERROR(__xludf.DUMMYFUNCTION("""COMPUTED_VALUE"""),"Guadalajara: Capital de las niñas y los niños")</f>
        <v>Guadalajara: Capital de las niñas y los niños</v>
      </c>
      <c r="E600" s="89" t="str">
        <f ca="1">IFERROR(__xludf.DUMMYFUNCTION("""COMPUTED_VALUE"""),"Centro de Convivencia Familiar")</f>
        <v>Centro de Convivencia Familiar</v>
      </c>
      <c r="F600" s="89" t="str">
        <f ca="1">IFERROR(__xludf.DUMMYFUNCTION("""COMPUTED_VALUE"""),"A1C1. Convivencias supervisadas realizadas en CECOFAM en 2023")</f>
        <v>A1C1. Convivencias supervisadas realizadas en CECOFAM en 2023</v>
      </c>
      <c r="G600" s="89" t="str">
        <f ca="1">IFERROR(__xludf.DUMMYFUNCTION("""COMPUTED_VALUE"""),"Porcentaje de convivencias supervisadas realizadas de NNA y padres, madres o cuidadores en 2023")</f>
        <v>Porcentaje de convivencias supervisadas realizadas de NNA y padres, madres o cuidadores en 2023</v>
      </c>
      <c r="H600" s="89" t="str">
        <f ca="1">IFERROR(__xludf.DUMMYFUNCTION("""COMPUTED_VALUE"""),"Servicio")</f>
        <v>Servicio</v>
      </c>
      <c r="I600" s="89" t="str">
        <f ca="1">IFERROR(__xludf.DUMMYFUNCTION("""COMPUTED_VALUE"""),"Agosto")</f>
        <v>Agosto</v>
      </c>
      <c r="J600" s="89" t="str">
        <f ca="1">IFERROR(__xludf.DUMMYFUNCTION("""COMPUTED_VALUE"""),"N/A")</f>
        <v>N/A</v>
      </c>
      <c r="K600" s="92">
        <f ca="1">IFERROR(__xludf.DUMMYFUNCTION("""COMPUTED_VALUE"""),510)</f>
        <v>510</v>
      </c>
      <c r="L600" s="89" t="str">
        <f ca="1">IFERROR(__xludf.DUMMYFUNCTION("""COMPUTED_VALUE"""),"TRIMESTRE 3")</f>
        <v>TRIMESTRE 3</v>
      </c>
      <c r="M600" s="89" t="str">
        <f ca="1">IFERROR(__xludf.DUMMYFUNCTION("""COMPUTED_VALUE"""),"SERVICIOS")</f>
        <v>SERVICIOS</v>
      </c>
    </row>
    <row r="601" spans="1:13">
      <c r="A601" s="89" t="str">
        <f ca="1">IFERROR(__xludf.DUMMYFUNCTION("""COMPUTED_VALUE"""),"4.1.1.2")</f>
        <v>4.1.1.2</v>
      </c>
      <c r="B601" s="89" t="str">
        <f ca="1">IFERROR(__xludf.DUMMYFUNCTION("""COMPUTED_VALUE"""),"Centro de Convivencia Familiar/Jefatura del Departamento de Centro de Convivencia /Dirección Jurídica/Coord.2. Dirección Jurídica")</f>
        <v>Centro de Convivencia Familiar/Jefatura del Departamento de Centro de Convivencia /Dirección Jurídica/Coord.2. Dirección Jurídica</v>
      </c>
      <c r="C601" s="89" t="str">
        <f ca="1">IFERROR(__xludf.DUMMYFUNCTION("""COMPUTED_VALUE"""),"2. Dirección Jurídica")</f>
        <v>2. Dirección Jurídica</v>
      </c>
      <c r="D601" s="89" t="str">
        <f ca="1">IFERROR(__xludf.DUMMYFUNCTION("""COMPUTED_VALUE"""),"Guadalajara: Capital de las niñas y los niños")</f>
        <v>Guadalajara: Capital de las niñas y los niños</v>
      </c>
      <c r="E601" s="89" t="str">
        <f ca="1">IFERROR(__xludf.DUMMYFUNCTION("""COMPUTED_VALUE"""),"Centro de Convivencia Familiar")</f>
        <v>Centro de Convivencia Familiar</v>
      </c>
      <c r="F601" s="89" t="str">
        <f ca="1">IFERROR(__xludf.DUMMYFUNCTION("""COMPUTED_VALUE"""),"A2C1. Servicio de entrega recepción de NNA realizado en 2023")</f>
        <v>A2C1. Servicio de entrega recepción de NNA realizado en 2023</v>
      </c>
      <c r="G601" s="89" t="str">
        <f ca="1">IFERROR(__xludf.DUMMYFUNCTION("""COMPUTED_VALUE"""),"Porcentaje de servicios de entrega  y recepción de NNA en CECOFAM en 2023")</f>
        <v>Porcentaje de servicios de entrega  y recepción de NNA en CECOFAM en 2023</v>
      </c>
      <c r="H601" s="89" t="str">
        <f ca="1">IFERROR(__xludf.DUMMYFUNCTION("""COMPUTED_VALUE"""),"Servicio")</f>
        <v>Servicio</v>
      </c>
      <c r="I601" s="89" t="str">
        <f ca="1">IFERROR(__xludf.DUMMYFUNCTION("""COMPUTED_VALUE"""),"Agosto")</f>
        <v>Agosto</v>
      </c>
      <c r="J601" s="89" t="str">
        <f ca="1">IFERROR(__xludf.DUMMYFUNCTION("""COMPUTED_VALUE"""),"N/A")</f>
        <v>N/A</v>
      </c>
      <c r="K601" s="92">
        <f ca="1">IFERROR(__xludf.DUMMYFUNCTION("""COMPUTED_VALUE"""),204)</f>
        <v>204</v>
      </c>
      <c r="L601" s="89" t="str">
        <f ca="1">IFERROR(__xludf.DUMMYFUNCTION("""COMPUTED_VALUE"""),"TRIMESTRE 3")</f>
        <v>TRIMESTRE 3</v>
      </c>
      <c r="M601" s="89" t="str">
        <f ca="1">IFERROR(__xludf.DUMMYFUNCTION("""COMPUTED_VALUE"""),"SERVICIOS")</f>
        <v>SERVICIOS</v>
      </c>
    </row>
    <row r="602" spans="1:13">
      <c r="A602" s="89" t="str">
        <f ca="1">IFERROR(__xludf.DUMMYFUNCTION("""COMPUTED_VALUE"""),"4.1.1.0")</f>
        <v>4.1.1.0</v>
      </c>
      <c r="B602" s="89" t="str">
        <f ca="1">IFERROR(__xludf.DUMMYFUNCTION("""COMPUTED_VALUE"""),"Centro de Convivencia Familiar/Jefatura del Departamento de Centro de Convivencia /Dirección Jurídica/Coord.2. Dirección Jurídica")</f>
        <v>Centro de Convivencia Familiar/Jefatura del Departamento de Centro de Convivencia /Dirección Jurídica/Coord.2. Dirección Jurídica</v>
      </c>
      <c r="C602" s="89" t="str">
        <f ca="1">IFERROR(__xludf.DUMMYFUNCTION("""COMPUTED_VALUE"""),"2. Dirección Jurídica")</f>
        <v>2. Dirección Jurídica</v>
      </c>
      <c r="D602" s="89" t="str">
        <f ca="1">IFERROR(__xludf.DUMMYFUNCTION("""COMPUTED_VALUE"""),"Guadalajara: Capital de las niñas y los niños")</f>
        <v>Guadalajara: Capital de las niñas y los niños</v>
      </c>
      <c r="E602" s="89" t="str">
        <f ca="1">IFERROR(__xludf.DUMMYFUNCTION("""COMPUTED_VALUE"""),"Centro de Convivencia Familiar")</f>
        <v>Centro de Convivencia Familiar</v>
      </c>
      <c r="F602" s="89" t="str">
        <f ca="1">IFERROR(__xludf.DUMMYFUNCTION("""COMPUTED_VALUE"""),"C1. Servicios otorgados para la restituciòn del derecho a la sana convivencia entre padres, madres e hijas o hijos")</f>
        <v>C1. Servicios otorgados para la restituciòn del derecho a la sana convivencia entre padres, madres e hijas o hijos</v>
      </c>
      <c r="G602" s="89" t="str">
        <f ca="1">IFERROR(__xludf.DUMMYFUNCTION("""COMPUTED_VALUE"""),"Porcentaje de servicios a niñas, niños y adolescentes, y a sus progenitores que logran la convivencia en 2023")</f>
        <v>Porcentaje de servicios a niñas, niños y adolescentes, y a sus progenitores que logran la convivencia en 2023</v>
      </c>
      <c r="H602" s="89" t="str">
        <f ca="1">IFERROR(__xludf.DUMMYFUNCTION("""COMPUTED_VALUE"""),"Servicio")</f>
        <v>Servicio</v>
      </c>
      <c r="I602" s="89" t="str">
        <f ca="1">IFERROR(__xludf.DUMMYFUNCTION("""COMPUTED_VALUE"""),"Septiembre")</f>
        <v>Septiembre</v>
      </c>
      <c r="J602" s="89" t="str">
        <f ca="1">IFERROR(__xludf.DUMMYFUNCTION("""COMPUTED_VALUE"""),"N/A")</f>
        <v>N/A</v>
      </c>
      <c r="K602" s="92">
        <f ca="1">IFERROR(__xludf.DUMMYFUNCTION("""COMPUTED_VALUE"""),793)</f>
        <v>793</v>
      </c>
      <c r="L602" s="89" t="str">
        <f ca="1">IFERROR(__xludf.DUMMYFUNCTION("""COMPUTED_VALUE"""),"TRIMESTRE 3")</f>
        <v>TRIMESTRE 3</v>
      </c>
      <c r="M602" s="89" t="str">
        <f ca="1">IFERROR(__xludf.DUMMYFUNCTION("""COMPUTED_VALUE"""),"SERVICIOS")</f>
        <v>SERVICIOS</v>
      </c>
    </row>
    <row r="603" spans="1:13">
      <c r="A603" s="89" t="str">
        <f ca="1">IFERROR(__xludf.DUMMYFUNCTION("""COMPUTED_VALUE"""),"4.1.1.1")</f>
        <v>4.1.1.1</v>
      </c>
      <c r="B603" s="89" t="str">
        <f ca="1">IFERROR(__xludf.DUMMYFUNCTION("""COMPUTED_VALUE"""),"Centro de Convivencia Familiar/Jefatura del Departamento de Centro de Convivencia /Dirección Jurídica/Coord.2. Dirección Jurídica")</f>
        <v>Centro de Convivencia Familiar/Jefatura del Departamento de Centro de Convivencia /Dirección Jurídica/Coord.2. Dirección Jurídica</v>
      </c>
      <c r="C603" s="89" t="str">
        <f ca="1">IFERROR(__xludf.DUMMYFUNCTION("""COMPUTED_VALUE"""),"2. Dirección Jurídica")</f>
        <v>2. Dirección Jurídica</v>
      </c>
      <c r="D603" s="89" t="str">
        <f ca="1">IFERROR(__xludf.DUMMYFUNCTION("""COMPUTED_VALUE"""),"Guadalajara: Capital de las niñas y los niños")</f>
        <v>Guadalajara: Capital de las niñas y los niños</v>
      </c>
      <c r="E603" s="89" t="str">
        <f ca="1">IFERROR(__xludf.DUMMYFUNCTION("""COMPUTED_VALUE"""),"Centro de Convivencia Familiar")</f>
        <v>Centro de Convivencia Familiar</v>
      </c>
      <c r="F603" s="89" t="str">
        <f ca="1">IFERROR(__xludf.DUMMYFUNCTION("""COMPUTED_VALUE"""),"A1C1. Convivencias supervisadas realizadas en CECOFAM en 2023")</f>
        <v>A1C1. Convivencias supervisadas realizadas en CECOFAM en 2023</v>
      </c>
      <c r="G603" s="89" t="str">
        <f ca="1">IFERROR(__xludf.DUMMYFUNCTION("""COMPUTED_VALUE"""),"Porcentaje de convivencias supervisadas realizadas de NNA y padres, madres o cuidadores en 2023")</f>
        <v>Porcentaje de convivencias supervisadas realizadas de NNA y padres, madres o cuidadores en 2023</v>
      </c>
      <c r="H603" s="89" t="str">
        <f ca="1">IFERROR(__xludf.DUMMYFUNCTION("""COMPUTED_VALUE"""),"Servicio")</f>
        <v>Servicio</v>
      </c>
      <c r="I603" s="89" t="str">
        <f ca="1">IFERROR(__xludf.DUMMYFUNCTION("""COMPUTED_VALUE"""),"Septiembre")</f>
        <v>Septiembre</v>
      </c>
      <c r="J603" s="89" t="str">
        <f ca="1">IFERROR(__xludf.DUMMYFUNCTION("""COMPUTED_VALUE"""),"N/A")</f>
        <v>N/A</v>
      </c>
      <c r="K603" s="92">
        <f ca="1">IFERROR(__xludf.DUMMYFUNCTION("""COMPUTED_VALUE"""),555)</f>
        <v>555</v>
      </c>
      <c r="L603" s="89" t="str">
        <f ca="1">IFERROR(__xludf.DUMMYFUNCTION("""COMPUTED_VALUE"""),"TRIMESTRE 3")</f>
        <v>TRIMESTRE 3</v>
      </c>
      <c r="M603" s="89" t="str">
        <f ca="1">IFERROR(__xludf.DUMMYFUNCTION("""COMPUTED_VALUE"""),"SERVICIOS")</f>
        <v>SERVICIOS</v>
      </c>
    </row>
    <row r="604" spans="1:13">
      <c r="A604" s="89" t="str">
        <f ca="1">IFERROR(__xludf.DUMMYFUNCTION("""COMPUTED_VALUE"""),"4.1.1.2")</f>
        <v>4.1.1.2</v>
      </c>
      <c r="B604" s="89" t="str">
        <f ca="1">IFERROR(__xludf.DUMMYFUNCTION("""COMPUTED_VALUE"""),"Centro de Convivencia Familiar/Jefatura del Departamento de Centro de Convivencia /Dirección Jurídica/Coord.2. Dirección Jurídica")</f>
        <v>Centro de Convivencia Familiar/Jefatura del Departamento de Centro de Convivencia /Dirección Jurídica/Coord.2. Dirección Jurídica</v>
      </c>
      <c r="C604" s="89" t="str">
        <f ca="1">IFERROR(__xludf.DUMMYFUNCTION("""COMPUTED_VALUE"""),"2. Dirección Jurídica")</f>
        <v>2. Dirección Jurídica</v>
      </c>
      <c r="D604" s="89" t="str">
        <f ca="1">IFERROR(__xludf.DUMMYFUNCTION("""COMPUTED_VALUE"""),"Guadalajara: Capital de las niñas y los niños")</f>
        <v>Guadalajara: Capital de las niñas y los niños</v>
      </c>
      <c r="E604" s="89" t="str">
        <f ca="1">IFERROR(__xludf.DUMMYFUNCTION("""COMPUTED_VALUE"""),"Centro de Convivencia Familiar")</f>
        <v>Centro de Convivencia Familiar</v>
      </c>
      <c r="F604" s="89" t="str">
        <f ca="1">IFERROR(__xludf.DUMMYFUNCTION("""COMPUTED_VALUE"""),"A2C1. Servicio de entrega recepción de NNA realizado en 2023")</f>
        <v>A2C1. Servicio de entrega recepción de NNA realizado en 2023</v>
      </c>
      <c r="G604" s="89" t="str">
        <f ca="1">IFERROR(__xludf.DUMMYFUNCTION("""COMPUTED_VALUE"""),"Porcentaje de servicios de entrega  y recepción de NNA en CECOFAM en 2023")</f>
        <v>Porcentaje de servicios de entrega  y recepción de NNA en CECOFAM en 2023</v>
      </c>
      <c r="H604" s="89" t="str">
        <f ca="1">IFERROR(__xludf.DUMMYFUNCTION("""COMPUTED_VALUE"""),"Servicio")</f>
        <v>Servicio</v>
      </c>
      <c r="I604" s="89" t="str">
        <f ca="1">IFERROR(__xludf.DUMMYFUNCTION("""COMPUTED_VALUE"""),"Septiembre")</f>
        <v>Septiembre</v>
      </c>
      <c r="J604" s="89" t="str">
        <f ca="1">IFERROR(__xludf.DUMMYFUNCTION("""COMPUTED_VALUE"""),"N/A")</f>
        <v>N/A</v>
      </c>
      <c r="K604" s="92">
        <f ca="1">IFERROR(__xludf.DUMMYFUNCTION("""COMPUTED_VALUE"""),238)</f>
        <v>238</v>
      </c>
      <c r="L604" s="89" t="str">
        <f ca="1">IFERROR(__xludf.DUMMYFUNCTION("""COMPUTED_VALUE"""),"TRIMESTRE 3")</f>
        <v>TRIMESTRE 3</v>
      </c>
      <c r="M604" s="89" t="str">
        <f ca="1">IFERROR(__xludf.DUMMYFUNCTION("""COMPUTED_VALUE"""),"SERVICIOS")</f>
        <v>SERVICIOS</v>
      </c>
    </row>
    <row r="605" spans="1:13">
      <c r="A605" s="89" t="str">
        <f ca="1">IFERROR(__xludf.DUMMYFUNCTION("""COMPUTED_VALUE"""),"4.1.1.0")</f>
        <v>4.1.1.0</v>
      </c>
      <c r="B605" s="89" t="str">
        <f ca="1">IFERROR(__xludf.DUMMYFUNCTION("""COMPUTED_VALUE"""),"Centro de Convivencia Familiar/Jefatura del Departamento de Centro de Convivencia /Dirección Jurídica/Coord.2. Dirección Jurídica")</f>
        <v>Centro de Convivencia Familiar/Jefatura del Departamento de Centro de Convivencia /Dirección Jurídica/Coord.2. Dirección Jurídica</v>
      </c>
      <c r="C605" s="89" t="str">
        <f ca="1">IFERROR(__xludf.DUMMYFUNCTION("""COMPUTED_VALUE"""),"2. Dirección Jurídica")</f>
        <v>2. Dirección Jurídica</v>
      </c>
      <c r="D605" s="89" t="str">
        <f ca="1">IFERROR(__xludf.DUMMYFUNCTION("""COMPUTED_VALUE"""),"Guadalajara: Capital de las niñas y los niños")</f>
        <v>Guadalajara: Capital de las niñas y los niños</v>
      </c>
      <c r="E605" s="89" t="str">
        <f ca="1">IFERROR(__xludf.DUMMYFUNCTION("""COMPUTED_VALUE"""),"Centro de Convivencia Familiar")</f>
        <v>Centro de Convivencia Familiar</v>
      </c>
      <c r="F605" s="89" t="str">
        <f ca="1">IFERROR(__xludf.DUMMYFUNCTION("""COMPUTED_VALUE"""),"C1. Servicios otorgados para la restituciòn del derecho a la sana convivencia entre padres, madres e hijas o hijos")</f>
        <v>C1. Servicios otorgados para la restituciòn del derecho a la sana convivencia entre padres, madres e hijas o hijos</v>
      </c>
      <c r="G605" s="89" t="str">
        <f ca="1">IFERROR(__xludf.DUMMYFUNCTION("""COMPUTED_VALUE"""),"Porcentaje de servicios a niñas, niños y adolescentes, y a sus progenitores que logran la convivencia en 2023")</f>
        <v>Porcentaje de servicios a niñas, niños y adolescentes, y a sus progenitores que logran la convivencia en 2023</v>
      </c>
      <c r="H605" s="89" t="str">
        <f ca="1">IFERROR(__xludf.DUMMYFUNCTION("""COMPUTED_VALUE"""),"Servicio")</f>
        <v>Servicio</v>
      </c>
      <c r="I605" s="89" t="str">
        <f ca="1">IFERROR(__xludf.DUMMYFUNCTION("""COMPUTED_VALUE"""),"Octubre")</f>
        <v>Octubre</v>
      </c>
      <c r="J605" s="89" t="str">
        <f ca="1">IFERROR(__xludf.DUMMYFUNCTION("""COMPUTED_VALUE"""),"N/A")</f>
        <v>N/A</v>
      </c>
      <c r="K605" s="92">
        <f ca="1">IFERROR(__xludf.DUMMYFUNCTION("""COMPUTED_VALUE"""),736)</f>
        <v>736</v>
      </c>
      <c r="L605" s="89" t="str">
        <f ca="1">IFERROR(__xludf.DUMMYFUNCTION("""COMPUTED_VALUE"""),"TRIMESTRE 4")</f>
        <v>TRIMESTRE 4</v>
      </c>
      <c r="M605" s="89" t="str">
        <f ca="1">IFERROR(__xludf.DUMMYFUNCTION("""COMPUTED_VALUE"""),"SERVICIOS")</f>
        <v>SERVICIOS</v>
      </c>
    </row>
    <row r="606" spans="1:13">
      <c r="A606" s="89" t="str">
        <f ca="1">IFERROR(__xludf.DUMMYFUNCTION("""COMPUTED_VALUE"""),"4.1.1.1")</f>
        <v>4.1.1.1</v>
      </c>
      <c r="B606" s="89" t="str">
        <f ca="1">IFERROR(__xludf.DUMMYFUNCTION("""COMPUTED_VALUE"""),"Centro de Convivencia Familiar/Jefatura del Departamento de Centro de Convivencia /Dirección Jurídica/Coord.2. Dirección Jurídica")</f>
        <v>Centro de Convivencia Familiar/Jefatura del Departamento de Centro de Convivencia /Dirección Jurídica/Coord.2. Dirección Jurídica</v>
      </c>
      <c r="C606" s="89" t="str">
        <f ca="1">IFERROR(__xludf.DUMMYFUNCTION("""COMPUTED_VALUE"""),"2. Dirección Jurídica")</f>
        <v>2. Dirección Jurídica</v>
      </c>
      <c r="D606" s="89" t="str">
        <f ca="1">IFERROR(__xludf.DUMMYFUNCTION("""COMPUTED_VALUE"""),"Guadalajara: Capital de las niñas y los niños")</f>
        <v>Guadalajara: Capital de las niñas y los niños</v>
      </c>
      <c r="E606" s="89" t="str">
        <f ca="1">IFERROR(__xludf.DUMMYFUNCTION("""COMPUTED_VALUE"""),"Centro de Convivencia Familiar")</f>
        <v>Centro de Convivencia Familiar</v>
      </c>
      <c r="F606" s="89" t="str">
        <f ca="1">IFERROR(__xludf.DUMMYFUNCTION("""COMPUTED_VALUE"""),"A1C1. Convivencias supervisadas realizadas en CECOFAM en 2023")</f>
        <v>A1C1. Convivencias supervisadas realizadas en CECOFAM en 2023</v>
      </c>
      <c r="G606" s="89" t="str">
        <f ca="1">IFERROR(__xludf.DUMMYFUNCTION("""COMPUTED_VALUE"""),"Porcentaje de convivencias supervisadas realizadas de NNA y padres, madres o cuidadores en 2023")</f>
        <v>Porcentaje de convivencias supervisadas realizadas de NNA y padres, madres o cuidadores en 2023</v>
      </c>
      <c r="H606" s="89" t="str">
        <f ca="1">IFERROR(__xludf.DUMMYFUNCTION("""COMPUTED_VALUE"""),"Servicio")</f>
        <v>Servicio</v>
      </c>
      <c r="I606" s="89" t="str">
        <f ca="1">IFERROR(__xludf.DUMMYFUNCTION("""COMPUTED_VALUE"""),"Octubre")</f>
        <v>Octubre</v>
      </c>
      <c r="J606" s="89" t="str">
        <f ca="1">IFERROR(__xludf.DUMMYFUNCTION("""COMPUTED_VALUE"""),"N/A")</f>
        <v>N/A</v>
      </c>
      <c r="K606" s="92">
        <f ca="1">IFERROR(__xludf.DUMMYFUNCTION("""COMPUTED_VALUE"""),527)</f>
        <v>527</v>
      </c>
      <c r="L606" s="89" t="str">
        <f ca="1">IFERROR(__xludf.DUMMYFUNCTION("""COMPUTED_VALUE"""),"TRIMESTRE 4")</f>
        <v>TRIMESTRE 4</v>
      </c>
      <c r="M606" s="89" t="str">
        <f ca="1">IFERROR(__xludf.DUMMYFUNCTION("""COMPUTED_VALUE"""),"SERVICIOS")</f>
        <v>SERVICIOS</v>
      </c>
    </row>
    <row r="607" spans="1:13">
      <c r="A607" s="89" t="str">
        <f ca="1">IFERROR(__xludf.DUMMYFUNCTION("""COMPUTED_VALUE"""),"4.1.1.2")</f>
        <v>4.1.1.2</v>
      </c>
      <c r="B607" s="89" t="str">
        <f ca="1">IFERROR(__xludf.DUMMYFUNCTION("""COMPUTED_VALUE"""),"Centro de Convivencia Familiar/Jefatura del Departamento de Centro de Convivencia /Dirección Jurídica/Coord.2. Dirección Jurídica")</f>
        <v>Centro de Convivencia Familiar/Jefatura del Departamento de Centro de Convivencia /Dirección Jurídica/Coord.2. Dirección Jurídica</v>
      </c>
      <c r="C607" s="89" t="str">
        <f ca="1">IFERROR(__xludf.DUMMYFUNCTION("""COMPUTED_VALUE"""),"2. Dirección Jurídica")</f>
        <v>2. Dirección Jurídica</v>
      </c>
      <c r="D607" s="89" t="str">
        <f ca="1">IFERROR(__xludf.DUMMYFUNCTION("""COMPUTED_VALUE"""),"Guadalajara: Capital de las niñas y los niños")</f>
        <v>Guadalajara: Capital de las niñas y los niños</v>
      </c>
      <c r="E607" s="89" t="str">
        <f ca="1">IFERROR(__xludf.DUMMYFUNCTION("""COMPUTED_VALUE"""),"Centro de Convivencia Familiar")</f>
        <v>Centro de Convivencia Familiar</v>
      </c>
      <c r="F607" s="89" t="str">
        <f ca="1">IFERROR(__xludf.DUMMYFUNCTION("""COMPUTED_VALUE"""),"A2C1. Servicio de entrega recepción de NNA realizado en 2023")</f>
        <v>A2C1. Servicio de entrega recepción de NNA realizado en 2023</v>
      </c>
      <c r="G607" s="89" t="str">
        <f ca="1">IFERROR(__xludf.DUMMYFUNCTION("""COMPUTED_VALUE"""),"Porcentaje de servicios de entrega  y recepción de NNA en CECOFAM en 2023")</f>
        <v>Porcentaje de servicios de entrega  y recepción de NNA en CECOFAM en 2023</v>
      </c>
      <c r="H607" s="89" t="str">
        <f ca="1">IFERROR(__xludf.DUMMYFUNCTION("""COMPUTED_VALUE"""),"Servicio")</f>
        <v>Servicio</v>
      </c>
      <c r="I607" s="89" t="str">
        <f ca="1">IFERROR(__xludf.DUMMYFUNCTION("""COMPUTED_VALUE"""),"Octubre")</f>
        <v>Octubre</v>
      </c>
      <c r="J607" s="89" t="str">
        <f ca="1">IFERROR(__xludf.DUMMYFUNCTION("""COMPUTED_VALUE"""),"N/A")</f>
        <v>N/A</v>
      </c>
      <c r="K607" s="92">
        <f ca="1">IFERROR(__xludf.DUMMYFUNCTION("""COMPUTED_VALUE"""),209)</f>
        <v>209</v>
      </c>
      <c r="L607" s="89" t="str">
        <f ca="1">IFERROR(__xludf.DUMMYFUNCTION("""COMPUTED_VALUE"""),"TRIMESTRE 4")</f>
        <v>TRIMESTRE 4</v>
      </c>
      <c r="M607" s="89" t="str">
        <f ca="1">IFERROR(__xludf.DUMMYFUNCTION("""COMPUTED_VALUE"""),"SERVICIOS")</f>
        <v>SERVICIOS</v>
      </c>
    </row>
    <row r="608" spans="1:13">
      <c r="A608" s="89" t="str">
        <f ca="1">IFERROR(__xludf.DUMMYFUNCTION("""COMPUTED_VALUE"""),"4.1.1.0")</f>
        <v>4.1.1.0</v>
      </c>
      <c r="B608" s="89" t="str">
        <f ca="1">IFERROR(__xludf.DUMMYFUNCTION("""COMPUTED_VALUE"""),"Centro de Convivencia Familiar/Jefatura del Departamento de Centro de Convivencia /Dirección Jurídica/Coord.2. Dirección Jurídica")</f>
        <v>Centro de Convivencia Familiar/Jefatura del Departamento de Centro de Convivencia /Dirección Jurídica/Coord.2. Dirección Jurídica</v>
      </c>
      <c r="C608" s="89" t="str">
        <f ca="1">IFERROR(__xludf.DUMMYFUNCTION("""COMPUTED_VALUE"""),"2. Dirección Jurídica")</f>
        <v>2. Dirección Jurídica</v>
      </c>
      <c r="D608" s="89" t="str">
        <f ca="1">IFERROR(__xludf.DUMMYFUNCTION("""COMPUTED_VALUE"""),"Guadalajara: Capital de las niñas y los niños")</f>
        <v>Guadalajara: Capital de las niñas y los niños</v>
      </c>
      <c r="E608" s="89" t="str">
        <f ca="1">IFERROR(__xludf.DUMMYFUNCTION("""COMPUTED_VALUE"""),"Centro de Convivencia Familiar")</f>
        <v>Centro de Convivencia Familiar</v>
      </c>
      <c r="F608" s="89" t="str">
        <f ca="1">IFERROR(__xludf.DUMMYFUNCTION("""COMPUTED_VALUE"""),"C1. Servicios otorgados para la restituciòn del derecho a la sana convivencia entre padres, madres e hijas o hijos")</f>
        <v>C1. Servicios otorgados para la restituciòn del derecho a la sana convivencia entre padres, madres e hijas o hijos</v>
      </c>
      <c r="G608" s="89" t="str">
        <f ca="1">IFERROR(__xludf.DUMMYFUNCTION("""COMPUTED_VALUE"""),"Porcentaje de servicios a niñas, niños y adolescentes, y a sus progenitores que logran la convivencia en 2023")</f>
        <v>Porcentaje de servicios a niñas, niños y adolescentes, y a sus progenitores que logran la convivencia en 2023</v>
      </c>
      <c r="H608" s="89" t="str">
        <f ca="1">IFERROR(__xludf.DUMMYFUNCTION("""COMPUTED_VALUE"""),"Servicio")</f>
        <v>Servicio</v>
      </c>
      <c r="I608" s="89" t="str">
        <f ca="1">IFERROR(__xludf.DUMMYFUNCTION("""COMPUTED_VALUE"""),"Noviembre")</f>
        <v>Noviembre</v>
      </c>
      <c r="J608" s="89" t="str">
        <f ca="1">IFERROR(__xludf.DUMMYFUNCTION("""COMPUTED_VALUE"""),"N/A")</f>
        <v>N/A</v>
      </c>
      <c r="K608" s="92">
        <f ca="1">IFERROR(__xludf.DUMMYFUNCTION("""COMPUTED_VALUE"""),801)</f>
        <v>801</v>
      </c>
      <c r="L608" s="89" t="str">
        <f ca="1">IFERROR(__xludf.DUMMYFUNCTION("""COMPUTED_VALUE"""),"TRIMESTRE 4")</f>
        <v>TRIMESTRE 4</v>
      </c>
      <c r="M608" s="89" t="str">
        <f ca="1">IFERROR(__xludf.DUMMYFUNCTION("""COMPUTED_VALUE"""),"SERVICIOS")</f>
        <v>SERVICIOS</v>
      </c>
    </row>
    <row r="609" spans="1:13">
      <c r="A609" s="89" t="str">
        <f ca="1">IFERROR(__xludf.DUMMYFUNCTION("""COMPUTED_VALUE"""),"4.1.1.1")</f>
        <v>4.1.1.1</v>
      </c>
      <c r="B609" s="89" t="str">
        <f ca="1">IFERROR(__xludf.DUMMYFUNCTION("""COMPUTED_VALUE"""),"Centro de Convivencia Familiar/Jefatura del Departamento de Centro de Convivencia /Dirección Jurídica/Coord.2. Dirección Jurídica")</f>
        <v>Centro de Convivencia Familiar/Jefatura del Departamento de Centro de Convivencia /Dirección Jurídica/Coord.2. Dirección Jurídica</v>
      </c>
      <c r="C609" s="89" t="str">
        <f ca="1">IFERROR(__xludf.DUMMYFUNCTION("""COMPUTED_VALUE"""),"2. Dirección Jurídica")</f>
        <v>2. Dirección Jurídica</v>
      </c>
      <c r="D609" s="89" t="str">
        <f ca="1">IFERROR(__xludf.DUMMYFUNCTION("""COMPUTED_VALUE"""),"Guadalajara: Capital de las niñas y los niños")</f>
        <v>Guadalajara: Capital de las niñas y los niños</v>
      </c>
      <c r="E609" s="89" t="str">
        <f ca="1">IFERROR(__xludf.DUMMYFUNCTION("""COMPUTED_VALUE"""),"Centro de Convivencia Familiar")</f>
        <v>Centro de Convivencia Familiar</v>
      </c>
      <c r="F609" s="89" t="str">
        <f ca="1">IFERROR(__xludf.DUMMYFUNCTION("""COMPUTED_VALUE"""),"A1C1. Convivencias supervisadas realizadas en CECOFAM en 2023")</f>
        <v>A1C1. Convivencias supervisadas realizadas en CECOFAM en 2023</v>
      </c>
      <c r="G609" s="89" t="str">
        <f ca="1">IFERROR(__xludf.DUMMYFUNCTION("""COMPUTED_VALUE"""),"Porcentaje de convivencias supervisadas realizadas de NNA y padres, madres o cuidadores en 2023")</f>
        <v>Porcentaje de convivencias supervisadas realizadas de NNA y padres, madres o cuidadores en 2023</v>
      </c>
      <c r="H609" s="89" t="str">
        <f ca="1">IFERROR(__xludf.DUMMYFUNCTION("""COMPUTED_VALUE"""),"Servicio")</f>
        <v>Servicio</v>
      </c>
      <c r="I609" s="89" t="str">
        <f ca="1">IFERROR(__xludf.DUMMYFUNCTION("""COMPUTED_VALUE"""),"Noviembre")</f>
        <v>Noviembre</v>
      </c>
      <c r="J609" s="89" t="str">
        <f ca="1">IFERROR(__xludf.DUMMYFUNCTION("""COMPUTED_VALUE"""),"N/A")</f>
        <v>N/A</v>
      </c>
      <c r="K609" s="92">
        <f ca="1">IFERROR(__xludf.DUMMYFUNCTION("""COMPUTED_VALUE"""),582)</f>
        <v>582</v>
      </c>
      <c r="L609" s="89" t="str">
        <f ca="1">IFERROR(__xludf.DUMMYFUNCTION("""COMPUTED_VALUE"""),"TRIMESTRE 4")</f>
        <v>TRIMESTRE 4</v>
      </c>
      <c r="M609" s="89" t="str">
        <f ca="1">IFERROR(__xludf.DUMMYFUNCTION("""COMPUTED_VALUE"""),"SERVICIOS")</f>
        <v>SERVICIOS</v>
      </c>
    </row>
    <row r="610" spans="1:13">
      <c r="A610" s="89" t="str">
        <f ca="1">IFERROR(__xludf.DUMMYFUNCTION("""COMPUTED_VALUE"""),"4.1.1.2")</f>
        <v>4.1.1.2</v>
      </c>
      <c r="B610" s="89" t="str">
        <f ca="1">IFERROR(__xludf.DUMMYFUNCTION("""COMPUTED_VALUE"""),"Centro de Convivencia Familiar/Jefatura del Departamento de Centro de Convivencia /Dirección Jurídica/Coord.2. Dirección Jurídica")</f>
        <v>Centro de Convivencia Familiar/Jefatura del Departamento de Centro de Convivencia /Dirección Jurídica/Coord.2. Dirección Jurídica</v>
      </c>
      <c r="C610" s="89" t="str">
        <f ca="1">IFERROR(__xludf.DUMMYFUNCTION("""COMPUTED_VALUE"""),"2. Dirección Jurídica")</f>
        <v>2. Dirección Jurídica</v>
      </c>
      <c r="D610" s="89" t="str">
        <f ca="1">IFERROR(__xludf.DUMMYFUNCTION("""COMPUTED_VALUE"""),"Guadalajara: Capital de las niñas y los niños")</f>
        <v>Guadalajara: Capital de las niñas y los niños</v>
      </c>
      <c r="E610" s="89" t="str">
        <f ca="1">IFERROR(__xludf.DUMMYFUNCTION("""COMPUTED_VALUE"""),"Centro de Convivencia Familiar")</f>
        <v>Centro de Convivencia Familiar</v>
      </c>
      <c r="F610" s="89" t="str">
        <f ca="1">IFERROR(__xludf.DUMMYFUNCTION("""COMPUTED_VALUE"""),"A2C1. Servicio de entrega recepción de NNA realizado en 2023")</f>
        <v>A2C1. Servicio de entrega recepción de NNA realizado en 2023</v>
      </c>
      <c r="G610" s="89" t="str">
        <f ca="1">IFERROR(__xludf.DUMMYFUNCTION("""COMPUTED_VALUE"""),"Porcentaje de servicios de entrega  y recepción de NNA en CECOFAM en 2023")</f>
        <v>Porcentaje de servicios de entrega  y recepción de NNA en CECOFAM en 2023</v>
      </c>
      <c r="H610" s="89" t="str">
        <f ca="1">IFERROR(__xludf.DUMMYFUNCTION("""COMPUTED_VALUE"""),"Servicio")</f>
        <v>Servicio</v>
      </c>
      <c r="I610" s="89" t="str">
        <f ca="1">IFERROR(__xludf.DUMMYFUNCTION("""COMPUTED_VALUE"""),"Noviembre")</f>
        <v>Noviembre</v>
      </c>
      <c r="J610" s="89" t="str">
        <f ca="1">IFERROR(__xludf.DUMMYFUNCTION("""COMPUTED_VALUE"""),"N/A")</f>
        <v>N/A</v>
      </c>
      <c r="K610" s="92">
        <f ca="1">IFERROR(__xludf.DUMMYFUNCTION("""COMPUTED_VALUE"""),219)</f>
        <v>219</v>
      </c>
      <c r="L610" s="89" t="str">
        <f ca="1">IFERROR(__xludf.DUMMYFUNCTION("""COMPUTED_VALUE"""),"TRIMESTRE 4")</f>
        <v>TRIMESTRE 4</v>
      </c>
      <c r="M610" s="89" t="str">
        <f ca="1">IFERROR(__xludf.DUMMYFUNCTION("""COMPUTED_VALUE"""),"SERVICIOS")</f>
        <v>SERVICIOS</v>
      </c>
    </row>
    <row r="611" spans="1:13">
      <c r="A611" s="89" t="str">
        <f ca="1">IFERROR(__xludf.DUMMYFUNCTION("""COMPUTED_VALUE"""),"4.1.1.0")</f>
        <v>4.1.1.0</v>
      </c>
      <c r="B611" s="89" t="str">
        <f ca="1">IFERROR(__xludf.DUMMYFUNCTION("""COMPUTED_VALUE"""),"Centro de Convivencia Familiar/Jefatura del Departamento de Centro de Convivencia /Dirección Jurídica/Coord.2. Dirección Jurídica")</f>
        <v>Centro de Convivencia Familiar/Jefatura del Departamento de Centro de Convivencia /Dirección Jurídica/Coord.2. Dirección Jurídica</v>
      </c>
      <c r="C611" s="89" t="str">
        <f ca="1">IFERROR(__xludf.DUMMYFUNCTION("""COMPUTED_VALUE"""),"2. Dirección Jurídica")</f>
        <v>2. Dirección Jurídica</v>
      </c>
      <c r="D611" s="89" t="str">
        <f ca="1">IFERROR(__xludf.DUMMYFUNCTION("""COMPUTED_VALUE"""),"Guadalajara: Capital de las niñas y los niños")</f>
        <v>Guadalajara: Capital de las niñas y los niños</v>
      </c>
      <c r="E611" s="89" t="str">
        <f ca="1">IFERROR(__xludf.DUMMYFUNCTION("""COMPUTED_VALUE"""),"Centro de Convivencia Familiar")</f>
        <v>Centro de Convivencia Familiar</v>
      </c>
      <c r="F611" s="89" t="str">
        <f ca="1">IFERROR(__xludf.DUMMYFUNCTION("""COMPUTED_VALUE"""),"C1. Servicios otorgados para la restituciòn del derecho a la sana convivencia entre padres, madres e hijas o hijos")</f>
        <v>C1. Servicios otorgados para la restituciòn del derecho a la sana convivencia entre padres, madres e hijas o hijos</v>
      </c>
      <c r="G611" s="89" t="str">
        <f ca="1">IFERROR(__xludf.DUMMYFUNCTION("""COMPUTED_VALUE"""),"Porcentaje de servicios a niñas, niños y adolescentes, y a sus progenitores que logran la convivencia en 2023")</f>
        <v>Porcentaje de servicios a niñas, niños y adolescentes, y a sus progenitores que logran la convivencia en 2023</v>
      </c>
      <c r="H611" s="89" t="str">
        <f ca="1">IFERROR(__xludf.DUMMYFUNCTION("""COMPUTED_VALUE"""),"Servicio")</f>
        <v>Servicio</v>
      </c>
      <c r="I611" s="89" t="str">
        <f ca="1">IFERROR(__xludf.DUMMYFUNCTION("""COMPUTED_VALUE"""),"Diciembre")</f>
        <v>Diciembre</v>
      </c>
      <c r="J611" s="89" t="str">
        <f ca="1">IFERROR(__xludf.DUMMYFUNCTION("""COMPUTED_VALUE"""),"N/A")</f>
        <v>N/A</v>
      </c>
      <c r="K611" s="92">
        <f ca="1">IFERROR(__xludf.DUMMYFUNCTION("""COMPUTED_VALUE"""),764)</f>
        <v>764</v>
      </c>
      <c r="L611" s="89" t="str">
        <f ca="1">IFERROR(__xludf.DUMMYFUNCTION("""COMPUTED_VALUE"""),"TRIMESTRE 4")</f>
        <v>TRIMESTRE 4</v>
      </c>
      <c r="M611" s="89" t="str">
        <f ca="1">IFERROR(__xludf.DUMMYFUNCTION("""COMPUTED_VALUE"""),"SERVICIOS")</f>
        <v>SERVICIOS</v>
      </c>
    </row>
    <row r="612" spans="1:13">
      <c r="A612" s="89" t="str">
        <f ca="1">IFERROR(__xludf.DUMMYFUNCTION("""COMPUTED_VALUE"""),"4.1.1.1")</f>
        <v>4.1.1.1</v>
      </c>
      <c r="B612" s="89" t="str">
        <f ca="1">IFERROR(__xludf.DUMMYFUNCTION("""COMPUTED_VALUE"""),"Centro de Convivencia Familiar/Jefatura del Departamento de Centro de Convivencia /Dirección Jurídica/Coord.2. Dirección Jurídica")</f>
        <v>Centro de Convivencia Familiar/Jefatura del Departamento de Centro de Convivencia /Dirección Jurídica/Coord.2. Dirección Jurídica</v>
      </c>
      <c r="C612" s="89" t="str">
        <f ca="1">IFERROR(__xludf.DUMMYFUNCTION("""COMPUTED_VALUE"""),"2. Dirección Jurídica")</f>
        <v>2. Dirección Jurídica</v>
      </c>
      <c r="D612" s="89" t="str">
        <f ca="1">IFERROR(__xludf.DUMMYFUNCTION("""COMPUTED_VALUE"""),"Guadalajara: Capital de las niñas y los niños")</f>
        <v>Guadalajara: Capital de las niñas y los niños</v>
      </c>
      <c r="E612" s="89" t="str">
        <f ca="1">IFERROR(__xludf.DUMMYFUNCTION("""COMPUTED_VALUE"""),"Centro de Convivencia Familiar")</f>
        <v>Centro de Convivencia Familiar</v>
      </c>
      <c r="F612" s="89" t="str">
        <f ca="1">IFERROR(__xludf.DUMMYFUNCTION("""COMPUTED_VALUE"""),"A1C1. Convivencias supervisadas realizadas en CECOFAM en 2023")</f>
        <v>A1C1. Convivencias supervisadas realizadas en CECOFAM en 2023</v>
      </c>
      <c r="G612" s="89" t="str">
        <f ca="1">IFERROR(__xludf.DUMMYFUNCTION("""COMPUTED_VALUE"""),"Porcentaje de convivencias supervisadas realizadas de NNA y padres, madres o cuidadores en 2023")</f>
        <v>Porcentaje de convivencias supervisadas realizadas de NNA y padres, madres o cuidadores en 2023</v>
      </c>
      <c r="H612" s="89" t="str">
        <f ca="1">IFERROR(__xludf.DUMMYFUNCTION("""COMPUTED_VALUE"""),"Servicio")</f>
        <v>Servicio</v>
      </c>
      <c r="I612" s="89" t="str">
        <f ca="1">IFERROR(__xludf.DUMMYFUNCTION("""COMPUTED_VALUE"""),"Diciembre")</f>
        <v>Diciembre</v>
      </c>
      <c r="J612" s="89" t="str">
        <f ca="1">IFERROR(__xludf.DUMMYFUNCTION("""COMPUTED_VALUE"""),"N/A")</f>
        <v>N/A</v>
      </c>
      <c r="K612" s="92">
        <f ca="1">IFERROR(__xludf.DUMMYFUNCTION("""COMPUTED_VALUE"""),565)</f>
        <v>565</v>
      </c>
      <c r="L612" s="89" t="str">
        <f ca="1">IFERROR(__xludf.DUMMYFUNCTION("""COMPUTED_VALUE"""),"TRIMESTRE 4")</f>
        <v>TRIMESTRE 4</v>
      </c>
      <c r="M612" s="89" t="str">
        <f ca="1">IFERROR(__xludf.DUMMYFUNCTION("""COMPUTED_VALUE"""),"SERVICIOS")</f>
        <v>SERVICIOS</v>
      </c>
    </row>
    <row r="613" spans="1:13">
      <c r="A613" s="89" t="str">
        <f ca="1">IFERROR(__xludf.DUMMYFUNCTION("""COMPUTED_VALUE"""),"4.1.1.2")</f>
        <v>4.1.1.2</v>
      </c>
      <c r="B613" s="89" t="str">
        <f ca="1">IFERROR(__xludf.DUMMYFUNCTION("""COMPUTED_VALUE"""),"Centro de Convivencia Familiar/Jefatura del Departamento de Centro de Convivencia /Dirección Jurídica/Coord.2. Dirección Jurídica")</f>
        <v>Centro de Convivencia Familiar/Jefatura del Departamento de Centro de Convivencia /Dirección Jurídica/Coord.2. Dirección Jurídica</v>
      </c>
      <c r="C613" s="89" t="str">
        <f ca="1">IFERROR(__xludf.DUMMYFUNCTION("""COMPUTED_VALUE"""),"2. Dirección Jurídica")</f>
        <v>2. Dirección Jurídica</v>
      </c>
      <c r="D613" s="89" t="str">
        <f ca="1">IFERROR(__xludf.DUMMYFUNCTION("""COMPUTED_VALUE"""),"Guadalajara: Capital de las niñas y los niños")</f>
        <v>Guadalajara: Capital de las niñas y los niños</v>
      </c>
      <c r="E613" s="89" t="str">
        <f ca="1">IFERROR(__xludf.DUMMYFUNCTION("""COMPUTED_VALUE"""),"Centro de Convivencia Familiar")</f>
        <v>Centro de Convivencia Familiar</v>
      </c>
      <c r="F613" s="89" t="str">
        <f ca="1">IFERROR(__xludf.DUMMYFUNCTION("""COMPUTED_VALUE"""),"A2C1. Servicio de entrega recepción de NNA realizado en 2023")</f>
        <v>A2C1. Servicio de entrega recepción de NNA realizado en 2023</v>
      </c>
      <c r="G613" s="89" t="str">
        <f ca="1">IFERROR(__xludf.DUMMYFUNCTION("""COMPUTED_VALUE"""),"Porcentaje de servicios de entrega  y recepción de NNA en CECOFAM en 2023")</f>
        <v>Porcentaje de servicios de entrega  y recepción de NNA en CECOFAM en 2023</v>
      </c>
      <c r="H613" s="89" t="str">
        <f ca="1">IFERROR(__xludf.DUMMYFUNCTION("""COMPUTED_VALUE"""),"Servicio")</f>
        <v>Servicio</v>
      </c>
      <c r="I613" s="89" t="str">
        <f ca="1">IFERROR(__xludf.DUMMYFUNCTION("""COMPUTED_VALUE"""),"Diciembre")</f>
        <v>Diciembre</v>
      </c>
      <c r="J613" s="89" t="str">
        <f ca="1">IFERROR(__xludf.DUMMYFUNCTION("""COMPUTED_VALUE"""),"N/A")</f>
        <v>N/A</v>
      </c>
      <c r="K613" s="92">
        <f ca="1">IFERROR(__xludf.DUMMYFUNCTION("""COMPUTED_VALUE"""),199)</f>
        <v>199</v>
      </c>
      <c r="L613" s="89" t="str">
        <f ca="1">IFERROR(__xludf.DUMMYFUNCTION("""COMPUTED_VALUE"""),"TRIMESTRE 4")</f>
        <v>TRIMESTRE 4</v>
      </c>
      <c r="M613" s="89" t="str">
        <f ca="1">IFERROR(__xludf.DUMMYFUNCTION("""COMPUTED_VALUE"""),"SERVICIOS")</f>
        <v>SERVICIOS</v>
      </c>
    </row>
    <row r="614" spans="1:13">
      <c r="A614" s="89" t="str">
        <f ca="1">IFERROR(__xludf.DUMMYFUNCTION("""COMPUTED_VALUE"""),"4.1.2.0")</f>
        <v>4.1.2.0</v>
      </c>
      <c r="B614" s="89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614" s="89" t="str">
        <f ca="1">IFERROR(__xludf.DUMMYFUNCTION("""COMPUTED_VALUE"""),"4. Programas")</f>
        <v>4. Programas</v>
      </c>
      <c r="D614" s="89" t="str">
        <f ca="1">IFERROR(__xludf.DUMMYFUNCTION("""COMPUTED_VALUE"""),"Guadalajara: Capital de las niñas y los niños")</f>
        <v>Guadalajara: Capital de las niñas y los niños</v>
      </c>
      <c r="E614" s="89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614" s="89" t="str">
        <f ca="1">IFERROR(__xludf.DUMMYFUNCTION("""COMPUTED_VALUE"""),"C2. Servicios brindados a niñas, niños y adolescentes con riesgo psicosocial ")</f>
        <v xml:space="preserve">C2. Servicios brindados a niñas, niños y adolescentes con riesgo psicosocial </v>
      </c>
      <c r="G614" s="89" t="str">
        <f ca="1">IFERROR(__xludf.DUMMYFUNCTION("""COMPUTED_VALUE"""),"Porcentaje de servicios brindados a NNA en el programa de prevención, atención y acompañamiento de NNA en situación de riesgo y violencias en 2023")</f>
        <v>Porcentaje de servicios brindados a NNA en el programa de prevención, atención y acompañamiento de NNA en situación de riesgo y violencias en 2023</v>
      </c>
      <c r="H614" s="89" t="str">
        <f ca="1">IFERROR(__xludf.DUMMYFUNCTION("""COMPUTED_VALUE"""),"Servicio")</f>
        <v>Servicio</v>
      </c>
      <c r="I614" s="89" t="str">
        <f ca="1">IFERROR(__xludf.DUMMYFUNCTION("""COMPUTED_VALUE"""),"Enero")</f>
        <v>Enero</v>
      </c>
      <c r="J614" s="89" t="str">
        <f ca="1">IFERROR(__xludf.DUMMYFUNCTION("""COMPUTED_VALUE"""),"N/A")</f>
        <v>N/A</v>
      </c>
      <c r="K614" s="92">
        <f ca="1">IFERROR(__xludf.DUMMYFUNCTION("""COMPUTED_VALUE"""),554)</f>
        <v>554</v>
      </c>
      <c r="L614" s="89" t="str">
        <f ca="1">IFERROR(__xludf.DUMMYFUNCTION("""COMPUTED_VALUE"""),"TRIMESTRE 1")</f>
        <v>TRIMESTRE 1</v>
      </c>
      <c r="M614" s="89" t="str">
        <f ca="1">IFERROR(__xludf.DUMMYFUNCTION("""COMPUTED_VALUE"""),"SERVICIOS")</f>
        <v>SERVICIOS</v>
      </c>
    </row>
    <row r="615" spans="1:13">
      <c r="A615" s="89" t="str">
        <f ca="1">IFERROR(__xludf.DUMMYFUNCTION("""COMPUTED_VALUE"""),"4.1.2.1")</f>
        <v>4.1.2.1</v>
      </c>
      <c r="B615" s="89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615" s="89" t="str">
        <f ca="1">IFERROR(__xludf.DUMMYFUNCTION("""COMPUTED_VALUE"""),"4. Programas")</f>
        <v>4. Programas</v>
      </c>
      <c r="D615" s="89" t="str">
        <f ca="1">IFERROR(__xludf.DUMMYFUNCTION("""COMPUTED_VALUE"""),"Guadalajara: Capital de las niñas y los niños")</f>
        <v>Guadalajara: Capital de las niñas y los niños</v>
      </c>
      <c r="E615" s="89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615" s="89" t="str">
        <f ca="1">IFERROR(__xludf.DUMMYFUNCTION("""COMPUTED_VALUE"""),"A1C2. Impartición de sesiones en promoción de derechos de NNA")</f>
        <v>A1C2. Impartición de sesiones en promoción de derechos de NNA</v>
      </c>
      <c r="G615" s="89" t="str">
        <f ca="1">IFERROR(__xludf.DUMMYFUNCTION("""COMPUTED_VALUE"""),"Porcentaje de sesiones de talleres impartidos para NNA en 2023")</f>
        <v>Porcentaje de sesiones de talleres impartidos para NNA en 2023</v>
      </c>
      <c r="H615" s="89" t="str">
        <f ca="1">IFERROR(__xludf.DUMMYFUNCTION("""COMPUTED_VALUE"""),"Servicio")</f>
        <v>Servicio</v>
      </c>
      <c r="I615" s="89" t="str">
        <f ca="1">IFERROR(__xludf.DUMMYFUNCTION("""COMPUTED_VALUE"""),"Enero")</f>
        <v>Enero</v>
      </c>
      <c r="J615" s="89" t="str">
        <f ca="1">IFERROR(__xludf.DUMMYFUNCTION("""COMPUTED_VALUE"""),"N/A")</f>
        <v>N/A</v>
      </c>
      <c r="K615" s="92">
        <f ca="1">IFERROR(__xludf.DUMMYFUNCTION("""COMPUTED_VALUE"""),31)</f>
        <v>31</v>
      </c>
      <c r="L615" s="89" t="str">
        <f ca="1">IFERROR(__xludf.DUMMYFUNCTION("""COMPUTED_VALUE"""),"TRIMESTRE 1")</f>
        <v>TRIMESTRE 1</v>
      </c>
      <c r="M615" s="89" t="str">
        <f ca="1">IFERROR(__xludf.DUMMYFUNCTION("""COMPUTED_VALUE"""),"SERVICIOS")</f>
        <v>SERVICIOS</v>
      </c>
    </row>
    <row r="616" spans="1:13">
      <c r="A616" s="89" t="str">
        <f ca="1">IFERROR(__xludf.DUMMYFUNCTION("""COMPUTED_VALUE"""),"4.1.2.0")</f>
        <v>4.1.2.0</v>
      </c>
      <c r="B616" s="89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616" s="89" t="str">
        <f ca="1">IFERROR(__xludf.DUMMYFUNCTION("""COMPUTED_VALUE"""),"4. Programas")</f>
        <v>4. Programas</v>
      </c>
      <c r="D616" s="89" t="str">
        <f ca="1">IFERROR(__xludf.DUMMYFUNCTION("""COMPUTED_VALUE"""),"Guadalajara: Capital de las niñas y los niños")</f>
        <v>Guadalajara: Capital de las niñas y los niños</v>
      </c>
      <c r="E616" s="89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616" s="89" t="str">
        <f ca="1">IFERROR(__xludf.DUMMYFUNCTION("""COMPUTED_VALUE"""),"C2. Servicios brindados a niñas, niños y adolescentes con riesgo psicosocial ")</f>
        <v xml:space="preserve">C2. Servicios brindados a niñas, niños y adolescentes con riesgo psicosocial </v>
      </c>
      <c r="G616" s="89" t="str">
        <f ca="1">IFERROR(__xludf.DUMMYFUNCTION("""COMPUTED_VALUE"""),"Porcentaje de servicios brindados a NNA en el programa de prevención, atención y acompañamiento de NNA en situación de riesgo y violencias en 2023")</f>
        <v>Porcentaje de servicios brindados a NNA en el programa de prevención, atención y acompañamiento de NNA en situación de riesgo y violencias en 2023</v>
      </c>
      <c r="H616" s="89" t="str">
        <f ca="1">IFERROR(__xludf.DUMMYFUNCTION("""COMPUTED_VALUE"""),"Servicio")</f>
        <v>Servicio</v>
      </c>
      <c r="I616" s="89" t="str">
        <f ca="1">IFERROR(__xludf.DUMMYFUNCTION("""COMPUTED_VALUE"""),"Febrero")</f>
        <v>Febrero</v>
      </c>
      <c r="J616" s="89" t="str">
        <f ca="1">IFERROR(__xludf.DUMMYFUNCTION("""COMPUTED_VALUE"""),"N/A")</f>
        <v>N/A</v>
      </c>
      <c r="K616" s="92">
        <f ca="1">IFERROR(__xludf.DUMMYFUNCTION("""COMPUTED_VALUE"""),550)</f>
        <v>550</v>
      </c>
      <c r="L616" s="89" t="str">
        <f ca="1">IFERROR(__xludf.DUMMYFUNCTION("""COMPUTED_VALUE"""),"TRIMESTRE 1")</f>
        <v>TRIMESTRE 1</v>
      </c>
      <c r="M616" s="89" t="str">
        <f ca="1">IFERROR(__xludf.DUMMYFUNCTION("""COMPUTED_VALUE"""),"SERVICIOS")</f>
        <v>SERVICIOS</v>
      </c>
    </row>
    <row r="617" spans="1:13">
      <c r="A617" s="89" t="str">
        <f ca="1">IFERROR(__xludf.DUMMYFUNCTION("""COMPUTED_VALUE"""),"4.1.2.1")</f>
        <v>4.1.2.1</v>
      </c>
      <c r="B617" s="89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617" s="89" t="str">
        <f ca="1">IFERROR(__xludf.DUMMYFUNCTION("""COMPUTED_VALUE"""),"4. Programas")</f>
        <v>4. Programas</v>
      </c>
      <c r="D617" s="89" t="str">
        <f ca="1">IFERROR(__xludf.DUMMYFUNCTION("""COMPUTED_VALUE"""),"Guadalajara: Capital de las niñas y los niños")</f>
        <v>Guadalajara: Capital de las niñas y los niños</v>
      </c>
      <c r="E617" s="89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617" s="89" t="str">
        <f ca="1">IFERROR(__xludf.DUMMYFUNCTION("""COMPUTED_VALUE"""),"A1C2. Impartición de sesiones en promoción de derechos de NNA")</f>
        <v>A1C2. Impartición de sesiones en promoción de derechos de NNA</v>
      </c>
      <c r="G617" s="89" t="str">
        <f ca="1">IFERROR(__xludf.DUMMYFUNCTION("""COMPUTED_VALUE"""),"Porcentaje de sesiones de talleres impartidos para NNA en 2023")</f>
        <v>Porcentaje de sesiones de talleres impartidos para NNA en 2023</v>
      </c>
      <c r="H617" s="89" t="str">
        <f ca="1">IFERROR(__xludf.DUMMYFUNCTION("""COMPUTED_VALUE"""),"Servicio")</f>
        <v>Servicio</v>
      </c>
      <c r="I617" s="89" t="str">
        <f ca="1">IFERROR(__xludf.DUMMYFUNCTION("""COMPUTED_VALUE"""),"Febrero")</f>
        <v>Febrero</v>
      </c>
      <c r="J617" s="89" t="str">
        <f ca="1">IFERROR(__xludf.DUMMYFUNCTION("""COMPUTED_VALUE"""),"N/A")</f>
        <v>N/A</v>
      </c>
      <c r="K617" s="92">
        <f ca="1">IFERROR(__xludf.DUMMYFUNCTION("""COMPUTED_VALUE"""),110)</f>
        <v>110</v>
      </c>
      <c r="L617" s="89" t="str">
        <f ca="1">IFERROR(__xludf.DUMMYFUNCTION("""COMPUTED_VALUE"""),"TRIMESTRE 1")</f>
        <v>TRIMESTRE 1</v>
      </c>
      <c r="M617" s="89" t="str">
        <f ca="1">IFERROR(__xludf.DUMMYFUNCTION("""COMPUTED_VALUE"""),"SERVICIOS")</f>
        <v>SERVICIOS</v>
      </c>
    </row>
    <row r="618" spans="1:13">
      <c r="A618" s="89" t="str">
        <f ca="1">IFERROR(__xludf.DUMMYFUNCTION("""COMPUTED_VALUE"""),"4.1.2.0")</f>
        <v>4.1.2.0</v>
      </c>
      <c r="B618" s="89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618" s="89" t="str">
        <f ca="1">IFERROR(__xludf.DUMMYFUNCTION("""COMPUTED_VALUE"""),"4. Programas")</f>
        <v>4. Programas</v>
      </c>
      <c r="D618" s="89" t="str">
        <f ca="1">IFERROR(__xludf.DUMMYFUNCTION("""COMPUTED_VALUE"""),"Guadalajara: Capital de las niñas y los niños")</f>
        <v>Guadalajara: Capital de las niñas y los niños</v>
      </c>
      <c r="E618" s="89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618" s="89" t="str">
        <f ca="1">IFERROR(__xludf.DUMMYFUNCTION("""COMPUTED_VALUE"""),"C2. Servicios brindados a niñas, niños y adolescentes con riesgo psicosocial ")</f>
        <v xml:space="preserve">C2. Servicios brindados a niñas, niños y adolescentes con riesgo psicosocial </v>
      </c>
      <c r="G618" s="89" t="str">
        <f ca="1">IFERROR(__xludf.DUMMYFUNCTION("""COMPUTED_VALUE"""),"Porcentaje de servicios brindados a NNA en el programa de prevención, atención y acompañamiento de NNA en situación de riesgo y violencias en 2023")</f>
        <v>Porcentaje de servicios brindados a NNA en el programa de prevención, atención y acompañamiento de NNA en situación de riesgo y violencias en 2023</v>
      </c>
      <c r="H618" s="89" t="str">
        <f ca="1">IFERROR(__xludf.DUMMYFUNCTION("""COMPUTED_VALUE"""),"Servicio")</f>
        <v>Servicio</v>
      </c>
      <c r="I618" s="89" t="str">
        <f ca="1">IFERROR(__xludf.DUMMYFUNCTION("""COMPUTED_VALUE"""),"Marzo")</f>
        <v>Marzo</v>
      </c>
      <c r="J618" s="89" t="str">
        <f ca="1">IFERROR(__xludf.DUMMYFUNCTION("""COMPUTED_VALUE"""),"N/A")</f>
        <v>N/A</v>
      </c>
      <c r="K618" s="92">
        <f ca="1">IFERROR(__xludf.DUMMYFUNCTION("""COMPUTED_VALUE"""),712)</f>
        <v>712</v>
      </c>
      <c r="L618" s="89" t="str">
        <f ca="1">IFERROR(__xludf.DUMMYFUNCTION("""COMPUTED_VALUE"""),"TRIMESTRE 1")</f>
        <v>TRIMESTRE 1</v>
      </c>
      <c r="M618" s="89" t="str">
        <f ca="1">IFERROR(__xludf.DUMMYFUNCTION("""COMPUTED_VALUE"""),"SERVICIOS")</f>
        <v>SERVICIOS</v>
      </c>
    </row>
    <row r="619" spans="1:13">
      <c r="A619" s="89" t="str">
        <f ca="1">IFERROR(__xludf.DUMMYFUNCTION("""COMPUTED_VALUE"""),"4.1.2.1")</f>
        <v>4.1.2.1</v>
      </c>
      <c r="B619" s="89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619" s="89" t="str">
        <f ca="1">IFERROR(__xludf.DUMMYFUNCTION("""COMPUTED_VALUE"""),"4. Programas")</f>
        <v>4. Programas</v>
      </c>
      <c r="D619" s="89" t="str">
        <f ca="1">IFERROR(__xludf.DUMMYFUNCTION("""COMPUTED_VALUE"""),"Guadalajara: Capital de las niñas y los niños")</f>
        <v>Guadalajara: Capital de las niñas y los niños</v>
      </c>
      <c r="E619" s="89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619" s="89" t="str">
        <f ca="1">IFERROR(__xludf.DUMMYFUNCTION("""COMPUTED_VALUE"""),"A1C2. Impartición de sesiones en promoción de derechos de NNA")</f>
        <v>A1C2. Impartición de sesiones en promoción de derechos de NNA</v>
      </c>
      <c r="G619" s="89" t="str">
        <f ca="1">IFERROR(__xludf.DUMMYFUNCTION("""COMPUTED_VALUE"""),"Porcentaje de sesiones de talleres impartidos para NNA en 2023")</f>
        <v>Porcentaje de sesiones de talleres impartidos para NNA en 2023</v>
      </c>
      <c r="H619" s="89" t="str">
        <f ca="1">IFERROR(__xludf.DUMMYFUNCTION("""COMPUTED_VALUE"""),"Servicio")</f>
        <v>Servicio</v>
      </c>
      <c r="I619" s="89" t="str">
        <f ca="1">IFERROR(__xludf.DUMMYFUNCTION("""COMPUTED_VALUE"""),"Marzo")</f>
        <v>Marzo</v>
      </c>
      <c r="J619" s="89" t="str">
        <f ca="1">IFERROR(__xludf.DUMMYFUNCTION("""COMPUTED_VALUE"""),"N/A")</f>
        <v>N/A</v>
      </c>
      <c r="K619" s="92">
        <f ca="1">IFERROR(__xludf.DUMMYFUNCTION("""COMPUTED_VALUE"""),266)</f>
        <v>266</v>
      </c>
      <c r="L619" s="89" t="str">
        <f ca="1">IFERROR(__xludf.DUMMYFUNCTION("""COMPUTED_VALUE"""),"TRIMESTRE 1")</f>
        <v>TRIMESTRE 1</v>
      </c>
      <c r="M619" s="89" t="str">
        <f ca="1">IFERROR(__xludf.DUMMYFUNCTION("""COMPUTED_VALUE"""),"SERVICIOS")</f>
        <v>SERVICIOS</v>
      </c>
    </row>
    <row r="620" spans="1:13">
      <c r="A620" s="89" t="str">
        <f ca="1">IFERROR(__xludf.DUMMYFUNCTION("""COMPUTED_VALUE"""),"4.1.2.0")</f>
        <v>4.1.2.0</v>
      </c>
      <c r="B620" s="89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620" s="89" t="str">
        <f ca="1">IFERROR(__xludf.DUMMYFUNCTION("""COMPUTED_VALUE"""),"4. Programas")</f>
        <v>4. Programas</v>
      </c>
      <c r="D620" s="89" t="str">
        <f ca="1">IFERROR(__xludf.DUMMYFUNCTION("""COMPUTED_VALUE"""),"Guadalajara: Capital de las niñas y los niños")</f>
        <v>Guadalajara: Capital de las niñas y los niños</v>
      </c>
      <c r="E620" s="89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620" s="89" t="str">
        <f ca="1">IFERROR(__xludf.DUMMYFUNCTION("""COMPUTED_VALUE"""),"C2. Servicios brindados a niñas, niños y adolescentes con riesgo psicosocial ")</f>
        <v xml:space="preserve">C2. Servicios brindados a niñas, niños y adolescentes con riesgo psicosocial </v>
      </c>
      <c r="G620" s="89" t="str">
        <f ca="1">IFERROR(__xludf.DUMMYFUNCTION("""COMPUTED_VALUE"""),"Porcentaje de servicios brindados a NNA en el programa de prevención, atención y acompañamiento de NNA en situación de riesgo y violencias en 2023")</f>
        <v>Porcentaje de servicios brindados a NNA en el programa de prevención, atención y acompañamiento de NNA en situación de riesgo y violencias en 2023</v>
      </c>
      <c r="H620" s="89" t="str">
        <f ca="1">IFERROR(__xludf.DUMMYFUNCTION("""COMPUTED_VALUE"""),"Servicio")</f>
        <v>Servicio</v>
      </c>
      <c r="I620" s="89" t="str">
        <f ca="1">IFERROR(__xludf.DUMMYFUNCTION("""COMPUTED_VALUE"""),"Abril")</f>
        <v>Abril</v>
      </c>
      <c r="J620" s="89" t="str">
        <f ca="1">IFERROR(__xludf.DUMMYFUNCTION("""COMPUTED_VALUE"""),"N/A")</f>
        <v>N/A</v>
      </c>
      <c r="K620" s="92">
        <f ca="1">IFERROR(__xludf.DUMMYFUNCTION("""COMPUTED_VALUE"""),305)</f>
        <v>305</v>
      </c>
      <c r="L620" s="89" t="str">
        <f ca="1">IFERROR(__xludf.DUMMYFUNCTION("""COMPUTED_VALUE"""),"TRIMESTRE 2")</f>
        <v>TRIMESTRE 2</v>
      </c>
      <c r="M620" s="89" t="str">
        <f ca="1">IFERROR(__xludf.DUMMYFUNCTION("""COMPUTED_VALUE"""),"SERVICIOS")</f>
        <v>SERVICIOS</v>
      </c>
    </row>
    <row r="621" spans="1:13">
      <c r="A621" s="89" t="str">
        <f ca="1">IFERROR(__xludf.DUMMYFUNCTION("""COMPUTED_VALUE"""),"4.1.2.1")</f>
        <v>4.1.2.1</v>
      </c>
      <c r="B621" s="89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621" s="89" t="str">
        <f ca="1">IFERROR(__xludf.DUMMYFUNCTION("""COMPUTED_VALUE"""),"4. Programas")</f>
        <v>4. Programas</v>
      </c>
      <c r="D621" s="89" t="str">
        <f ca="1">IFERROR(__xludf.DUMMYFUNCTION("""COMPUTED_VALUE"""),"Guadalajara: Capital de las niñas y los niños")</f>
        <v>Guadalajara: Capital de las niñas y los niños</v>
      </c>
      <c r="E621" s="89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621" s="89" t="str">
        <f ca="1">IFERROR(__xludf.DUMMYFUNCTION("""COMPUTED_VALUE"""),"A1C2. Impartición de sesiones en promoción de derechos de NNA")</f>
        <v>A1C2. Impartición de sesiones en promoción de derechos de NNA</v>
      </c>
      <c r="G621" s="89" t="str">
        <f ca="1">IFERROR(__xludf.DUMMYFUNCTION("""COMPUTED_VALUE"""),"Porcentaje de sesiones de talleres impartidos para NNA en 2023")</f>
        <v>Porcentaje de sesiones de talleres impartidos para NNA en 2023</v>
      </c>
      <c r="H621" s="89" t="str">
        <f ca="1">IFERROR(__xludf.DUMMYFUNCTION("""COMPUTED_VALUE"""),"Servicio")</f>
        <v>Servicio</v>
      </c>
      <c r="I621" s="89" t="str">
        <f ca="1">IFERROR(__xludf.DUMMYFUNCTION("""COMPUTED_VALUE"""),"Abril")</f>
        <v>Abril</v>
      </c>
      <c r="J621" s="89" t="str">
        <f ca="1">IFERROR(__xludf.DUMMYFUNCTION("""COMPUTED_VALUE"""),"N/A")</f>
        <v>N/A</v>
      </c>
      <c r="K621" s="92">
        <f ca="1">IFERROR(__xludf.DUMMYFUNCTION("""COMPUTED_VALUE"""),90)</f>
        <v>90</v>
      </c>
      <c r="L621" s="89" t="str">
        <f ca="1">IFERROR(__xludf.DUMMYFUNCTION("""COMPUTED_VALUE"""),"TRIMESTRE 2")</f>
        <v>TRIMESTRE 2</v>
      </c>
      <c r="M621" s="89" t="str">
        <f ca="1">IFERROR(__xludf.DUMMYFUNCTION("""COMPUTED_VALUE"""),"SERVICIOS")</f>
        <v>SERVICIOS</v>
      </c>
    </row>
    <row r="622" spans="1:13">
      <c r="A622" s="89" t="str">
        <f ca="1">IFERROR(__xludf.DUMMYFUNCTION("""COMPUTED_VALUE"""),"4.1.2.0")</f>
        <v>4.1.2.0</v>
      </c>
      <c r="B622" s="89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622" s="89" t="str">
        <f ca="1">IFERROR(__xludf.DUMMYFUNCTION("""COMPUTED_VALUE"""),"4. Programas")</f>
        <v>4. Programas</v>
      </c>
      <c r="D622" s="89" t="str">
        <f ca="1">IFERROR(__xludf.DUMMYFUNCTION("""COMPUTED_VALUE"""),"Guadalajara: Capital de las niñas y los niños")</f>
        <v>Guadalajara: Capital de las niñas y los niños</v>
      </c>
      <c r="E622" s="89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622" s="89" t="str">
        <f ca="1">IFERROR(__xludf.DUMMYFUNCTION("""COMPUTED_VALUE"""),"C2. Servicios brindados a niñas, niños y adolescentes con riesgo psicosocial ")</f>
        <v xml:space="preserve">C2. Servicios brindados a niñas, niños y adolescentes con riesgo psicosocial </v>
      </c>
      <c r="G622" s="89" t="str">
        <f ca="1">IFERROR(__xludf.DUMMYFUNCTION("""COMPUTED_VALUE"""),"Porcentaje de servicios brindados a NNA en el programa de prevención, atención y acompañamiento de NNA en situación de riesgo y violencias en 2023")</f>
        <v>Porcentaje de servicios brindados a NNA en el programa de prevención, atención y acompañamiento de NNA en situación de riesgo y violencias en 2023</v>
      </c>
      <c r="H622" s="89" t="str">
        <f ca="1">IFERROR(__xludf.DUMMYFUNCTION("""COMPUTED_VALUE"""),"Servicio")</f>
        <v>Servicio</v>
      </c>
      <c r="I622" s="89" t="str">
        <f ca="1">IFERROR(__xludf.DUMMYFUNCTION("""COMPUTED_VALUE"""),"Mayo")</f>
        <v>Mayo</v>
      </c>
      <c r="J622" s="89" t="str">
        <f ca="1">IFERROR(__xludf.DUMMYFUNCTION("""COMPUTED_VALUE"""),"N/A")</f>
        <v>N/A</v>
      </c>
      <c r="K622" s="92">
        <f ca="1">IFERROR(__xludf.DUMMYFUNCTION("""COMPUTED_VALUE"""),824)</f>
        <v>824</v>
      </c>
      <c r="L622" s="89" t="str">
        <f ca="1">IFERROR(__xludf.DUMMYFUNCTION("""COMPUTED_VALUE"""),"TRIMESTRE 2")</f>
        <v>TRIMESTRE 2</v>
      </c>
      <c r="M622" s="89" t="str">
        <f ca="1">IFERROR(__xludf.DUMMYFUNCTION("""COMPUTED_VALUE"""),"SERVICIOS")</f>
        <v>SERVICIOS</v>
      </c>
    </row>
    <row r="623" spans="1:13">
      <c r="A623" s="89" t="str">
        <f ca="1">IFERROR(__xludf.DUMMYFUNCTION("""COMPUTED_VALUE"""),"4.1.2.1")</f>
        <v>4.1.2.1</v>
      </c>
      <c r="B623" s="89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623" s="89" t="str">
        <f ca="1">IFERROR(__xludf.DUMMYFUNCTION("""COMPUTED_VALUE"""),"4. Programas")</f>
        <v>4. Programas</v>
      </c>
      <c r="D623" s="89" t="str">
        <f ca="1">IFERROR(__xludf.DUMMYFUNCTION("""COMPUTED_VALUE"""),"Guadalajara: Capital de las niñas y los niños")</f>
        <v>Guadalajara: Capital de las niñas y los niños</v>
      </c>
      <c r="E623" s="89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623" s="89" t="str">
        <f ca="1">IFERROR(__xludf.DUMMYFUNCTION("""COMPUTED_VALUE"""),"A1C2. Impartición de sesiones en promoción de derechos de NNA")</f>
        <v>A1C2. Impartición de sesiones en promoción de derechos de NNA</v>
      </c>
      <c r="G623" s="89" t="str">
        <f ca="1">IFERROR(__xludf.DUMMYFUNCTION("""COMPUTED_VALUE"""),"Porcentaje de sesiones de talleres impartidos para NNA en 2023")</f>
        <v>Porcentaje de sesiones de talleres impartidos para NNA en 2023</v>
      </c>
      <c r="H623" s="89" t="str">
        <f ca="1">IFERROR(__xludf.DUMMYFUNCTION("""COMPUTED_VALUE"""),"Servicio")</f>
        <v>Servicio</v>
      </c>
      <c r="I623" s="89" t="str">
        <f ca="1">IFERROR(__xludf.DUMMYFUNCTION("""COMPUTED_VALUE"""),"Mayo")</f>
        <v>Mayo</v>
      </c>
      <c r="J623" s="89" t="str">
        <f ca="1">IFERROR(__xludf.DUMMYFUNCTION("""COMPUTED_VALUE"""),"N/A")</f>
        <v>N/A</v>
      </c>
      <c r="K623" s="92">
        <f ca="1">IFERROR(__xludf.DUMMYFUNCTION("""COMPUTED_VALUE"""),259)</f>
        <v>259</v>
      </c>
      <c r="L623" s="89" t="str">
        <f ca="1">IFERROR(__xludf.DUMMYFUNCTION("""COMPUTED_VALUE"""),"TRIMESTRE 2")</f>
        <v>TRIMESTRE 2</v>
      </c>
      <c r="M623" s="89" t="str">
        <f ca="1">IFERROR(__xludf.DUMMYFUNCTION("""COMPUTED_VALUE"""),"SERVICIOS")</f>
        <v>SERVICIOS</v>
      </c>
    </row>
    <row r="624" spans="1:13">
      <c r="A624" s="89" t="str">
        <f ca="1">IFERROR(__xludf.DUMMYFUNCTION("""COMPUTED_VALUE"""),"4.1.2.0")</f>
        <v>4.1.2.0</v>
      </c>
      <c r="B624" s="89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624" s="89" t="str">
        <f ca="1">IFERROR(__xludf.DUMMYFUNCTION("""COMPUTED_VALUE"""),"4. Programas")</f>
        <v>4. Programas</v>
      </c>
      <c r="D624" s="89" t="str">
        <f ca="1">IFERROR(__xludf.DUMMYFUNCTION("""COMPUTED_VALUE"""),"Guadalajara: Capital de las niñas y los niños")</f>
        <v>Guadalajara: Capital de las niñas y los niños</v>
      </c>
      <c r="E624" s="89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624" s="89" t="str">
        <f ca="1">IFERROR(__xludf.DUMMYFUNCTION("""COMPUTED_VALUE"""),"C2. Servicios brindados a niñas, niños y adolescentes con riesgo psicosocial ")</f>
        <v xml:space="preserve">C2. Servicios brindados a niñas, niños y adolescentes con riesgo psicosocial </v>
      </c>
      <c r="G624" s="89" t="str">
        <f ca="1">IFERROR(__xludf.DUMMYFUNCTION("""COMPUTED_VALUE"""),"Porcentaje de servicios brindados a NNA en el programa de prevención, atención y acompañamiento de NNA en situación de riesgo y violencias en 2023")</f>
        <v>Porcentaje de servicios brindados a NNA en el programa de prevención, atención y acompañamiento de NNA en situación de riesgo y violencias en 2023</v>
      </c>
      <c r="H624" s="89" t="str">
        <f ca="1">IFERROR(__xludf.DUMMYFUNCTION("""COMPUTED_VALUE"""),"Servicio")</f>
        <v>Servicio</v>
      </c>
      <c r="I624" s="89" t="str">
        <f ca="1">IFERROR(__xludf.DUMMYFUNCTION("""COMPUTED_VALUE"""),"Junio")</f>
        <v>Junio</v>
      </c>
      <c r="J624" s="89" t="str">
        <f ca="1">IFERROR(__xludf.DUMMYFUNCTION("""COMPUTED_VALUE"""),"N/A")</f>
        <v>N/A</v>
      </c>
      <c r="K624" s="92">
        <f ca="1">IFERROR(__xludf.DUMMYFUNCTION("""COMPUTED_VALUE"""),1056)</f>
        <v>1056</v>
      </c>
      <c r="L624" s="89" t="str">
        <f ca="1">IFERROR(__xludf.DUMMYFUNCTION("""COMPUTED_VALUE"""),"TRIMESTRE 2")</f>
        <v>TRIMESTRE 2</v>
      </c>
      <c r="M624" s="89" t="str">
        <f ca="1">IFERROR(__xludf.DUMMYFUNCTION("""COMPUTED_VALUE"""),"SERVICIOS")</f>
        <v>SERVICIOS</v>
      </c>
    </row>
    <row r="625" spans="1:13">
      <c r="A625" s="89" t="str">
        <f ca="1">IFERROR(__xludf.DUMMYFUNCTION("""COMPUTED_VALUE"""),"4.1.2.1")</f>
        <v>4.1.2.1</v>
      </c>
      <c r="B625" s="89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625" s="89" t="str">
        <f ca="1">IFERROR(__xludf.DUMMYFUNCTION("""COMPUTED_VALUE"""),"4. Programas")</f>
        <v>4. Programas</v>
      </c>
      <c r="D625" s="89" t="str">
        <f ca="1">IFERROR(__xludf.DUMMYFUNCTION("""COMPUTED_VALUE"""),"Guadalajara: Capital de las niñas y los niños")</f>
        <v>Guadalajara: Capital de las niñas y los niños</v>
      </c>
      <c r="E625" s="89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625" s="89" t="str">
        <f ca="1">IFERROR(__xludf.DUMMYFUNCTION("""COMPUTED_VALUE"""),"A1C2. Impartición de sesiones en promoción de derechos de NNA")</f>
        <v>A1C2. Impartición de sesiones en promoción de derechos de NNA</v>
      </c>
      <c r="G625" s="89" t="str">
        <f ca="1">IFERROR(__xludf.DUMMYFUNCTION("""COMPUTED_VALUE"""),"Porcentaje de sesiones de talleres impartidos para NNA en 2023")</f>
        <v>Porcentaje de sesiones de talleres impartidos para NNA en 2023</v>
      </c>
      <c r="H625" s="89" t="str">
        <f ca="1">IFERROR(__xludf.DUMMYFUNCTION("""COMPUTED_VALUE"""),"Servicio")</f>
        <v>Servicio</v>
      </c>
      <c r="I625" s="89" t="str">
        <f ca="1">IFERROR(__xludf.DUMMYFUNCTION("""COMPUTED_VALUE"""),"Junio")</f>
        <v>Junio</v>
      </c>
      <c r="J625" s="89" t="str">
        <f ca="1">IFERROR(__xludf.DUMMYFUNCTION("""COMPUTED_VALUE"""),"N/A")</f>
        <v>N/A</v>
      </c>
      <c r="K625" s="92">
        <f ca="1">IFERROR(__xludf.DUMMYFUNCTION("""COMPUTED_VALUE"""),239)</f>
        <v>239</v>
      </c>
      <c r="L625" s="89" t="str">
        <f ca="1">IFERROR(__xludf.DUMMYFUNCTION("""COMPUTED_VALUE"""),"TRIMESTRE 2")</f>
        <v>TRIMESTRE 2</v>
      </c>
      <c r="M625" s="89" t="str">
        <f ca="1">IFERROR(__xludf.DUMMYFUNCTION("""COMPUTED_VALUE"""),"SERVICIOS")</f>
        <v>SERVICIOS</v>
      </c>
    </row>
    <row r="626" spans="1:13">
      <c r="A626" s="89" t="str">
        <f ca="1">IFERROR(__xludf.DUMMYFUNCTION("""COMPUTED_VALUE"""),"4.1.2.0")</f>
        <v>4.1.2.0</v>
      </c>
      <c r="B626" s="89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626" s="89" t="str">
        <f ca="1">IFERROR(__xludf.DUMMYFUNCTION("""COMPUTED_VALUE"""),"4. Programas")</f>
        <v>4. Programas</v>
      </c>
      <c r="D626" s="89" t="str">
        <f ca="1">IFERROR(__xludf.DUMMYFUNCTION("""COMPUTED_VALUE"""),"Guadalajara: Capital de las niñas y los niños")</f>
        <v>Guadalajara: Capital de las niñas y los niños</v>
      </c>
      <c r="E626" s="89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626" s="89" t="str">
        <f ca="1">IFERROR(__xludf.DUMMYFUNCTION("""COMPUTED_VALUE"""),"C2. Servicios brindados a niñas, niños y adolescentes con riesgo psicosocial ")</f>
        <v xml:space="preserve">C2. Servicios brindados a niñas, niños y adolescentes con riesgo psicosocial </v>
      </c>
      <c r="G626" s="89" t="str">
        <f ca="1">IFERROR(__xludf.DUMMYFUNCTION("""COMPUTED_VALUE"""),"Porcentaje de servicios brindados a NNA en el programa de prevención, atención y acompañamiento de NNA en situación de riesgo y violencias en 2023")</f>
        <v>Porcentaje de servicios brindados a NNA en el programa de prevención, atención y acompañamiento de NNA en situación de riesgo y violencias en 2023</v>
      </c>
      <c r="H626" s="89" t="str">
        <f ca="1">IFERROR(__xludf.DUMMYFUNCTION("""COMPUTED_VALUE"""),"Servicio")</f>
        <v>Servicio</v>
      </c>
      <c r="I626" s="89" t="str">
        <f ca="1">IFERROR(__xludf.DUMMYFUNCTION("""COMPUTED_VALUE"""),"Julio")</f>
        <v>Julio</v>
      </c>
      <c r="J626" s="89" t="str">
        <f ca="1">IFERROR(__xludf.DUMMYFUNCTION("""COMPUTED_VALUE"""),"N/A")</f>
        <v>N/A</v>
      </c>
      <c r="K626" s="92">
        <f ca="1">IFERROR(__xludf.DUMMYFUNCTION("""COMPUTED_VALUE"""),1033)</f>
        <v>1033</v>
      </c>
      <c r="L626" s="89" t="str">
        <f ca="1">IFERROR(__xludf.DUMMYFUNCTION("""COMPUTED_VALUE"""),"TRIMESTRE 3")</f>
        <v>TRIMESTRE 3</v>
      </c>
      <c r="M626" s="89" t="str">
        <f ca="1">IFERROR(__xludf.DUMMYFUNCTION("""COMPUTED_VALUE"""),"SERVICIOS")</f>
        <v>SERVICIOS</v>
      </c>
    </row>
    <row r="627" spans="1:13">
      <c r="A627" s="89" t="str">
        <f ca="1">IFERROR(__xludf.DUMMYFUNCTION("""COMPUTED_VALUE"""),"4.1.2.1")</f>
        <v>4.1.2.1</v>
      </c>
      <c r="B627" s="89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627" s="89" t="str">
        <f ca="1">IFERROR(__xludf.DUMMYFUNCTION("""COMPUTED_VALUE"""),"4. Programas")</f>
        <v>4. Programas</v>
      </c>
      <c r="D627" s="89" t="str">
        <f ca="1">IFERROR(__xludf.DUMMYFUNCTION("""COMPUTED_VALUE"""),"Guadalajara: Capital de las niñas y los niños")</f>
        <v>Guadalajara: Capital de las niñas y los niños</v>
      </c>
      <c r="E627" s="89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627" s="89" t="str">
        <f ca="1">IFERROR(__xludf.DUMMYFUNCTION("""COMPUTED_VALUE"""),"A1C2. Impartición de sesiones en promoción de derechos de NNA")</f>
        <v>A1C2. Impartición de sesiones en promoción de derechos de NNA</v>
      </c>
      <c r="G627" s="89" t="str">
        <f ca="1">IFERROR(__xludf.DUMMYFUNCTION("""COMPUTED_VALUE"""),"Porcentaje de sesiones de talleres impartidos para NNA en 2023")</f>
        <v>Porcentaje de sesiones de talleres impartidos para NNA en 2023</v>
      </c>
      <c r="H627" s="89" t="str">
        <f ca="1">IFERROR(__xludf.DUMMYFUNCTION("""COMPUTED_VALUE"""),"Servicio")</f>
        <v>Servicio</v>
      </c>
      <c r="I627" s="89" t="str">
        <f ca="1">IFERROR(__xludf.DUMMYFUNCTION("""COMPUTED_VALUE"""),"Julio")</f>
        <v>Julio</v>
      </c>
      <c r="J627" s="89" t="str">
        <f ca="1">IFERROR(__xludf.DUMMYFUNCTION("""COMPUTED_VALUE"""),"N/A")</f>
        <v>N/A</v>
      </c>
      <c r="K627" s="92">
        <f ca="1">IFERROR(__xludf.DUMMYFUNCTION("""COMPUTED_VALUE"""),300)</f>
        <v>300</v>
      </c>
      <c r="L627" s="89" t="str">
        <f ca="1">IFERROR(__xludf.DUMMYFUNCTION("""COMPUTED_VALUE"""),"TRIMESTRE 3")</f>
        <v>TRIMESTRE 3</v>
      </c>
      <c r="M627" s="89" t="str">
        <f ca="1">IFERROR(__xludf.DUMMYFUNCTION("""COMPUTED_VALUE"""),"SERVICIOS")</f>
        <v>SERVICIOS</v>
      </c>
    </row>
    <row r="628" spans="1:13">
      <c r="A628" s="89" t="str">
        <f ca="1">IFERROR(__xludf.DUMMYFUNCTION("""COMPUTED_VALUE"""),"4.1.2.0")</f>
        <v>4.1.2.0</v>
      </c>
      <c r="B628" s="89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628" s="89" t="str">
        <f ca="1">IFERROR(__xludf.DUMMYFUNCTION("""COMPUTED_VALUE"""),"4. Programas")</f>
        <v>4. Programas</v>
      </c>
      <c r="D628" s="89" t="str">
        <f ca="1">IFERROR(__xludf.DUMMYFUNCTION("""COMPUTED_VALUE"""),"Guadalajara: Capital de las niñas y los niños")</f>
        <v>Guadalajara: Capital de las niñas y los niños</v>
      </c>
      <c r="E628" s="89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628" s="89" t="str">
        <f ca="1">IFERROR(__xludf.DUMMYFUNCTION("""COMPUTED_VALUE"""),"C2. Servicios brindados a niñas, niños y adolescentes con riesgo psicosocial ")</f>
        <v xml:space="preserve">C2. Servicios brindados a niñas, niños y adolescentes con riesgo psicosocial </v>
      </c>
      <c r="G628" s="89" t="str">
        <f ca="1">IFERROR(__xludf.DUMMYFUNCTION("""COMPUTED_VALUE"""),"Porcentaje de servicios brindados a NNA en el programa de prevención, atención y acompañamiento de NNA en situación de riesgo y violencias en 2023")</f>
        <v>Porcentaje de servicios brindados a NNA en el programa de prevención, atención y acompañamiento de NNA en situación de riesgo y violencias en 2023</v>
      </c>
      <c r="H628" s="89" t="str">
        <f ca="1">IFERROR(__xludf.DUMMYFUNCTION("""COMPUTED_VALUE"""),"Servicio")</f>
        <v>Servicio</v>
      </c>
      <c r="I628" s="89" t="str">
        <f ca="1">IFERROR(__xludf.DUMMYFUNCTION("""COMPUTED_VALUE"""),"Agosto")</f>
        <v>Agosto</v>
      </c>
      <c r="J628" s="89" t="str">
        <f ca="1">IFERROR(__xludf.DUMMYFUNCTION("""COMPUTED_VALUE"""),"N/A")</f>
        <v>N/A</v>
      </c>
      <c r="K628" s="92">
        <f ca="1">IFERROR(__xludf.DUMMYFUNCTION("""COMPUTED_VALUE"""),1384)</f>
        <v>1384</v>
      </c>
      <c r="L628" s="89" t="str">
        <f ca="1">IFERROR(__xludf.DUMMYFUNCTION("""COMPUTED_VALUE"""),"TRIMESTRE 3")</f>
        <v>TRIMESTRE 3</v>
      </c>
      <c r="M628" s="89" t="str">
        <f ca="1">IFERROR(__xludf.DUMMYFUNCTION("""COMPUTED_VALUE"""),"SERVICIOS")</f>
        <v>SERVICIOS</v>
      </c>
    </row>
    <row r="629" spans="1:13">
      <c r="A629" s="89" t="str">
        <f ca="1">IFERROR(__xludf.DUMMYFUNCTION("""COMPUTED_VALUE"""),"4.1.2.1")</f>
        <v>4.1.2.1</v>
      </c>
      <c r="B629" s="89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629" s="89" t="str">
        <f ca="1">IFERROR(__xludf.DUMMYFUNCTION("""COMPUTED_VALUE"""),"4. Programas")</f>
        <v>4. Programas</v>
      </c>
      <c r="D629" s="89" t="str">
        <f ca="1">IFERROR(__xludf.DUMMYFUNCTION("""COMPUTED_VALUE"""),"Guadalajara: Capital de las niñas y los niños")</f>
        <v>Guadalajara: Capital de las niñas y los niños</v>
      </c>
      <c r="E629" s="89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629" s="89" t="str">
        <f ca="1">IFERROR(__xludf.DUMMYFUNCTION("""COMPUTED_VALUE"""),"A1C2. Impartición de sesiones en promoción de derechos de NNA")</f>
        <v>A1C2. Impartición de sesiones en promoción de derechos de NNA</v>
      </c>
      <c r="G629" s="89" t="str">
        <f ca="1">IFERROR(__xludf.DUMMYFUNCTION("""COMPUTED_VALUE"""),"Porcentaje de sesiones de talleres impartidos para NNA en 2023")</f>
        <v>Porcentaje de sesiones de talleres impartidos para NNA en 2023</v>
      </c>
      <c r="H629" s="89" t="str">
        <f ca="1">IFERROR(__xludf.DUMMYFUNCTION("""COMPUTED_VALUE"""),"Servicio")</f>
        <v>Servicio</v>
      </c>
      <c r="I629" s="89" t="str">
        <f ca="1">IFERROR(__xludf.DUMMYFUNCTION("""COMPUTED_VALUE"""),"Agosto")</f>
        <v>Agosto</v>
      </c>
      <c r="J629" s="89" t="str">
        <f ca="1">IFERROR(__xludf.DUMMYFUNCTION("""COMPUTED_VALUE"""),"N/A")</f>
        <v>N/A</v>
      </c>
      <c r="K629" s="92">
        <f ca="1">IFERROR(__xludf.DUMMYFUNCTION("""COMPUTED_VALUE"""),456)</f>
        <v>456</v>
      </c>
      <c r="L629" s="89" t="str">
        <f ca="1">IFERROR(__xludf.DUMMYFUNCTION("""COMPUTED_VALUE"""),"TRIMESTRE 3")</f>
        <v>TRIMESTRE 3</v>
      </c>
      <c r="M629" s="89" t="str">
        <f ca="1">IFERROR(__xludf.DUMMYFUNCTION("""COMPUTED_VALUE"""),"SERVICIOS")</f>
        <v>SERVICIOS</v>
      </c>
    </row>
    <row r="630" spans="1:13">
      <c r="A630" s="89" t="str">
        <f ca="1">IFERROR(__xludf.DUMMYFUNCTION("""COMPUTED_VALUE"""),"4.1.2.0")</f>
        <v>4.1.2.0</v>
      </c>
      <c r="B630" s="89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630" s="89" t="str">
        <f ca="1">IFERROR(__xludf.DUMMYFUNCTION("""COMPUTED_VALUE"""),"4. Programas")</f>
        <v>4. Programas</v>
      </c>
      <c r="D630" s="89" t="str">
        <f ca="1">IFERROR(__xludf.DUMMYFUNCTION("""COMPUTED_VALUE"""),"Guadalajara: Capital de las niñas y los niños")</f>
        <v>Guadalajara: Capital de las niñas y los niños</v>
      </c>
      <c r="E630" s="89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630" s="89" t="str">
        <f ca="1">IFERROR(__xludf.DUMMYFUNCTION("""COMPUTED_VALUE"""),"C2. Servicios brindados a niñas, niños y adolescentes con riesgo psicosocial ")</f>
        <v xml:space="preserve">C2. Servicios brindados a niñas, niños y adolescentes con riesgo psicosocial </v>
      </c>
      <c r="G630" s="89" t="str">
        <f ca="1">IFERROR(__xludf.DUMMYFUNCTION("""COMPUTED_VALUE"""),"Porcentaje de servicios brindados a NNA en el programa de prevención, atención y acompañamiento de NNA en situación de riesgo y violencias en 2023")</f>
        <v>Porcentaje de servicios brindados a NNA en el programa de prevención, atención y acompañamiento de NNA en situación de riesgo y violencias en 2023</v>
      </c>
      <c r="H630" s="89" t="str">
        <f ca="1">IFERROR(__xludf.DUMMYFUNCTION("""COMPUTED_VALUE"""),"Servicio")</f>
        <v>Servicio</v>
      </c>
      <c r="I630" s="89" t="str">
        <f ca="1">IFERROR(__xludf.DUMMYFUNCTION("""COMPUTED_VALUE"""),"Septiembre")</f>
        <v>Septiembre</v>
      </c>
      <c r="J630" s="89" t="str">
        <f ca="1">IFERROR(__xludf.DUMMYFUNCTION("""COMPUTED_VALUE"""),"N/A")</f>
        <v>N/A</v>
      </c>
      <c r="K630" s="92">
        <f ca="1">IFERROR(__xludf.DUMMYFUNCTION("""COMPUTED_VALUE"""),1364)</f>
        <v>1364</v>
      </c>
      <c r="L630" s="89" t="str">
        <f ca="1">IFERROR(__xludf.DUMMYFUNCTION("""COMPUTED_VALUE"""),"TRIMESTRE 3")</f>
        <v>TRIMESTRE 3</v>
      </c>
      <c r="M630" s="89" t="str">
        <f ca="1">IFERROR(__xludf.DUMMYFUNCTION("""COMPUTED_VALUE"""),"SERVICIOS")</f>
        <v>SERVICIOS</v>
      </c>
    </row>
    <row r="631" spans="1:13">
      <c r="A631" s="89" t="str">
        <f ca="1">IFERROR(__xludf.DUMMYFUNCTION("""COMPUTED_VALUE"""),"4.1.2.1")</f>
        <v>4.1.2.1</v>
      </c>
      <c r="B631" s="89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631" s="89" t="str">
        <f ca="1">IFERROR(__xludf.DUMMYFUNCTION("""COMPUTED_VALUE"""),"4. Programas")</f>
        <v>4. Programas</v>
      </c>
      <c r="D631" s="89" t="str">
        <f ca="1">IFERROR(__xludf.DUMMYFUNCTION("""COMPUTED_VALUE"""),"Guadalajara: Capital de las niñas y los niños")</f>
        <v>Guadalajara: Capital de las niñas y los niños</v>
      </c>
      <c r="E631" s="89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631" s="89" t="str">
        <f ca="1">IFERROR(__xludf.DUMMYFUNCTION("""COMPUTED_VALUE"""),"A1C2. Impartición de sesiones en promoción de derechos de NNA")</f>
        <v>A1C2. Impartición de sesiones en promoción de derechos de NNA</v>
      </c>
      <c r="G631" s="89" t="str">
        <f ca="1">IFERROR(__xludf.DUMMYFUNCTION("""COMPUTED_VALUE"""),"Porcentaje de sesiones de talleres impartidos para NNA en 2023")</f>
        <v>Porcentaje de sesiones de talleres impartidos para NNA en 2023</v>
      </c>
      <c r="H631" s="89" t="str">
        <f ca="1">IFERROR(__xludf.DUMMYFUNCTION("""COMPUTED_VALUE"""),"Servicio")</f>
        <v>Servicio</v>
      </c>
      <c r="I631" s="89" t="str">
        <f ca="1">IFERROR(__xludf.DUMMYFUNCTION("""COMPUTED_VALUE"""),"Septiembre")</f>
        <v>Septiembre</v>
      </c>
      <c r="J631" s="89" t="str">
        <f ca="1">IFERROR(__xludf.DUMMYFUNCTION("""COMPUTED_VALUE"""),"N/A")</f>
        <v>N/A</v>
      </c>
      <c r="K631" s="92">
        <f ca="1">IFERROR(__xludf.DUMMYFUNCTION("""COMPUTED_VALUE"""),366)</f>
        <v>366</v>
      </c>
      <c r="L631" s="89" t="str">
        <f ca="1">IFERROR(__xludf.DUMMYFUNCTION("""COMPUTED_VALUE"""),"TRIMESTRE 3")</f>
        <v>TRIMESTRE 3</v>
      </c>
      <c r="M631" s="89" t="str">
        <f ca="1">IFERROR(__xludf.DUMMYFUNCTION("""COMPUTED_VALUE"""),"SERVICIOS")</f>
        <v>SERVICIOS</v>
      </c>
    </row>
    <row r="632" spans="1:13">
      <c r="A632" s="89" t="str">
        <f ca="1">IFERROR(__xludf.DUMMYFUNCTION("""COMPUTED_VALUE"""),"4.1.2.0")</f>
        <v>4.1.2.0</v>
      </c>
      <c r="B632" s="89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632" s="89" t="str">
        <f ca="1">IFERROR(__xludf.DUMMYFUNCTION("""COMPUTED_VALUE"""),"4. Programas")</f>
        <v>4. Programas</v>
      </c>
      <c r="D632" s="89" t="str">
        <f ca="1">IFERROR(__xludf.DUMMYFUNCTION("""COMPUTED_VALUE"""),"Guadalajara: Capital de las niñas y los niños")</f>
        <v>Guadalajara: Capital de las niñas y los niños</v>
      </c>
      <c r="E632" s="89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632" s="89" t="str">
        <f ca="1">IFERROR(__xludf.DUMMYFUNCTION("""COMPUTED_VALUE"""),"C2. Servicios brindados a niñas, niños y adolescentes con riesgo psicosocial ")</f>
        <v xml:space="preserve">C2. Servicios brindados a niñas, niños y adolescentes con riesgo psicosocial </v>
      </c>
      <c r="G632" s="89" t="str">
        <f ca="1">IFERROR(__xludf.DUMMYFUNCTION("""COMPUTED_VALUE"""),"Porcentaje de servicios brindados a NNA en el programa de prevención, atención y acompañamiento de NNA en situación de riesgo y violencias en 2023")</f>
        <v>Porcentaje de servicios brindados a NNA en el programa de prevención, atención y acompañamiento de NNA en situación de riesgo y violencias en 2023</v>
      </c>
      <c r="H632" s="89" t="str">
        <f ca="1">IFERROR(__xludf.DUMMYFUNCTION("""COMPUTED_VALUE"""),"Servicio")</f>
        <v>Servicio</v>
      </c>
      <c r="I632" s="89" t="str">
        <f ca="1">IFERROR(__xludf.DUMMYFUNCTION("""COMPUTED_VALUE"""),"Octubre")</f>
        <v>Octubre</v>
      </c>
      <c r="J632" s="89" t="str">
        <f ca="1">IFERROR(__xludf.DUMMYFUNCTION("""COMPUTED_VALUE"""),"N/A")</f>
        <v>N/A</v>
      </c>
      <c r="K632" s="92">
        <f ca="1">IFERROR(__xludf.DUMMYFUNCTION("""COMPUTED_VALUE"""),1074)</f>
        <v>1074</v>
      </c>
      <c r="L632" s="89" t="str">
        <f ca="1">IFERROR(__xludf.DUMMYFUNCTION("""COMPUTED_VALUE"""),"TRIMESTRE 4")</f>
        <v>TRIMESTRE 4</v>
      </c>
      <c r="M632" s="89" t="str">
        <f ca="1">IFERROR(__xludf.DUMMYFUNCTION("""COMPUTED_VALUE"""),"SERVICIOS")</f>
        <v>SERVICIOS</v>
      </c>
    </row>
    <row r="633" spans="1:13">
      <c r="A633" s="89" t="str">
        <f ca="1">IFERROR(__xludf.DUMMYFUNCTION("""COMPUTED_VALUE"""),"4.1.2.1")</f>
        <v>4.1.2.1</v>
      </c>
      <c r="B633" s="89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633" s="89" t="str">
        <f ca="1">IFERROR(__xludf.DUMMYFUNCTION("""COMPUTED_VALUE"""),"4. Programas")</f>
        <v>4. Programas</v>
      </c>
      <c r="D633" s="89" t="str">
        <f ca="1">IFERROR(__xludf.DUMMYFUNCTION("""COMPUTED_VALUE"""),"Guadalajara: Capital de las niñas y los niños")</f>
        <v>Guadalajara: Capital de las niñas y los niños</v>
      </c>
      <c r="E633" s="89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633" s="89" t="str">
        <f ca="1">IFERROR(__xludf.DUMMYFUNCTION("""COMPUTED_VALUE"""),"A1C2. Impartición de sesiones en promoción de derechos de NNA")</f>
        <v>A1C2. Impartición de sesiones en promoción de derechos de NNA</v>
      </c>
      <c r="G633" s="89" t="str">
        <f ca="1">IFERROR(__xludf.DUMMYFUNCTION("""COMPUTED_VALUE"""),"Porcentaje de sesiones de talleres impartidos para NNA en 2023")</f>
        <v>Porcentaje de sesiones de talleres impartidos para NNA en 2023</v>
      </c>
      <c r="H633" s="89" t="str">
        <f ca="1">IFERROR(__xludf.DUMMYFUNCTION("""COMPUTED_VALUE"""),"Servicio")</f>
        <v>Servicio</v>
      </c>
      <c r="I633" s="89" t="str">
        <f ca="1">IFERROR(__xludf.DUMMYFUNCTION("""COMPUTED_VALUE"""),"Octubre")</f>
        <v>Octubre</v>
      </c>
      <c r="J633" s="89" t="str">
        <f ca="1">IFERROR(__xludf.DUMMYFUNCTION("""COMPUTED_VALUE"""),"N/A")</f>
        <v>N/A</v>
      </c>
      <c r="K633" s="92">
        <f ca="1">IFERROR(__xludf.DUMMYFUNCTION("""COMPUTED_VALUE"""),469)</f>
        <v>469</v>
      </c>
      <c r="L633" s="89" t="str">
        <f ca="1">IFERROR(__xludf.DUMMYFUNCTION("""COMPUTED_VALUE"""),"TRIMESTRE 4")</f>
        <v>TRIMESTRE 4</v>
      </c>
      <c r="M633" s="89" t="str">
        <f ca="1">IFERROR(__xludf.DUMMYFUNCTION("""COMPUTED_VALUE"""),"SERVICIOS")</f>
        <v>SERVICIOS</v>
      </c>
    </row>
    <row r="634" spans="1:13">
      <c r="A634" s="89" t="str">
        <f ca="1">IFERROR(__xludf.DUMMYFUNCTION("""COMPUTED_VALUE"""),"4.1.2.0")</f>
        <v>4.1.2.0</v>
      </c>
      <c r="B634" s="89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634" s="89" t="str">
        <f ca="1">IFERROR(__xludf.DUMMYFUNCTION("""COMPUTED_VALUE"""),"4. Programas")</f>
        <v>4. Programas</v>
      </c>
      <c r="D634" s="89" t="str">
        <f ca="1">IFERROR(__xludf.DUMMYFUNCTION("""COMPUTED_VALUE"""),"Guadalajara: Capital de las niñas y los niños")</f>
        <v>Guadalajara: Capital de las niñas y los niños</v>
      </c>
      <c r="E634" s="89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634" s="89" t="str">
        <f ca="1">IFERROR(__xludf.DUMMYFUNCTION("""COMPUTED_VALUE"""),"C2. Servicios brindados a niñas, niños y adolescentes con riesgo psicosocial ")</f>
        <v xml:space="preserve">C2. Servicios brindados a niñas, niños y adolescentes con riesgo psicosocial </v>
      </c>
      <c r="G634" s="89" t="str">
        <f ca="1">IFERROR(__xludf.DUMMYFUNCTION("""COMPUTED_VALUE"""),"Porcentaje de servicios brindados a NNA en el programa de prevención, atención y acompañamiento de NNA en situación de riesgo y violencias en 2023")</f>
        <v>Porcentaje de servicios brindados a NNA en el programa de prevención, atención y acompañamiento de NNA en situación de riesgo y violencias en 2023</v>
      </c>
      <c r="H634" s="89" t="str">
        <f ca="1">IFERROR(__xludf.DUMMYFUNCTION("""COMPUTED_VALUE"""),"Servicio")</f>
        <v>Servicio</v>
      </c>
      <c r="I634" s="89" t="str">
        <f ca="1">IFERROR(__xludf.DUMMYFUNCTION("""COMPUTED_VALUE"""),"Noviembre")</f>
        <v>Noviembre</v>
      </c>
      <c r="J634" s="89" t="str">
        <f ca="1">IFERROR(__xludf.DUMMYFUNCTION("""COMPUTED_VALUE"""),"N/A")</f>
        <v>N/A</v>
      </c>
      <c r="K634" s="92">
        <f ca="1">IFERROR(__xludf.DUMMYFUNCTION("""COMPUTED_VALUE"""),1238)</f>
        <v>1238</v>
      </c>
      <c r="L634" s="89" t="str">
        <f ca="1">IFERROR(__xludf.DUMMYFUNCTION("""COMPUTED_VALUE"""),"TRIMESTRE 4")</f>
        <v>TRIMESTRE 4</v>
      </c>
      <c r="M634" s="89" t="str">
        <f ca="1">IFERROR(__xludf.DUMMYFUNCTION("""COMPUTED_VALUE"""),"SERVICIOS")</f>
        <v>SERVICIOS</v>
      </c>
    </row>
    <row r="635" spans="1:13">
      <c r="A635" s="89" t="str">
        <f ca="1">IFERROR(__xludf.DUMMYFUNCTION("""COMPUTED_VALUE"""),"4.1.2.1")</f>
        <v>4.1.2.1</v>
      </c>
      <c r="B635" s="89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635" s="89" t="str">
        <f ca="1">IFERROR(__xludf.DUMMYFUNCTION("""COMPUTED_VALUE"""),"4. Programas")</f>
        <v>4. Programas</v>
      </c>
      <c r="D635" s="89" t="str">
        <f ca="1">IFERROR(__xludf.DUMMYFUNCTION("""COMPUTED_VALUE"""),"Guadalajara: Capital de las niñas y los niños")</f>
        <v>Guadalajara: Capital de las niñas y los niños</v>
      </c>
      <c r="E635" s="89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635" s="89" t="str">
        <f ca="1">IFERROR(__xludf.DUMMYFUNCTION("""COMPUTED_VALUE"""),"A1C2. Impartición de sesiones en promoción de derechos de NNA")</f>
        <v>A1C2. Impartición de sesiones en promoción de derechos de NNA</v>
      </c>
      <c r="G635" s="89" t="str">
        <f ca="1">IFERROR(__xludf.DUMMYFUNCTION("""COMPUTED_VALUE"""),"Porcentaje de sesiones de talleres impartidos para NNA en 2023")</f>
        <v>Porcentaje de sesiones de talleres impartidos para NNA en 2023</v>
      </c>
      <c r="H635" s="89" t="str">
        <f ca="1">IFERROR(__xludf.DUMMYFUNCTION("""COMPUTED_VALUE"""),"Servicio")</f>
        <v>Servicio</v>
      </c>
      <c r="I635" s="89" t="str">
        <f ca="1">IFERROR(__xludf.DUMMYFUNCTION("""COMPUTED_VALUE"""),"Noviembre")</f>
        <v>Noviembre</v>
      </c>
      <c r="J635" s="89" t="str">
        <f ca="1">IFERROR(__xludf.DUMMYFUNCTION("""COMPUTED_VALUE"""),"N/A")</f>
        <v>N/A</v>
      </c>
      <c r="K635" s="92">
        <f ca="1">IFERROR(__xludf.DUMMYFUNCTION("""COMPUTED_VALUE"""),533)</f>
        <v>533</v>
      </c>
      <c r="L635" s="89" t="str">
        <f ca="1">IFERROR(__xludf.DUMMYFUNCTION("""COMPUTED_VALUE"""),"TRIMESTRE 4")</f>
        <v>TRIMESTRE 4</v>
      </c>
      <c r="M635" s="89" t="str">
        <f ca="1">IFERROR(__xludf.DUMMYFUNCTION("""COMPUTED_VALUE"""),"SERVICIOS")</f>
        <v>SERVICIOS</v>
      </c>
    </row>
    <row r="636" spans="1:13">
      <c r="A636" s="89" t="str">
        <f ca="1">IFERROR(__xludf.DUMMYFUNCTION("""COMPUTED_VALUE"""),"4.1.2.0")</f>
        <v>4.1.2.0</v>
      </c>
      <c r="B636" s="89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636" s="89" t="str">
        <f ca="1">IFERROR(__xludf.DUMMYFUNCTION("""COMPUTED_VALUE"""),"4. Programas")</f>
        <v>4. Programas</v>
      </c>
      <c r="D636" s="89" t="str">
        <f ca="1">IFERROR(__xludf.DUMMYFUNCTION("""COMPUTED_VALUE"""),"Guadalajara: Capital de las niñas y los niños")</f>
        <v>Guadalajara: Capital de las niñas y los niños</v>
      </c>
      <c r="E636" s="89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636" s="89" t="str">
        <f ca="1">IFERROR(__xludf.DUMMYFUNCTION("""COMPUTED_VALUE"""),"C2. Servicios brindados a niñas, niños y adolescentes con riesgo psicosocial ")</f>
        <v xml:space="preserve">C2. Servicios brindados a niñas, niños y adolescentes con riesgo psicosocial </v>
      </c>
      <c r="G636" s="89" t="str">
        <f ca="1">IFERROR(__xludf.DUMMYFUNCTION("""COMPUTED_VALUE"""),"Porcentaje de servicios brindados a NNA en el programa de prevención, atención y acompañamiento de NNA en situación de riesgo y violencias en 2023")</f>
        <v>Porcentaje de servicios brindados a NNA en el programa de prevención, atención y acompañamiento de NNA en situación de riesgo y violencias en 2023</v>
      </c>
      <c r="H636" s="89" t="str">
        <f ca="1">IFERROR(__xludf.DUMMYFUNCTION("""COMPUTED_VALUE"""),"Servicio")</f>
        <v>Servicio</v>
      </c>
      <c r="I636" s="89" t="str">
        <f ca="1">IFERROR(__xludf.DUMMYFUNCTION("""COMPUTED_VALUE"""),"Diciembre")</f>
        <v>Diciembre</v>
      </c>
      <c r="J636" s="89" t="str">
        <f ca="1">IFERROR(__xludf.DUMMYFUNCTION("""COMPUTED_VALUE"""),"N/A")</f>
        <v>N/A</v>
      </c>
      <c r="K636" s="92">
        <f ca="1">IFERROR(__xludf.DUMMYFUNCTION("""COMPUTED_VALUE"""),778)</f>
        <v>778</v>
      </c>
      <c r="L636" s="89" t="str">
        <f ca="1">IFERROR(__xludf.DUMMYFUNCTION("""COMPUTED_VALUE"""),"TRIMESTRE 4")</f>
        <v>TRIMESTRE 4</v>
      </c>
      <c r="M636" s="89" t="str">
        <f ca="1">IFERROR(__xludf.DUMMYFUNCTION("""COMPUTED_VALUE"""),"SERVICIOS")</f>
        <v>SERVICIOS</v>
      </c>
    </row>
    <row r="637" spans="1:13">
      <c r="A637" s="89" t="str">
        <f ca="1">IFERROR(__xludf.DUMMYFUNCTION("""COMPUTED_VALUE"""),"4.1.2.1")</f>
        <v>4.1.2.1</v>
      </c>
      <c r="B637" s="89" t="str">
        <f ca="1">IFERROR(__xludf.DUMMYFUNCTION("""COMPUTED_VALUE"""),"Prevención, Atención y Acompañamiento de Niñas, Niños y Adolescentes en Situación de Riesgo y Violencias/Jefatura del Departamento de Prevención, Atención y Acompañamiento de  Niñas, Niños y Adolescentes/Dirección del Área de Derechos de la Niñez/Coord.4."&amp;" Programas")</f>
        <v>Prevención, Atención y Acompañamiento de Niñas, Niños y Adolescentes en Situación de Riesgo y Violencias/Jefatura del Departamento de Prevención, Atención y Acompañamiento de  Niñas, Niños y Adolescentes/Dirección del Área de Derechos de la Niñez/Coord.4. Programas</v>
      </c>
      <c r="C637" s="89" t="str">
        <f ca="1">IFERROR(__xludf.DUMMYFUNCTION("""COMPUTED_VALUE"""),"4. Programas")</f>
        <v>4. Programas</v>
      </c>
      <c r="D637" s="89" t="str">
        <f ca="1">IFERROR(__xludf.DUMMYFUNCTION("""COMPUTED_VALUE"""),"Guadalajara: Capital de las niñas y los niños")</f>
        <v>Guadalajara: Capital de las niñas y los niños</v>
      </c>
      <c r="E637" s="89" t="str">
        <f ca="1">IFERROR(__xludf.DUMMYFUNCTION("""COMPUTED_VALUE"""),"Prevención, Atención y Acompañamiento de Niñas, Niños y Adolescentes en Situación de Riesgo y Violencias")</f>
        <v>Prevención, Atención y Acompañamiento de Niñas, Niños y Adolescentes en Situación de Riesgo y Violencias</v>
      </c>
      <c r="F637" s="89" t="str">
        <f ca="1">IFERROR(__xludf.DUMMYFUNCTION("""COMPUTED_VALUE"""),"A1C2. Impartición de sesiones en promoción de derechos de NNA")</f>
        <v>A1C2. Impartición de sesiones en promoción de derechos de NNA</v>
      </c>
      <c r="G637" s="89" t="str">
        <f ca="1">IFERROR(__xludf.DUMMYFUNCTION("""COMPUTED_VALUE"""),"Porcentaje de sesiones de talleres impartidos para NNA en 2023")</f>
        <v>Porcentaje de sesiones de talleres impartidos para NNA en 2023</v>
      </c>
      <c r="H637" s="89" t="str">
        <f ca="1">IFERROR(__xludf.DUMMYFUNCTION("""COMPUTED_VALUE"""),"Servicio")</f>
        <v>Servicio</v>
      </c>
      <c r="I637" s="89" t="str">
        <f ca="1">IFERROR(__xludf.DUMMYFUNCTION("""COMPUTED_VALUE"""),"Diciembre")</f>
        <v>Diciembre</v>
      </c>
      <c r="J637" s="89" t="str">
        <f ca="1">IFERROR(__xludf.DUMMYFUNCTION("""COMPUTED_VALUE"""),"N/A")</f>
        <v>N/A</v>
      </c>
      <c r="K637" s="92">
        <f ca="1">IFERROR(__xludf.DUMMYFUNCTION("""COMPUTED_VALUE"""),153)</f>
        <v>153</v>
      </c>
      <c r="L637" s="89" t="str">
        <f ca="1">IFERROR(__xludf.DUMMYFUNCTION("""COMPUTED_VALUE"""),"TRIMESTRE 4")</f>
        <v>TRIMESTRE 4</v>
      </c>
      <c r="M637" s="89" t="str">
        <f ca="1">IFERROR(__xludf.DUMMYFUNCTION("""COMPUTED_VALUE"""),"SERVICIOS")</f>
        <v>SERVICIOS</v>
      </c>
    </row>
    <row r="638" spans="1:13">
      <c r="A638" s="89" t="str">
        <f ca="1">IFERROR(__xludf.DUMMYFUNCTION("""COMPUTED_VALUE"""),"4.1.3.3")</f>
        <v>4.1.3.3</v>
      </c>
      <c r="B638" s="89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638" s="89" t="str">
        <f ca="1">IFERROR(__xludf.DUMMYFUNCTION("""COMPUTED_VALUE"""),"4. Programas")</f>
        <v>4. Programas</v>
      </c>
      <c r="D638" s="89" t="str">
        <f ca="1">IFERROR(__xludf.DUMMYFUNCTION("""COMPUTED_VALUE"""),"Guadalajara: Capital de las niñas y los niños")</f>
        <v>Guadalajara: Capital de las niñas y los niños</v>
      </c>
      <c r="E638" s="89" t="str">
        <f ca="1">IFERROR(__xludf.DUMMYFUNCTION("""COMPUTED_VALUE"""),"Custodia, tutela, adopciones y acogimiento familiar")</f>
        <v>Custodia, tutela, adopciones y acogimiento familiar</v>
      </c>
      <c r="F638" s="89" t="str">
        <f ca="1">IFERROR(__xludf.DUMMYFUNCTION("""COMPUTED_VALUE"""),"A3C3. Diagnósticos y planes de Restitución de Derechos  de Niñas, Niños y Adolescentes, realizados")</f>
        <v>A3C3. Diagnósticos y planes de Restitución de Derechos  de Niñas, Niños y Adolescentes, realizados</v>
      </c>
      <c r="G638" s="89" t="str">
        <f ca="1">IFERROR(__xludf.DUMMYFUNCTION("""COMPUTED_VALUE"""),"Porcentaje de diagnósticos y  planes de restitución de derechos realizados, en 2023")</f>
        <v>Porcentaje de diagnósticos y  planes de restitución de derechos realizados, en 2023</v>
      </c>
      <c r="H638" s="89" t="str">
        <f ca="1">IFERROR(__xludf.DUMMYFUNCTION("""COMPUTED_VALUE"""),"Servicio")</f>
        <v>Servicio</v>
      </c>
      <c r="I638" s="89" t="str">
        <f ca="1">IFERROR(__xludf.DUMMYFUNCTION("""COMPUTED_VALUE"""),"Enero")</f>
        <v>Enero</v>
      </c>
      <c r="J638" s="89" t="str">
        <f ca="1">IFERROR(__xludf.DUMMYFUNCTION("""COMPUTED_VALUE"""),"N/A")</f>
        <v>N/A</v>
      </c>
      <c r="K638" s="92">
        <f ca="1">IFERROR(__xludf.DUMMYFUNCTION("""COMPUTED_VALUE"""),8)</f>
        <v>8</v>
      </c>
      <c r="L638" s="89" t="str">
        <f ca="1">IFERROR(__xludf.DUMMYFUNCTION("""COMPUTED_VALUE"""),"TRIMESTRE 1")</f>
        <v>TRIMESTRE 1</v>
      </c>
      <c r="M638" s="89" t="str">
        <f ca="1">IFERROR(__xludf.DUMMYFUNCTION("""COMPUTED_VALUE"""),"SERVICIOS")</f>
        <v>SERVICIOS</v>
      </c>
    </row>
    <row r="639" spans="1:13">
      <c r="A639" s="89" t="str">
        <f ca="1">IFERROR(__xludf.DUMMYFUNCTION("""COMPUTED_VALUE"""),"4.1.3.5")</f>
        <v>4.1.3.5</v>
      </c>
      <c r="B639" s="89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639" s="89" t="str">
        <f ca="1">IFERROR(__xludf.DUMMYFUNCTION("""COMPUTED_VALUE"""),"4. Programas")</f>
        <v>4. Programas</v>
      </c>
      <c r="D639" s="89" t="str">
        <f ca="1">IFERROR(__xludf.DUMMYFUNCTION("""COMPUTED_VALUE"""),"Guadalajara: Capital de las niñas y los niños")</f>
        <v>Guadalajara: Capital de las niñas y los niños</v>
      </c>
      <c r="E639" s="89" t="str">
        <f ca="1">IFERROR(__xludf.DUMMYFUNCTION("""COMPUTED_VALUE"""),"Custodia, tutela, adopciones y acogimiento familiar")</f>
        <v>Custodia, tutela, adopciones y acogimiento familiar</v>
      </c>
      <c r="F639" s="89" t="str">
        <f ca="1">IFERROR(__xludf.DUMMYFUNCTION("""COMPUTED_VALUE"""),"A5C3. Representación jurídica de NNA ")</f>
        <v xml:space="preserve">A5C3. Representación jurídica de NNA </v>
      </c>
      <c r="G639" s="89" t="str">
        <f ca="1">IFERROR(__xludf.DUMMYFUNCTION("""COMPUTED_VALUE"""),"Porcentaje de representaciones jurídicas a NNA realizadas en 2023")</f>
        <v>Porcentaje de representaciones jurídicas a NNA realizadas en 2023</v>
      </c>
      <c r="H639" s="89" t="str">
        <f ca="1">IFERROR(__xludf.DUMMYFUNCTION("""COMPUTED_VALUE"""),"Servicio")</f>
        <v>Servicio</v>
      </c>
      <c r="I639" s="89" t="str">
        <f ca="1">IFERROR(__xludf.DUMMYFUNCTION("""COMPUTED_VALUE"""),"Enero")</f>
        <v>Enero</v>
      </c>
      <c r="J639" s="89" t="str">
        <f ca="1">IFERROR(__xludf.DUMMYFUNCTION("""COMPUTED_VALUE"""),"N/A")</f>
        <v>N/A</v>
      </c>
      <c r="K639" s="92">
        <f ca="1">IFERROR(__xludf.DUMMYFUNCTION("""COMPUTED_VALUE"""),55)</f>
        <v>55</v>
      </c>
      <c r="L639" s="89" t="str">
        <f ca="1">IFERROR(__xludf.DUMMYFUNCTION("""COMPUTED_VALUE"""),"TRIMESTRE 1")</f>
        <v>TRIMESTRE 1</v>
      </c>
      <c r="M639" s="89" t="str">
        <f ca="1">IFERROR(__xludf.DUMMYFUNCTION("""COMPUTED_VALUE"""),"SERVICIOS")</f>
        <v>SERVICIOS</v>
      </c>
    </row>
    <row r="640" spans="1:13">
      <c r="A640" s="89" t="str">
        <f ca="1">IFERROR(__xludf.DUMMYFUNCTION("""COMPUTED_VALUE"""),"4.1.3.3")</f>
        <v>4.1.3.3</v>
      </c>
      <c r="B640" s="89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640" s="89" t="str">
        <f ca="1">IFERROR(__xludf.DUMMYFUNCTION("""COMPUTED_VALUE"""),"4. Programas")</f>
        <v>4. Programas</v>
      </c>
      <c r="D640" s="89" t="str">
        <f ca="1">IFERROR(__xludf.DUMMYFUNCTION("""COMPUTED_VALUE"""),"Guadalajara: Capital de las niñas y los niños")</f>
        <v>Guadalajara: Capital de las niñas y los niños</v>
      </c>
      <c r="E640" s="89" t="str">
        <f ca="1">IFERROR(__xludf.DUMMYFUNCTION("""COMPUTED_VALUE"""),"Custodia, tutela, adopciones y acogimiento familiar")</f>
        <v>Custodia, tutela, adopciones y acogimiento familiar</v>
      </c>
      <c r="F640" s="89" t="str">
        <f ca="1">IFERROR(__xludf.DUMMYFUNCTION("""COMPUTED_VALUE"""),"A3C3. Diagnósticos y planes de Restitución de Derechos  de Niñas, Niños y Adolescentes, realizados")</f>
        <v>A3C3. Diagnósticos y planes de Restitución de Derechos  de Niñas, Niños y Adolescentes, realizados</v>
      </c>
      <c r="G640" s="89" t="str">
        <f ca="1">IFERROR(__xludf.DUMMYFUNCTION("""COMPUTED_VALUE"""),"Porcentaje de diagnósticos y  planes de restitución de derechos realizados, en 2023")</f>
        <v>Porcentaje de diagnósticos y  planes de restitución de derechos realizados, en 2023</v>
      </c>
      <c r="H640" s="89" t="str">
        <f ca="1">IFERROR(__xludf.DUMMYFUNCTION("""COMPUTED_VALUE"""),"Servicio")</f>
        <v>Servicio</v>
      </c>
      <c r="I640" s="89" t="str">
        <f ca="1">IFERROR(__xludf.DUMMYFUNCTION("""COMPUTED_VALUE"""),"Febrero")</f>
        <v>Febrero</v>
      </c>
      <c r="J640" s="89" t="str">
        <f ca="1">IFERROR(__xludf.DUMMYFUNCTION("""COMPUTED_VALUE"""),"N/A")</f>
        <v>N/A</v>
      </c>
      <c r="K640" s="92">
        <f ca="1">IFERROR(__xludf.DUMMYFUNCTION("""COMPUTED_VALUE"""),15)</f>
        <v>15</v>
      </c>
      <c r="L640" s="89" t="str">
        <f ca="1">IFERROR(__xludf.DUMMYFUNCTION("""COMPUTED_VALUE"""),"TRIMESTRE 1")</f>
        <v>TRIMESTRE 1</v>
      </c>
      <c r="M640" s="89" t="str">
        <f ca="1">IFERROR(__xludf.DUMMYFUNCTION("""COMPUTED_VALUE"""),"SERVICIOS")</f>
        <v>SERVICIOS</v>
      </c>
    </row>
    <row r="641" spans="1:13">
      <c r="A641" s="89" t="str">
        <f ca="1">IFERROR(__xludf.DUMMYFUNCTION("""COMPUTED_VALUE"""),"4.1.3.5")</f>
        <v>4.1.3.5</v>
      </c>
      <c r="B641" s="89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641" s="89" t="str">
        <f ca="1">IFERROR(__xludf.DUMMYFUNCTION("""COMPUTED_VALUE"""),"4. Programas")</f>
        <v>4. Programas</v>
      </c>
      <c r="D641" s="89" t="str">
        <f ca="1">IFERROR(__xludf.DUMMYFUNCTION("""COMPUTED_VALUE"""),"Guadalajara: Capital de las niñas y los niños")</f>
        <v>Guadalajara: Capital de las niñas y los niños</v>
      </c>
      <c r="E641" s="89" t="str">
        <f ca="1">IFERROR(__xludf.DUMMYFUNCTION("""COMPUTED_VALUE"""),"Custodia, tutela, adopciones y acogimiento familiar")</f>
        <v>Custodia, tutela, adopciones y acogimiento familiar</v>
      </c>
      <c r="F641" s="89" t="str">
        <f ca="1">IFERROR(__xludf.DUMMYFUNCTION("""COMPUTED_VALUE"""),"A5C3. Representación jurídica de NNA ")</f>
        <v xml:space="preserve">A5C3. Representación jurídica de NNA </v>
      </c>
      <c r="G641" s="89" t="str">
        <f ca="1">IFERROR(__xludf.DUMMYFUNCTION("""COMPUTED_VALUE"""),"Porcentaje de representaciones jurídicas a NNA realizadas en 2023")</f>
        <v>Porcentaje de representaciones jurídicas a NNA realizadas en 2023</v>
      </c>
      <c r="H641" s="89" t="str">
        <f ca="1">IFERROR(__xludf.DUMMYFUNCTION("""COMPUTED_VALUE"""),"Servicio")</f>
        <v>Servicio</v>
      </c>
      <c r="I641" s="89" t="str">
        <f ca="1">IFERROR(__xludf.DUMMYFUNCTION("""COMPUTED_VALUE"""),"Febrero")</f>
        <v>Febrero</v>
      </c>
      <c r="J641" s="89" t="str">
        <f ca="1">IFERROR(__xludf.DUMMYFUNCTION("""COMPUTED_VALUE"""),"N/A")</f>
        <v>N/A</v>
      </c>
      <c r="K641" s="92">
        <f ca="1">IFERROR(__xludf.DUMMYFUNCTION("""COMPUTED_VALUE"""),68)</f>
        <v>68</v>
      </c>
      <c r="L641" s="89" t="str">
        <f ca="1">IFERROR(__xludf.DUMMYFUNCTION("""COMPUTED_VALUE"""),"TRIMESTRE 1")</f>
        <v>TRIMESTRE 1</v>
      </c>
      <c r="M641" s="89" t="str">
        <f ca="1">IFERROR(__xludf.DUMMYFUNCTION("""COMPUTED_VALUE"""),"SERVICIOS")</f>
        <v>SERVICIOS</v>
      </c>
    </row>
    <row r="642" spans="1:13">
      <c r="A642" s="89" t="str">
        <f ca="1">IFERROR(__xludf.DUMMYFUNCTION("""COMPUTED_VALUE"""),"4.1.3.3")</f>
        <v>4.1.3.3</v>
      </c>
      <c r="B642" s="89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642" s="89" t="str">
        <f ca="1">IFERROR(__xludf.DUMMYFUNCTION("""COMPUTED_VALUE"""),"4. Programas")</f>
        <v>4. Programas</v>
      </c>
      <c r="D642" s="89" t="str">
        <f ca="1">IFERROR(__xludf.DUMMYFUNCTION("""COMPUTED_VALUE"""),"Guadalajara: Capital de las niñas y los niños")</f>
        <v>Guadalajara: Capital de las niñas y los niños</v>
      </c>
      <c r="E642" s="89" t="str">
        <f ca="1">IFERROR(__xludf.DUMMYFUNCTION("""COMPUTED_VALUE"""),"Custodia, tutela, adopciones y acogimiento familiar")</f>
        <v>Custodia, tutela, adopciones y acogimiento familiar</v>
      </c>
      <c r="F642" s="89" t="str">
        <f ca="1">IFERROR(__xludf.DUMMYFUNCTION("""COMPUTED_VALUE"""),"A3C3. Diagnósticos y planes de Restitución de Derechos  de Niñas, Niños y Adolescentes, realizados")</f>
        <v>A3C3. Diagnósticos y planes de Restitución de Derechos  de Niñas, Niños y Adolescentes, realizados</v>
      </c>
      <c r="G642" s="89" t="str">
        <f ca="1">IFERROR(__xludf.DUMMYFUNCTION("""COMPUTED_VALUE"""),"Porcentaje de diagnósticos y  planes de restitución de derechos realizados, en 2023")</f>
        <v>Porcentaje de diagnósticos y  planes de restitución de derechos realizados, en 2023</v>
      </c>
      <c r="H642" s="89" t="str">
        <f ca="1">IFERROR(__xludf.DUMMYFUNCTION("""COMPUTED_VALUE"""),"Servicio")</f>
        <v>Servicio</v>
      </c>
      <c r="I642" s="89" t="str">
        <f ca="1">IFERROR(__xludf.DUMMYFUNCTION("""COMPUTED_VALUE"""),"Marzo")</f>
        <v>Marzo</v>
      </c>
      <c r="J642" s="89" t="str">
        <f ca="1">IFERROR(__xludf.DUMMYFUNCTION("""COMPUTED_VALUE"""),"N/A")</f>
        <v>N/A</v>
      </c>
      <c r="K642" s="92">
        <f ca="1">IFERROR(__xludf.DUMMYFUNCTION("""COMPUTED_VALUE"""),14)</f>
        <v>14</v>
      </c>
      <c r="L642" s="89" t="str">
        <f ca="1">IFERROR(__xludf.DUMMYFUNCTION("""COMPUTED_VALUE"""),"TRIMESTRE 1")</f>
        <v>TRIMESTRE 1</v>
      </c>
      <c r="M642" s="89" t="str">
        <f ca="1">IFERROR(__xludf.DUMMYFUNCTION("""COMPUTED_VALUE"""),"SERVICIOS")</f>
        <v>SERVICIOS</v>
      </c>
    </row>
    <row r="643" spans="1:13">
      <c r="A643" s="89" t="str">
        <f ca="1">IFERROR(__xludf.DUMMYFUNCTION("""COMPUTED_VALUE"""),"4.1.3.5")</f>
        <v>4.1.3.5</v>
      </c>
      <c r="B643" s="89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643" s="89" t="str">
        <f ca="1">IFERROR(__xludf.DUMMYFUNCTION("""COMPUTED_VALUE"""),"4. Programas")</f>
        <v>4. Programas</v>
      </c>
      <c r="D643" s="89" t="str">
        <f ca="1">IFERROR(__xludf.DUMMYFUNCTION("""COMPUTED_VALUE"""),"Guadalajara: Capital de las niñas y los niños")</f>
        <v>Guadalajara: Capital de las niñas y los niños</v>
      </c>
      <c r="E643" s="89" t="str">
        <f ca="1">IFERROR(__xludf.DUMMYFUNCTION("""COMPUTED_VALUE"""),"Custodia, tutela, adopciones y acogimiento familiar")</f>
        <v>Custodia, tutela, adopciones y acogimiento familiar</v>
      </c>
      <c r="F643" s="89" t="str">
        <f ca="1">IFERROR(__xludf.DUMMYFUNCTION("""COMPUTED_VALUE"""),"A5C3. Representación jurídica de NNA ")</f>
        <v xml:space="preserve">A5C3. Representación jurídica de NNA </v>
      </c>
      <c r="G643" s="89" t="str">
        <f ca="1">IFERROR(__xludf.DUMMYFUNCTION("""COMPUTED_VALUE"""),"Porcentaje de representaciones jurídicas a NNA realizadas en 2023")</f>
        <v>Porcentaje de representaciones jurídicas a NNA realizadas en 2023</v>
      </c>
      <c r="H643" s="89" t="str">
        <f ca="1">IFERROR(__xludf.DUMMYFUNCTION("""COMPUTED_VALUE"""),"Servicio")</f>
        <v>Servicio</v>
      </c>
      <c r="I643" s="89" t="str">
        <f ca="1">IFERROR(__xludf.DUMMYFUNCTION("""COMPUTED_VALUE"""),"Marzo")</f>
        <v>Marzo</v>
      </c>
      <c r="J643" s="89" t="str">
        <f ca="1">IFERROR(__xludf.DUMMYFUNCTION("""COMPUTED_VALUE"""),"N/A")</f>
        <v>N/A</v>
      </c>
      <c r="K643" s="92">
        <f ca="1">IFERROR(__xludf.DUMMYFUNCTION("""COMPUTED_VALUE"""),74)</f>
        <v>74</v>
      </c>
      <c r="L643" s="89" t="str">
        <f ca="1">IFERROR(__xludf.DUMMYFUNCTION("""COMPUTED_VALUE"""),"TRIMESTRE 1")</f>
        <v>TRIMESTRE 1</v>
      </c>
      <c r="M643" s="89" t="str">
        <f ca="1">IFERROR(__xludf.DUMMYFUNCTION("""COMPUTED_VALUE"""),"SERVICIOS")</f>
        <v>SERVICIOS</v>
      </c>
    </row>
    <row r="644" spans="1:13">
      <c r="A644" s="89" t="str">
        <f ca="1">IFERROR(__xludf.DUMMYFUNCTION("""COMPUTED_VALUE"""),"4.1.3.3")</f>
        <v>4.1.3.3</v>
      </c>
      <c r="B644" s="89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644" s="89" t="str">
        <f ca="1">IFERROR(__xludf.DUMMYFUNCTION("""COMPUTED_VALUE"""),"4. Programas")</f>
        <v>4. Programas</v>
      </c>
      <c r="D644" s="89" t="str">
        <f ca="1">IFERROR(__xludf.DUMMYFUNCTION("""COMPUTED_VALUE"""),"Guadalajara: Capital de las niñas y los niños")</f>
        <v>Guadalajara: Capital de las niñas y los niños</v>
      </c>
      <c r="E644" s="89" t="str">
        <f ca="1">IFERROR(__xludf.DUMMYFUNCTION("""COMPUTED_VALUE"""),"Custodia, tutela, adopciones y acogimiento familiar")</f>
        <v>Custodia, tutela, adopciones y acogimiento familiar</v>
      </c>
      <c r="F644" s="89" t="str">
        <f ca="1">IFERROR(__xludf.DUMMYFUNCTION("""COMPUTED_VALUE"""),"A3C3. Diagnósticos y planes de Restitución de Derechos  de Niñas, Niños y Adolescentes, realizados")</f>
        <v>A3C3. Diagnósticos y planes de Restitución de Derechos  de Niñas, Niños y Adolescentes, realizados</v>
      </c>
      <c r="G644" s="89" t="str">
        <f ca="1">IFERROR(__xludf.DUMMYFUNCTION("""COMPUTED_VALUE"""),"Porcentaje de diagnósticos y  planes de restitución de derechos realizados, en 2023")</f>
        <v>Porcentaje de diagnósticos y  planes de restitución de derechos realizados, en 2023</v>
      </c>
      <c r="H644" s="89" t="str">
        <f ca="1">IFERROR(__xludf.DUMMYFUNCTION("""COMPUTED_VALUE"""),"Servicio")</f>
        <v>Servicio</v>
      </c>
      <c r="I644" s="89" t="str">
        <f ca="1">IFERROR(__xludf.DUMMYFUNCTION("""COMPUTED_VALUE"""),"Abril")</f>
        <v>Abril</v>
      </c>
      <c r="J644" s="89" t="str">
        <f ca="1">IFERROR(__xludf.DUMMYFUNCTION("""COMPUTED_VALUE"""),"N/A")</f>
        <v>N/A</v>
      </c>
      <c r="K644" s="92">
        <f ca="1">IFERROR(__xludf.DUMMYFUNCTION("""COMPUTED_VALUE"""),37)</f>
        <v>37</v>
      </c>
      <c r="L644" s="89" t="str">
        <f ca="1">IFERROR(__xludf.DUMMYFUNCTION("""COMPUTED_VALUE"""),"TRIMESTRE 2")</f>
        <v>TRIMESTRE 2</v>
      </c>
      <c r="M644" s="89" t="str">
        <f ca="1">IFERROR(__xludf.DUMMYFUNCTION("""COMPUTED_VALUE"""),"SERVICIOS")</f>
        <v>SERVICIOS</v>
      </c>
    </row>
    <row r="645" spans="1:13">
      <c r="A645" s="89" t="str">
        <f ca="1">IFERROR(__xludf.DUMMYFUNCTION("""COMPUTED_VALUE"""),"4.1.3.5")</f>
        <v>4.1.3.5</v>
      </c>
      <c r="B645" s="89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645" s="89" t="str">
        <f ca="1">IFERROR(__xludf.DUMMYFUNCTION("""COMPUTED_VALUE"""),"4. Programas")</f>
        <v>4. Programas</v>
      </c>
      <c r="D645" s="89" t="str">
        <f ca="1">IFERROR(__xludf.DUMMYFUNCTION("""COMPUTED_VALUE"""),"Guadalajara: Capital de las niñas y los niños")</f>
        <v>Guadalajara: Capital de las niñas y los niños</v>
      </c>
      <c r="E645" s="89" t="str">
        <f ca="1">IFERROR(__xludf.DUMMYFUNCTION("""COMPUTED_VALUE"""),"Custodia, tutela, adopciones y acogimiento familiar")</f>
        <v>Custodia, tutela, adopciones y acogimiento familiar</v>
      </c>
      <c r="F645" s="89" t="str">
        <f ca="1">IFERROR(__xludf.DUMMYFUNCTION("""COMPUTED_VALUE"""),"A5C3. Representación jurídica de NNA ")</f>
        <v xml:space="preserve">A5C3. Representación jurídica de NNA </v>
      </c>
      <c r="G645" s="89" t="str">
        <f ca="1">IFERROR(__xludf.DUMMYFUNCTION("""COMPUTED_VALUE"""),"Porcentaje de representaciones jurídicas a NNA realizadas en 2023")</f>
        <v>Porcentaje de representaciones jurídicas a NNA realizadas en 2023</v>
      </c>
      <c r="H645" s="89" t="str">
        <f ca="1">IFERROR(__xludf.DUMMYFUNCTION("""COMPUTED_VALUE"""),"Servicio")</f>
        <v>Servicio</v>
      </c>
      <c r="I645" s="89" t="str">
        <f ca="1">IFERROR(__xludf.DUMMYFUNCTION("""COMPUTED_VALUE"""),"Abril")</f>
        <v>Abril</v>
      </c>
      <c r="J645" s="89" t="str">
        <f ca="1">IFERROR(__xludf.DUMMYFUNCTION("""COMPUTED_VALUE"""),"N/A")</f>
        <v>N/A</v>
      </c>
      <c r="K645" s="92">
        <f ca="1">IFERROR(__xludf.DUMMYFUNCTION("""COMPUTED_VALUE"""),73)</f>
        <v>73</v>
      </c>
      <c r="L645" s="89" t="str">
        <f ca="1">IFERROR(__xludf.DUMMYFUNCTION("""COMPUTED_VALUE"""),"TRIMESTRE 2")</f>
        <v>TRIMESTRE 2</v>
      </c>
      <c r="M645" s="89" t="str">
        <f ca="1">IFERROR(__xludf.DUMMYFUNCTION("""COMPUTED_VALUE"""),"SERVICIOS")</f>
        <v>SERVICIOS</v>
      </c>
    </row>
    <row r="646" spans="1:13">
      <c r="A646" s="89" t="str">
        <f ca="1">IFERROR(__xludf.DUMMYFUNCTION("""COMPUTED_VALUE"""),"4.1.3.3")</f>
        <v>4.1.3.3</v>
      </c>
      <c r="B646" s="89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646" s="89" t="str">
        <f ca="1">IFERROR(__xludf.DUMMYFUNCTION("""COMPUTED_VALUE"""),"4. Programas")</f>
        <v>4. Programas</v>
      </c>
      <c r="D646" s="89" t="str">
        <f ca="1">IFERROR(__xludf.DUMMYFUNCTION("""COMPUTED_VALUE"""),"Guadalajara: Capital de las niñas y los niños")</f>
        <v>Guadalajara: Capital de las niñas y los niños</v>
      </c>
      <c r="E646" s="89" t="str">
        <f ca="1">IFERROR(__xludf.DUMMYFUNCTION("""COMPUTED_VALUE"""),"Custodia, tutela, adopciones y acogimiento familiar")</f>
        <v>Custodia, tutela, adopciones y acogimiento familiar</v>
      </c>
      <c r="F646" s="89" t="str">
        <f ca="1">IFERROR(__xludf.DUMMYFUNCTION("""COMPUTED_VALUE"""),"A3C3. Diagnósticos y planes de Restitución de Derechos  de Niñas, Niños y Adolescentes, realizados")</f>
        <v>A3C3. Diagnósticos y planes de Restitución de Derechos  de Niñas, Niños y Adolescentes, realizados</v>
      </c>
      <c r="G646" s="89" t="str">
        <f ca="1">IFERROR(__xludf.DUMMYFUNCTION("""COMPUTED_VALUE"""),"Porcentaje de diagnósticos y  planes de restitución de derechos realizados, en 2023")</f>
        <v>Porcentaje de diagnósticos y  planes de restitución de derechos realizados, en 2023</v>
      </c>
      <c r="H646" s="89" t="str">
        <f ca="1">IFERROR(__xludf.DUMMYFUNCTION("""COMPUTED_VALUE"""),"Servicio")</f>
        <v>Servicio</v>
      </c>
      <c r="I646" s="89" t="str">
        <f ca="1">IFERROR(__xludf.DUMMYFUNCTION("""COMPUTED_VALUE"""),"Mayo")</f>
        <v>Mayo</v>
      </c>
      <c r="J646" s="89" t="str">
        <f ca="1">IFERROR(__xludf.DUMMYFUNCTION("""COMPUTED_VALUE"""),"N/A")</f>
        <v>N/A</v>
      </c>
      <c r="K646" s="92">
        <f ca="1">IFERROR(__xludf.DUMMYFUNCTION("""COMPUTED_VALUE"""),51)</f>
        <v>51</v>
      </c>
      <c r="L646" s="89" t="str">
        <f ca="1">IFERROR(__xludf.DUMMYFUNCTION("""COMPUTED_VALUE"""),"TRIMESTRE 2")</f>
        <v>TRIMESTRE 2</v>
      </c>
      <c r="M646" s="89" t="str">
        <f ca="1">IFERROR(__xludf.DUMMYFUNCTION("""COMPUTED_VALUE"""),"SERVICIOS")</f>
        <v>SERVICIOS</v>
      </c>
    </row>
    <row r="647" spans="1:13">
      <c r="A647" s="89" t="str">
        <f ca="1">IFERROR(__xludf.DUMMYFUNCTION("""COMPUTED_VALUE"""),"4.1.3.5")</f>
        <v>4.1.3.5</v>
      </c>
      <c r="B647" s="89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647" s="89" t="str">
        <f ca="1">IFERROR(__xludf.DUMMYFUNCTION("""COMPUTED_VALUE"""),"4. Programas")</f>
        <v>4. Programas</v>
      </c>
      <c r="D647" s="89" t="str">
        <f ca="1">IFERROR(__xludf.DUMMYFUNCTION("""COMPUTED_VALUE"""),"Guadalajara: Capital de las niñas y los niños")</f>
        <v>Guadalajara: Capital de las niñas y los niños</v>
      </c>
      <c r="E647" s="89" t="str">
        <f ca="1">IFERROR(__xludf.DUMMYFUNCTION("""COMPUTED_VALUE"""),"Custodia, tutela, adopciones y acogimiento familiar")</f>
        <v>Custodia, tutela, adopciones y acogimiento familiar</v>
      </c>
      <c r="F647" s="89" t="str">
        <f ca="1">IFERROR(__xludf.DUMMYFUNCTION("""COMPUTED_VALUE"""),"A5C3. Representación jurídica de NNA ")</f>
        <v xml:space="preserve">A5C3. Representación jurídica de NNA </v>
      </c>
      <c r="G647" s="89" t="str">
        <f ca="1">IFERROR(__xludf.DUMMYFUNCTION("""COMPUTED_VALUE"""),"Porcentaje de representaciones jurídicas a NNA realizadas en 2023")</f>
        <v>Porcentaje de representaciones jurídicas a NNA realizadas en 2023</v>
      </c>
      <c r="H647" s="89" t="str">
        <f ca="1">IFERROR(__xludf.DUMMYFUNCTION("""COMPUTED_VALUE"""),"Servicio")</f>
        <v>Servicio</v>
      </c>
      <c r="I647" s="89" t="str">
        <f ca="1">IFERROR(__xludf.DUMMYFUNCTION("""COMPUTED_VALUE"""),"Mayo")</f>
        <v>Mayo</v>
      </c>
      <c r="J647" s="89" t="str">
        <f ca="1">IFERROR(__xludf.DUMMYFUNCTION("""COMPUTED_VALUE"""),"N/A")</f>
        <v>N/A</v>
      </c>
      <c r="K647" s="92">
        <f ca="1">IFERROR(__xludf.DUMMYFUNCTION("""COMPUTED_VALUE"""),69)</f>
        <v>69</v>
      </c>
      <c r="L647" s="89" t="str">
        <f ca="1">IFERROR(__xludf.DUMMYFUNCTION("""COMPUTED_VALUE"""),"TRIMESTRE 2")</f>
        <v>TRIMESTRE 2</v>
      </c>
      <c r="M647" s="89" t="str">
        <f ca="1">IFERROR(__xludf.DUMMYFUNCTION("""COMPUTED_VALUE"""),"SERVICIOS")</f>
        <v>SERVICIOS</v>
      </c>
    </row>
    <row r="648" spans="1:13">
      <c r="A648" s="89" t="str">
        <f ca="1">IFERROR(__xludf.DUMMYFUNCTION("""COMPUTED_VALUE"""),"4.1.3.3")</f>
        <v>4.1.3.3</v>
      </c>
      <c r="B648" s="89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648" s="89" t="str">
        <f ca="1">IFERROR(__xludf.DUMMYFUNCTION("""COMPUTED_VALUE"""),"4. Programas")</f>
        <v>4. Programas</v>
      </c>
      <c r="D648" s="89" t="str">
        <f ca="1">IFERROR(__xludf.DUMMYFUNCTION("""COMPUTED_VALUE"""),"Guadalajara: Capital de las niñas y los niños")</f>
        <v>Guadalajara: Capital de las niñas y los niños</v>
      </c>
      <c r="E648" s="89" t="str">
        <f ca="1">IFERROR(__xludf.DUMMYFUNCTION("""COMPUTED_VALUE"""),"Custodia, tutela, adopciones y acogimiento familiar")</f>
        <v>Custodia, tutela, adopciones y acogimiento familiar</v>
      </c>
      <c r="F648" s="89" t="str">
        <f ca="1">IFERROR(__xludf.DUMMYFUNCTION("""COMPUTED_VALUE"""),"A3C3. Diagnósticos y planes de Restitución de Derechos  de Niñas, Niños y Adolescentes, realizados")</f>
        <v>A3C3. Diagnósticos y planes de Restitución de Derechos  de Niñas, Niños y Adolescentes, realizados</v>
      </c>
      <c r="G648" s="89" t="str">
        <f ca="1">IFERROR(__xludf.DUMMYFUNCTION("""COMPUTED_VALUE"""),"Porcentaje de diagnósticos y  planes de restitución de derechos realizados, en 2023")</f>
        <v>Porcentaje de diagnósticos y  planes de restitución de derechos realizados, en 2023</v>
      </c>
      <c r="H648" s="89" t="str">
        <f ca="1">IFERROR(__xludf.DUMMYFUNCTION("""COMPUTED_VALUE"""),"Servicio")</f>
        <v>Servicio</v>
      </c>
      <c r="I648" s="89" t="str">
        <f ca="1">IFERROR(__xludf.DUMMYFUNCTION("""COMPUTED_VALUE"""),"Junio")</f>
        <v>Junio</v>
      </c>
      <c r="J648" s="89" t="str">
        <f ca="1">IFERROR(__xludf.DUMMYFUNCTION("""COMPUTED_VALUE"""),"N/A")</f>
        <v>N/A</v>
      </c>
      <c r="K648" s="92">
        <f ca="1">IFERROR(__xludf.DUMMYFUNCTION("""COMPUTED_VALUE"""),27)</f>
        <v>27</v>
      </c>
      <c r="L648" s="89" t="str">
        <f ca="1">IFERROR(__xludf.DUMMYFUNCTION("""COMPUTED_VALUE"""),"TRIMESTRE 2")</f>
        <v>TRIMESTRE 2</v>
      </c>
      <c r="M648" s="89" t="str">
        <f ca="1">IFERROR(__xludf.DUMMYFUNCTION("""COMPUTED_VALUE"""),"SERVICIOS")</f>
        <v>SERVICIOS</v>
      </c>
    </row>
    <row r="649" spans="1:13">
      <c r="A649" s="89" t="str">
        <f ca="1">IFERROR(__xludf.DUMMYFUNCTION("""COMPUTED_VALUE"""),"4.1.3.5")</f>
        <v>4.1.3.5</v>
      </c>
      <c r="B649" s="89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649" s="89" t="str">
        <f ca="1">IFERROR(__xludf.DUMMYFUNCTION("""COMPUTED_VALUE"""),"4. Programas")</f>
        <v>4. Programas</v>
      </c>
      <c r="D649" s="89" t="str">
        <f ca="1">IFERROR(__xludf.DUMMYFUNCTION("""COMPUTED_VALUE"""),"Guadalajara: Capital de las niñas y los niños")</f>
        <v>Guadalajara: Capital de las niñas y los niños</v>
      </c>
      <c r="E649" s="89" t="str">
        <f ca="1">IFERROR(__xludf.DUMMYFUNCTION("""COMPUTED_VALUE"""),"Custodia, tutela, adopciones y acogimiento familiar")</f>
        <v>Custodia, tutela, adopciones y acogimiento familiar</v>
      </c>
      <c r="F649" s="89" t="str">
        <f ca="1">IFERROR(__xludf.DUMMYFUNCTION("""COMPUTED_VALUE"""),"A5C3. Representación jurídica de NNA ")</f>
        <v xml:space="preserve">A5C3. Representación jurídica de NNA </v>
      </c>
      <c r="G649" s="89" t="str">
        <f ca="1">IFERROR(__xludf.DUMMYFUNCTION("""COMPUTED_VALUE"""),"Porcentaje de representaciones jurídicas a NNA realizadas en 2023")</f>
        <v>Porcentaje de representaciones jurídicas a NNA realizadas en 2023</v>
      </c>
      <c r="H649" s="89" t="str">
        <f ca="1">IFERROR(__xludf.DUMMYFUNCTION("""COMPUTED_VALUE"""),"Servicio")</f>
        <v>Servicio</v>
      </c>
      <c r="I649" s="89" t="str">
        <f ca="1">IFERROR(__xludf.DUMMYFUNCTION("""COMPUTED_VALUE"""),"Junio")</f>
        <v>Junio</v>
      </c>
      <c r="J649" s="89" t="str">
        <f ca="1">IFERROR(__xludf.DUMMYFUNCTION("""COMPUTED_VALUE"""),"N/A")</f>
        <v>N/A</v>
      </c>
      <c r="K649" s="92">
        <f ca="1">IFERROR(__xludf.DUMMYFUNCTION("""COMPUTED_VALUE"""),45)</f>
        <v>45</v>
      </c>
      <c r="L649" s="89" t="str">
        <f ca="1">IFERROR(__xludf.DUMMYFUNCTION("""COMPUTED_VALUE"""),"TRIMESTRE 2")</f>
        <v>TRIMESTRE 2</v>
      </c>
      <c r="M649" s="89" t="str">
        <f ca="1">IFERROR(__xludf.DUMMYFUNCTION("""COMPUTED_VALUE"""),"SERVICIOS")</f>
        <v>SERVICIOS</v>
      </c>
    </row>
    <row r="650" spans="1:13">
      <c r="A650" s="89" t="str">
        <f ca="1">IFERROR(__xludf.DUMMYFUNCTION("""COMPUTED_VALUE"""),"4.1.3.3")</f>
        <v>4.1.3.3</v>
      </c>
      <c r="B650" s="89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650" s="89" t="str">
        <f ca="1">IFERROR(__xludf.DUMMYFUNCTION("""COMPUTED_VALUE"""),"4. Programas")</f>
        <v>4. Programas</v>
      </c>
      <c r="D650" s="89" t="str">
        <f ca="1">IFERROR(__xludf.DUMMYFUNCTION("""COMPUTED_VALUE"""),"Guadalajara: Capital de las niñas y los niños")</f>
        <v>Guadalajara: Capital de las niñas y los niños</v>
      </c>
      <c r="E650" s="89" t="str">
        <f ca="1">IFERROR(__xludf.DUMMYFUNCTION("""COMPUTED_VALUE"""),"Custodia, tutela, adopciones y acogimiento familiar")</f>
        <v>Custodia, tutela, adopciones y acogimiento familiar</v>
      </c>
      <c r="F650" s="89" t="str">
        <f ca="1">IFERROR(__xludf.DUMMYFUNCTION("""COMPUTED_VALUE"""),"A3C3. Diagnósticos y planes de Restitución de Derechos  de Niñas, Niños y Adolescentes, realizados")</f>
        <v>A3C3. Diagnósticos y planes de Restitución de Derechos  de Niñas, Niños y Adolescentes, realizados</v>
      </c>
      <c r="G650" s="89" t="str">
        <f ca="1">IFERROR(__xludf.DUMMYFUNCTION("""COMPUTED_VALUE"""),"Porcentaje de diagnósticos y  planes de restitución de derechos realizados, en 2023")</f>
        <v>Porcentaje de diagnósticos y  planes de restitución de derechos realizados, en 2023</v>
      </c>
      <c r="H650" s="89" t="str">
        <f ca="1">IFERROR(__xludf.DUMMYFUNCTION("""COMPUTED_VALUE"""),"Servicio")</f>
        <v>Servicio</v>
      </c>
      <c r="I650" s="89" t="str">
        <f ca="1">IFERROR(__xludf.DUMMYFUNCTION("""COMPUTED_VALUE"""),"Julio")</f>
        <v>Julio</v>
      </c>
      <c r="J650" s="89" t="str">
        <f ca="1">IFERROR(__xludf.DUMMYFUNCTION("""COMPUTED_VALUE"""),"N/A")</f>
        <v>N/A</v>
      </c>
      <c r="K650" s="92">
        <f ca="1">IFERROR(__xludf.DUMMYFUNCTION("""COMPUTED_VALUE"""),8)</f>
        <v>8</v>
      </c>
      <c r="L650" s="89" t="str">
        <f ca="1">IFERROR(__xludf.DUMMYFUNCTION("""COMPUTED_VALUE"""),"TRIMESTRE 3")</f>
        <v>TRIMESTRE 3</v>
      </c>
      <c r="M650" s="89" t="str">
        <f ca="1">IFERROR(__xludf.DUMMYFUNCTION("""COMPUTED_VALUE"""),"SERVICIOS")</f>
        <v>SERVICIOS</v>
      </c>
    </row>
    <row r="651" spans="1:13">
      <c r="A651" s="89" t="str">
        <f ca="1">IFERROR(__xludf.DUMMYFUNCTION("""COMPUTED_VALUE"""),"4.1.3.5")</f>
        <v>4.1.3.5</v>
      </c>
      <c r="B651" s="89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651" s="89" t="str">
        <f ca="1">IFERROR(__xludf.DUMMYFUNCTION("""COMPUTED_VALUE"""),"4. Programas")</f>
        <v>4. Programas</v>
      </c>
      <c r="D651" s="89" t="str">
        <f ca="1">IFERROR(__xludf.DUMMYFUNCTION("""COMPUTED_VALUE"""),"Guadalajara: Capital de las niñas y los niños")</f>
        <v>Guadalajara: Capital de las niñas y los niños</v>
      </c>
      <c r="E651" s="89" t="str">
        <f ca="1">IFERROR(__xludf.DUMMYFUNCTION("""COMPUTED_VALUE"""),"Custodia, tutela, adopciones y acogimiento familiar")</f>
        <v>Custodia, tutela, adopciones y acogimiento familiar</v>
      </c>
      <c r="F651" s="89" t="str">
        <f ca="1">IFERROR(__xludf.DUMMYFUNCTION("""COMPUTED_VALUE"""),"A5C3. Representación jurídica de NNA ")</f>
        <v xml:space="preserve">A5C3. Representación jurídica de NNA </v>
      </c>
      <c r="G651" s="89" t="str">
        <f ca="1">IFERROR(__xludf.DUMMYFUNCTION("""COMPUTED_VALUE"""),"Porcentaje de representaciones jurídicas a NNA realizadas en 2023")</f>
        <v>Porcentaje de representaciones jurídicas a NNA realizadas en 2023</v>
      </c>
      <c r="H651" s="89" t="str">
        <f ca="1">IFERROR(__xludf.DUMMYFUNCTION("""COMPUTED_VALUE"""),"Servicio")</f>
        <v>Servicio</v>
      </c>
      <c r="I651" s="89" t="str">
        <f ca="1">IFERROR(__xludf.DUMMYFUNCTION("""COMPUTED_VALUE"""),"Julio")</f>
        <v>Julio</v>
      </c>
      <c r="J651" s="89" t="str">
        <f ca="1">IFERROR(__xludf.DUMMYFUNCTION("""COMPUTED_VALUE"""),"N/A")</f>
        <v>N/A</v>
      </c>
      <c r="K651" s="92">
        <f ca="1">IFERROR(__xludf.DUMMYFUNCTION("""COMPUTED_VALUE"""),56)</f>
        <v>56</v>
      </c>
      <c r="L651" s="89" t="str">
        <f ca="1">IFERROR(__xludf.DUMMYFUNCTION("""COMPUTED_VALUE"""),"TRIMESTRE 3")</f>
        <v>TRIMESTRE 3</v>
      </c>
      <c r="M651" s="89" t="str">
        <f ca="1">IFERROR(__xludf.DUMMYFUNCTION("""COMPUTED_VALUE"""),"SERVICIOS")</f>
        <v>SERVICIOS</v>
      </c>
    </row>
    <row r="652" spans="1:13">
      <c r="A652" s="89" t="str">
        <f ca="1">IFERROR(__xludf.DUMMYFUNCTION("""COMPUTED_VALUE"""),"4.1.3.3")</f>
        <v>4.1.3.3</v>
      </c>
      <c r="B652" s="89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652" s="89" t="str">
        <f ca="1">IFERROR(__xludf.DUMMYFUNCTION("""COMPUTED_VALUE"""),"4. Programas")</f>
        <v>4. Programas</v>
      </c>
      <c r="D652" s="89" t="str">
        <f ca="1">IFERROR(__xludf.DUMMYFUNCTION("""COMPUTED_VALUE"""),"Guadalajara: Capital de las niñas y los niños")</f>
        <v>Guadalajara: Capital de las niñas y los niños</v>
      </c>
      <c r="E652" s="89" t="str">
        <f ca="1">IFERROR(__xludf.DUMMYFUNCTION("""COMPUTED_VALUE"""),"Custodia, tutela, adopciones y acogimiento familiar")</f>
        <v>Custodia, tutela, adopciones y acogimiento familiar</v>
      </c>
      <c r="F652" s="89" t="str">
        <f ca="1">IFERROR(__xludf.DUMMYFUNCTION("""COMPUTED_VALUE"""),"A3C3. Diagnósticos y planes de Restitución de Derechos  de Niñas, Niños y Adolescentes, realizados")</f>
        <v>A3C3. Diagnósticos y planes de Restitución de Derechos  de Niñas, Niños y Adolescentes, realizados</v>
      </c>
      <c r="G652" s="89" t="str">
        <f ca="1">IFERROR(__xludf.DUMMYFUNCTION("""COMPUTED_VALUE"""),"Porcentaje de diagnósticos y  planes de restitución de derechos realizados, en 2023")</f>
        <v>Porcentaje de diagnósticos y  planes de restitución de derechos realizados, en 2023</v>
      </c>
      <c r="H652" s="89" t="str">
        <f ca="1">IFERROR(__xludf.DUMMYFUNCTION("""COMPUTED_VALUE"""),"Servicio")</f>
        <v>Servicio</v>
      </c>
      <c r="I652" s="89" t="str">
        <f ca="1">IFERROR(__xludf.DUMMYFUNCTION("""COMPUTED_VALUE"""),"Agosto")</f>
        <v>Agosto</v>
      </c>
      <c r="J652" s="89" t="str">
        <f ca="1">IFERROR(__xludf.DUMMYFUNCTION("""COMPUTED_VALUE"""),"N/A")</f>
        <v>N/A</v>
      </c>
      <c r="K652" s="92">
        <f ca="1">IFERROR(__xludf.DUMMYFUNCTION("""COMPUTED_VALUE"""),28)</f>
        <v>28</v>
      </c>
      <c r="L652" s="89" t="str">
        <f ca="1">IFERROR(__xludf.DUMMYFUNCTION("""COMPUTED_VALUE"""),"TRIMESTRE 3")</f>
        <v>TRIMESTRE 3</v>
      </c>
      <c r="M652" s="89" t="str">
        <f ca="1">IFERROR(__xludf.DUMMYFUNCTION("""COMPUTED_VALUE"""),"SERVICIOS")</f>
        <v>SERVICIOS</v>
      </c>
    </row>
    <row r="653" spans="1:13">
      <c r="A653" s="89" t="str">
        <f ca="1">IFERROR(__xludf.DUMMYFUNCTION("""COMPUTED_VALUE"""),"4.1.3.5")</f>
        <v>4.1.3.5</v>
      </c>
      <c r="B653" s="89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653" s="89" t="str">
        <f ca="1">IFERROR(__xludf.DUMMYFUNCTION("""COMPUTED_VALUE"""),"4. Programas")</f>
        <v>4. Programas</v>
      </c>
      <c r="D653" s="89" t="str">
        <f ca="1">IFERROR(__xludf.DUMMYFUNCTION("""COMPUTED_VALUE"""),"Guadalajara: Capital de las niñas y los niños")</f>
        <v>Guadalajara: Capital de las niñas y los niños</v>
      </c>
      <c r="E653" s="89" t="str">
        <f ca="1">IFERROR(__xludf.DUMMYFUNCTION("""COMPUTED_VALUE"""),"Custodia, tutela, adopciones y acogimiento familiar")</f>
        <v>Custodia, tutela, adopciones y acogimiento familiar</v>
      </c>
      <c r="F653" s="89" t="str">
        <f ca="1">IFERROR(__xludf.DUMMYFUNCTION("""COMPUTED_VALUE"""),"A5C3. Representación jurídica de NNA ")</f>
        <v xml:space="preserve">A5C3. Representación jurídica de NNA </v>
      </c>
      <c r="G653" s="89" t="str">
        <f ca="1">IFERROR(__xludf.DUMMYFUNCTION("""COMPUTED_VALUE"""),"Porcentaje de representaciones jurídicas a NNA realizadas en 2023")</f>
        <v>Porcentaje de representaciones jurídicas a NNA realizadas en 2023</v>
      </c>
      <c r="H653" s="89" t="str">
        <f ca="1">IFERROR(__xludf.DUMMYFUNCTION("""COMPUTED_VALUE"""),"Servicio")</f>
        <v>Servicio</v>
      </c>
      <c r="I653" s="89" t="str">
        <f ca="1">IFERROR(__xludf.DUMMYFUNCTION("""COMPUTED_VALUE"""),"Agosto")</f>
        <v>Agosto</v>
      </c>
      <c r="J653" s="89" t="str">
        <f ca="1">IFERROR(__xludf.DUMMYFUNCTION("""COMPUTED_VALUE"""),"N/A")</f>
        <v>N/A</v>
      </c>
      <c r="K653" s="92">
        <f ca="1">IFERROR(__xludf.DUMMYFUNCTION("""COMPUTED_VALUE"""),68)</f>
        <v>68</v>
      </c>
      <c r="L653" s="89" t="str">
        <f ca="1">IFERROR(__xludf.DUMMYFUNCTION("""COMPUTED_VALUE"""),"TRIMESTRE 3")</f>
        <v>TRIMESTRE 3</v>
      </c>
      <c r="M653" s="89" t="str">
        <f ca="1">IFERROR(__xludf.DUMMYFUNCTION("""COMPUTED_VALUE"""),"SERVICIOS")</f>
        <v>SERVICIOS</v>
      </c>
    </row>
    <row r="654" spans="1:13">
      <c r="A654" s="89" t="str">
        <f ca="1">IFERROR(__xludf.DUMMYFUNCTION("""COMPUTED_VALUE"""),"4.1.3.3")</f>
        <v>4.1.3.3</v>
      </c>
      <c r="B654" s="89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654" s="89" t="str">
        <f ca="1">IFERROR(__xludf.DUMMYFUNCTION("""COMPUTED_VALUE"""),"4. Programas")</f>
        <v>4. Programas</v>
      </c>
      <c r="D654" s="89" t="str">
        <f ca="1">IFERROR(__xludf.DUMMYFUNCTION("""COMPUTED_VALUE"""),"Guadalajara: Capital de las niñas y los niños")</f>
        <v>Guadalajara: Capital de las niñas y los niños</v>
      </c>
      <c r="E654" s="89" t="str">
        <f ca="1">IFERROR(__xludf.DUMMYFUNCTION("""COMPUTED_VALUE"""),"Custodia, tutela, adopciones y acogimiento familiar")</f>
        <v>Custodia, tutela, adopciones y acogimiento familiar</v>
      </c>
      <c r="F654" s="89" t="str">
        <f ca="1">IFERROR(__xludf.DUMMYFUNCTION("""COMPUTED_VALUE"""),"A3C3. Diagnósticos y planes de Restitución de Derechos  de Niñas, Niños y Adolescentes, realizados")</f>
        <v>A3C3. Diagnósticos y planes de Restitución de Derechos  de Niñas, Niños y Adolescentes, realizados</v>
      </c>
      <c r="G654" s="89" t="str">
        <f ca="1">IFERROR(__xludf.DUMMYFUNCTION("""COMPUTED_VALUE"""),"Porcentaje de diagnósticos y  planes de restitución de derechos realizados, en 2023")</f>
        <v>Porcentaje de diagnósticos y  planes de restitución de derechos realizados, en 2023</v>
      </c>
      <c r="H654" s="89" t="str">
        <f ca="1">IFERROR(__xludf.DUMMYFUNCTION("""COMPUTED_VALUE"""),"Servicio")</f>
        <v>Servicio</v>
      </c>
      <c r="I654" s="89" t="str">
        <f ca="1">IFERROR(__xludf.DUMMYFUNCTION("""COMPUTED_VALUE"""),"Septiembre")</f>
        <v>Septiembre</v>
      </c>
      <c r="J654" s="89" t="str">
        <f ca="1">IFERROR(__xludf.DUMMYFUNCTION("""COMPUTED_VALUE"""),"N/A")</f>
        <v>N/A</v>
      </c>
      <c r="K654" s="92">
        <f ca="1">IFERROR(__xludf.DUMMYFUNCTION("""COMPUTED_VALUE"""),38)</f>
        <v>38</v>
      </c>
      <c r="L654" s="89" t="str">
        <f ca="1">IFERROR(__xludf.DUMMYFUNCTION("""COMPUTED_VALUE"""),"TRIMESTRE 3")</f>
        <v>TRIMESTRE 3</v>
      </c>
      <c r="M654" s="89" t="str">
        <f ca="1">IFERROR(__xludf.DUMMYFUNCTION("""COMPUTED_VALUE"""),"SERVICIOS")</f>
        <v>SERVICIOS</v>
      </c>
    </row>
    <row r="655" spans="1:13">
      <c r="A655" s="89" t="str">
        <f ca="1">IFERROR(__xludf.DUMMYFUNCTION("""COMPUTED_VALUE"""),"4.1.3.5")</f>
        <v>4.1.3.5</v>
      </c>
      <c r="B655" s="89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655" s="89" t="str">
        <f ca="1">IFERROR(__xludf.DUMMYFUNCTION("""COMPUTED_VALUE"""),"4. Programas")</f>
        <v>4. Programas</v>
      </c>
      <c r="D655" s="89" t="str">
        <f ca="1">IFERROR(__xludf.DUMMYFUNCTION("""COMPUTED_VALUE"""),"Guadalajara: Capital de las niñas y los niños")</f>
        <v>Guadalajara: Capital de las niñas y los niños</v>
      </c>
      <c r="E655" s="89" t="str">
        <f ca="1">IFERROR(__xludf.DUMMYFUNCTION("""COMPUTED_VALUE"""),"Custodia, tutela, adopciones y acogimiento familiar")</f>
        <v>Custodia, tutela, adopciones y acogimiento familiar</v>
      </c>
      <c r="F655" s="89" t="str">
        <f ca="1">IFERROR(__xludf.DUMMYFUNCTION("""COMPUTED_VALUE"""),"A5C3. Representación jurídica de NNA ")</f>
        <v xml:space="preserve">A5C3. Representación jurídica de NNA </v>
      </c>
      <c r="G655" s="89" t="str">
        <f ca="1">IFERROR(__xludf.DUMMYFUNCTION("""COMPUTED_VALUE"""),"Porcentaje de representaciones jurídicas a NNA realizadas en 2023")</f>
        <v>Porcentaje de representaciones jurídicas a NNA realizadas en 2023</v>
      </c>
      <c r="H655" s="89" t="str">
        <f ca="1">IFERROR(__xludf.DUMMYFUNCTION("""COMPUTED_VALUE"""),"Servicio")</f>
        <v>Servicio</v>
      </c>
      <c r="I655" s="89" t="str">
        <f ca="1">IFERROR(__xludf.DUMMYFUNCTION("""COMPUTED_VALUE"""),"Septiembre")</f>
        <v>Septiembre</v>
      </c>
      <c r="J655" s="89" t="str">
        <f ca="1">IFERROR(__xludf.DUMMYFUNCTION("""COMPUTED_VALUE"""),"N/A")</f>
        <v>N/A</v>
      </c>
      <c r="K655" s="92">
        <f ca="1">IFERROR(__xludf.DUMMYFUNCTION("""COMPUTED_VALUE"""),70)</f>
        <v>70</v>
      </c>
      <c r="L655" s="89" t="str">
        <f ca="1">IFERROR(__xludf.DUMMYFUNCTION("""COMPUTED_VALUE"""),"TRIMESTRE 3")</f>
        <v>TRIMESTRE 3</v>
      </c>
      <c r="M655" s="89" t="str">
        <f ca="1">IFERROR(__xludf.DUMMYFUNCTION("""COMPUTED_VALUE"""),"SERVICIOS")</f>
        <v>SERVICIOS</v>
      </c>
    </row>
    <row r="656" spans="1:13">
      <c r="A656" s="89" t="str">
        <f ca="1">IFERROR(__xludf.DUMMYFUNCTION("""COMPUTED_VALUE"""),"4.1.3.3")</f>
        <v>4.1.3.3</v>
      </c>
      <c r="B656" s="89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656" s="89" t="str">
        <f ca="1">IFERROR(__xludf.DUMMYFUNCTION("""COMPUTED_VALUE"""),"4. Programas")</f>
        <v>4. Programas</v>
      </c>
      <c r="D656" s="89" t="str">
        <f ca="1">IFERROR(__xludf.DUMMYFUNCTION("""COMPUTED_VALUE"""),"Guadalajara: Capital de las niñas y los niños")</f>
        <v>Guadalajara: Capital de las niñas y los niños</v>
      </c>
      <c r="E656" s="89" t="str">
        <f ca="1">IFERROR(__xludf.DUMMYFUNCTION("""COMPUTED_VALUE"""),"Custodia, tutela, adopciones y acogimiento familiar")</f>
        <v>Custodia, tutela, adopciones y acogimiento familiar</v>
      </c>
      <c r="F656" s="89" t="str">
        <f ca="1">IFERROR(__xludf.DUMMYFUNCTION("""COMPUTED_VALUE"""),"A3C3. Diagnósticos y planes de Restitución de Derechos  de Niñas, Niños y Adolescentes, realizados")</f>
        <v>A3C3. Diagnósticos y planes de Restitución de Derechos  de Niñas, Niños y Adolescentes, realizados</v>
      </c>
      <c r="G656" s="89" t="str">
        <f ca="1">IFERROR(__xludf.DUMMYFUNCTION("""COMPUTED_VALUE"""),"Porcentaje de diagnósticos y  planes de restitución de derechos realizados, en 2023")</f>
        <v>Porcentaje de diagnósticos y  planes de restitución de derechos realizados, en 2023</v>
      </c>
      <c r="H656" s="89" t="str">
        <f ca="1">IFERROR(__xludf.DUMMYFUNCTION("""COMPUTED_VALUE"""),"Servicio")</f>
        <v>Servicio</v>
      </c>
      <c r="I656" s="89" t="str">
        <f ca="1">IFERROR(__xludf.DUMMYFUNCTION("""COMPUTED_VALUE"""),"Octubre")</f>
        <v>Octubre</v>
      </c>
      <c r="J656" s="89" t="str">
        <f ca="1">IFERROR(__xludf.DUMMYFUNCTION("""COMPUTED_VALUE"""),"N/A")</f>
        <v>N/A</v>
      </c>
      <c r="K656" s="92">
        <f ca="1">IFERROR(__xludf.DUMMYFUNCTION("""COMPUTED_VALUE"""),31)</f>
        <v>31</v>
      </c>
      <c r="L656" s="89" t="str">
        <f ca="1">IFERROR(__xludf.DUMMYFUNCTION("""COMPUTED_VALUE"""),"TRIMESTRE 4")</f>
        <v>TRIMESTRE 4</v>
      </c>
      <c r="M656" s="89" t="str">
        <f ca="1">IFERROR(__xludf.DUMMYFUNCTION("""COMPUTED_VALUE"""),"SERVICIOS")</f>
        <v>SERVICIOS</v>
      </c>
    </row>
    <row r="657" spans="1:13">
      <c r="A657" s="89" t="str">
        <f ca="1">IFERROR(__xludf.DUMMYFUNCTION("""COMPUTED_VALUE"""),"4.1.3.5")</f>
        <v>4.1.3.5</v>
      </c>
      <c r="B657" s="89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657" s="89" t="str">
        <f ca="1">IFERROR(__xludf.DUMMYFUNCTION("""COMPUTED_VALUE"""),"4. Programas")</f>
        <v>4. Programas</v>
      </c>
      <c r="D657" s="89" t="str">
        <f ca="1">IFERROR(__xludf.DUMMYFUNCTION("""COMPUTED_VALUE"""),"Guadalajara: Capital de las niñas y los niños")</f>
        <v>Guadalajara: Capital de las niñas y los niños</v>
      </c>
      <c r="E657" s="89" t="str">
        <f ca="1">IFERROR(__xludf.DUMMYFUNCTION("""COMPUTED_VALUE"""),"Custodia, tutela, adopciones y acogimiento familiar")</f>
        <v>Custodia, tutela, adopciones y acogimiento familiar</v>
      </c>
      <c r="F657" s="89" t="str">
        <f ca="1">IFERROR(__xludf.DUMMYFUNCTION("""COMPUTED_VALUE"""),"A5C3. Representación jurídica de NNA ")</f>
        <v xml:space="preserve">A5C3. Representación jurídica de NNA </v>
      </c>
      <c r="G657" s="89" t="str">
        <f ca="1">IFERROR(__xludf.DUMMYFUNCTION("""COMPUTED_VALUE"""),"Porcentaje de representaciones jurídicas a NNA realizadas en 2023")</f>
        <v>Porcentaje de representaciones jurídicas a NNA realizadas en 2023</v>
      </c>
      <c r="H657" s="89" t="str">
        <f ca="1">IFERROR(__xludf.DUMMYFUNCTION("""COMPUTED_VALUE"""),"Servicio")</f>
        <v>Servicio</v>
      </c>
      <c r="I657" s="89" t="str">
        <f ca="1">IFERROR(__xludf.DUMMYFUNCTION("""COMPUTED_VALUE"""),"Octubre")</f>
        <v>Octubre</v>
      </c>
      <c r="J657" s="89" t="str">
        <f ca="1">IFERROR(__xludf.DUMMYFUNCTION("""COMPUTED_VALUE"""),"N/A")</f>
        <v>N/A</v>
      </c>
      <c r="K657" s="92">
        <f ca="1">IFERROR(__xludf.DUMMYFUNCTION("""COMPUTED_VALUE"""),56)</f>
        <v>56</v>
      </c>
      <c r="L657" s="89" t="str">
        <f ca="1">IFERROR(__xludf.DUMMYFUNCTION("""COMPUTED_VALUE"""),"TRIMESTRE 4")</f>
        <v>TRIMESTRE 4</v>
      </c>
      <c r="M657" s="89" t="str">
        <f ca="1">IFERROR(__xludf.DUMMYFUNCTION("""COMPUTED_VALUE"""),"SERVICIOS")</f>
        <v>SERVICIOS</v>
      </c>
    </row>
    <row r="658" spans="1:13">
      <c r="A658" s="89" t="str">
        <f ca="1">IFERROR(__xludf.DUMMYFUNCTION("""COMPUTED_VALUE"""),"4.1.3.3")</f>
        <v>4.1.3.3</v>
      </c>
      <c r="B658" s="89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658" s="89" t="str">
        <f ca="1">IFERROR(__xludf.DUMMYFUNCTION("""COMPUTED_VALUE"""),"4. Programas")</f>
        <v>4. Programas</v>
      </c>
      <c r="D658" s="89" t="str">
        <f ca="1">IFERROR(__xludf.DUMMYFUNCTION("""COMPUTED_VALUE"""),"Guadalajara: Capital de las niñas y los niños")</f>
        <v>Guadalajara: Capital de las niñas y los niños</v>
      </c>
      <c r="E658" s="89" t="str">
        <f ca="1">IFERROR(__xludf.DUMMYFUNCTION("""COMPUTED_VALUE"""),"Custodia, tutela, adopciones y acogimiento familiar")</f>
        <v>Custodia, tutela, adopciones y acogimiento familiar</v>
      </c>
      <c r="F658" s="89" t="str">
        <f ca="1">IFERROR(__xludf.DUMMYFUNCTION("""COMPUTED_VALUE"""),"A3C3. Diagnósticos y planes de Restitución de Derechos  de Niñas, Niños y Adolescentes, realizados")</f>
        <v>A3C3. Diagnósticos y planes de Restitución de Derechos  de Niñas, Niños y Adolescentes, realizados</v>
      </c>
      <c r="G658" s="89" t="str">
        <f ca="1">IFERROR(__xludf.DUMMYFUNCTION("""COMPUTED_VALUE"""),"Porcentaje de diagnósticos y  planes de restitución de derechos realizados, en 2023")</f>
        <v>Porcentaje de diagnósticos y  planes de restitución de derechos realizados, en 2023</v>
      </c>
      <c r="H658" s="89" t="str">
        <f ca="1">IFERROR(__xludf.DUMMYFUNCTION("""COMPUTED_VALUE"""),"Servicio")</f>
        <v>Servicio</v>
      </c>
      <c r="I658" s="89" t="str">
        <f ca="1">IFERROR(__xludf.DUMMYFUNCTION("""COMPUTED_VALUE"""),"Noviembre")</f>
        <v>Noviembre</v>
      </c>
      <c r="J658" s="89" t="str">
        <f ca="1">IFERROR(__xludf.DUMMYFUNCTION("""COMPUTED_VALUE"""),"N/A")</f>
        <v>N/A</v>
      </c>
      <c r="K658" s="92">
        <f ca="1">IFERROR(__xludf.DUMMYFUNCTION("""COMPUTED_VALUE"""),22)</f>
        <v>22</v>
      </c>
      <c r="L658" s="89" t="str">
        <f ca="1">IFERROR(__xludf.DUMMYFUNCTION("""COMPUTED_VALUE"""),"TRIMESTRE 4")</f>
        <v>TRIMESTRE 4</v>
      </c>
      <c r="M658" s="89" t="str">
        <f ca="1">IFERROR(__xludf.DUMMYFUNCTION("""COMPUTED_VALUE"""),"SERVICIOS")</f>
        <v>SERVICIOS</v>
      </c>
    </row>
    <row r="659" spans="1:13">
      <c r="A659" s="89" t="str">
        <f ca="1">IFERROR(__xludf.DUMMYFUNCTION("""COMPUTED_VALUE"""),"4.1.3.5")</f>
        <v>4.1.3.5</v>
      </c>
      <c r="B659" s="89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659" s="89" t="str">
        <f ca="1">IFERROR(__xludf.DUMMYFUNCTION("""COMPUTED_VALUE"""),"4. Programas")</f>
        <v>4. Programas</v>
      </c>
      <c r="D659" s="89" t="str">
        <f ca="1">IFERROR(__xludf.DUMMYFUNCTION("""COMPUTED_VALUE"""),"Guadalajara: Capital de las niñas y los niños")</f>
        <v>Guadalajara: Capital de las niñas y los niños</v>
      </c>
      <c r="E659" s="89" t="str">
        <f ca="1">IFERROR(__xludf.DUMMYFUNCTION("""COMPUTED_VALUE"""),"Custodia, tutela, adopciones y acogimiento familiar")</f>
        <v>Custodia, tutela, adopciones y acogimiento familiar</v>
      </c>
      <c r="F659" s="89" t="str">
        <f ca="1">IFERROR(__xludf.DUMMYFUNCTION("""COMPUTED_VALUE"""),"A5C3. Representación jurídica de NNA ")</f>
        <v xml:space="preserve">A5C3. Representación jurídica de NNA </v>
      </c>
      <c r="G659" s="89" t="str">
        <f ca="1">IFERROR(__xludf.DUMMYFUNCTION("""COMPUTED_VALUE"""),"Porcentaje de representaciones jurídicas a NNA realizadas en 2023")</f>
        <v>Porcentaje de representaciones jurídicas a NNA realizadas en 2023</v>
      </c>
      <c r="H659" s="89" t="str">
        <f ca="1">IFERROR(__xludf.DUMMYFUNCTION("""COMPUTED_VALUE"""),"Servicio")</f>
        <v>Servicio</v>
      </c>
      <c r="I659" s="89" t="str">
        <f ca="1">IFERROR(__xludf.DUMMYFUNCTION("""COMPUTED_VALUE"""),"Noviembre")</f>
        <v>Noviembre</v>
      </c>
      <c r="J659" s="89" t="str">
        <f ca="1">IFERROR(__xludf.DUMMYFUNCTION("""COMPUTED_VALUE"""),"N/A")</f>
        <v>N/A</v>
      </c>
      <c r="K659" s="92">
        <f ca="1">IFERROR(__xludf.DUMMYFUNCTION("""COMPUTED_VALUE"""),62)</f>
        <v>62</v>
      </c>
      <c r="L659" s="89" t="str">
        <f ca="1">IFERROR(__xludf.DUMMYFUNCTION("""COMPUTED_VALUE"""),"TRIMESTRE 4")</f>
        <v>TRIMESTRE 4</v>
      </c>
      <c r="M659" s="89" t="str">
        <f ca="1">IFERROR(__xludf.DUMMYFUNCTION("""COMPUTED_VALUE"""),"SERVICIOS")</f>
        <v>SERVICIOS</v>
      </c>
    </row>
    <row r="660" spans="1:13">
      <c r="A660" s="89" t="str">
        <f ca="1">IFERROR(__xludf.DUMMYFUNCTION("""COMPUTED_VALUE"""),"4.1.3.3")</f>
        <v>4.1.3.3</v>
      </c>
      <c r="B660" s="89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660" s="89" t="str">
        <f ca="1">IFERROR(__xludf.DUMMYFUNCTION("""COMPUTED_VALUE"""),"4. Programas")</f>
        <v>4. Programas</v>
      </c>
      <c r="D660" s="89" t="str">
        <f ca="1">IFERROR(__xludf.DUMMYFUNCTION("""COMPUTED_VALUE"""),"Guadalajara: Capital de las niñas y los niños")</f>
        <v>Guadalajara: Capital de las niñas y los niños</v>
      </c>
      <c r="E660" s="89" t="str">
        <f ca="1">IFERROR(__xludf.DUMMYFUNCTION("""COMPUTED_VALUE"""),"Custodia, tutela, adopciones y acogimiento familiar")</f>
        <v>Custodia, tutela, adopciones y acogimiento familiar</v>
      </c>
      <c r="F660" s="89" t="str">
        <f ca="1">IFERROR(__xludf.DUMMYFUNCTION("""COMPUTED_VALUE"""),"A3C3. Diagnósticos y planes de Restitución de Derechos  de Niñas, Niños y Adolescentes, realizados")</f>
        <v>A3C3. Diagnósticos y planes de Restitución de Derechos  de Niñas, Niños y Adolescentes, realizados</v>
      </c>
      <c r="G660" s="89" t="str">
        <f ca="1">IFERROR(__xludf.DUMMYFUNCTION("""COMPUTED_VALUE"""),"Porcentaje de diagnósticos y  planes de restitución de derechos realizados, en 2023")</f>
        <v>Porcentaje de diagnósticos y  planes de restitución de derechos realizados, en 2023</v>
      </c>
      <c r="H660" s="89" t="str">
        <f ca="1">IFERROR(__xludf.DUMMYFUNCTION("""COMPUTED_VALUE"""),"Servicio")</f>
        <v>Servicio</v>
      </c>
      <c r="I660" s="89" t="str">
        <f ca="1">IFERROR(__xludf.DUMMYFUNCTION("""COMPUTED_VALUE"""),"Diciembre")</f>
        <v>Diciembre</v>
      </c>
      <c r="J660" s="89" t="str">
        <f ca="1">IFERROR(__xludf.DUMMYFUNCTION("""COMPUTED_VALUE"""),"N/A")</f>
        <v>N/A</v>
      </c>
      <c r="K660" s="92">
        <f ca="1">IFERROR(__xludf.DUMMYFUNCTION("""COMPUTED_VALUE"""),17)</f>
        <v>17</v>
      </c>
      <c r="L660" s="89" t="str">
        <f ca="1">IFERROR(__xludf.DUMMYFUNCTION("""COMPUTED_VALUE"""),"TRIMESTRE 4")</f>
        <v>TRIMESTRE 4</v>
      </c>
      <c r="M660" s="89" t="str">
        <f ca="1">IFERROR(__xludf.DUMMYFUNCTION("""COMPUTED_VALUE"""),"SERVICIOS")</f>
        <v>SERVICIOS</v>
      </c>
    </row>
    <row r="661" spans="1:13">
      <c r="A661" s="89" t="str">
        <f ca="1">IFERROR(__xludf.DUMMYFUNCTION("""COMPUTED_VALUE"""),"4.1.3.5")</f>
        <v>4.1.3.5</v>
      </c>
      <c r="B661" s="89" t="str">
        <f ca="1">IFERROR(__xludf.DUMMYFUNCTION("""COMPUTED_VALUE"""),"Custodia, tutela, adopciones y acogimiento familiar/Jefatura del Departamento de Custodia, Tutela, Adopciones y Acogimiento Familiar/Delegación Institucional de la Procuraduría de Protección de  Niñas, Niños y Adolescentes /Coord.4. Programas")</f>
        <v>Custodia, tutela, adopciones y acogimiento familiar/Jefatura del Departamento de Custodia, Tutela, Adopciones y Acogimiento Familiar/Delegación Institucional de la Procuraduría de Protección de  Niñas, Niños y Adolescentes /Coord.4. Programas</v>
      </c>
      <c r="C661" s="89" t="str">
        <f ca="1">IFERROR(__xludf.DUMMYFUNCTION("""COMPUTED_VALUE"""),"4. Programas")</f>
        <v>4. Programas</v>
      </c>
      <c r="D661" s="89" t="str">
        <f ca="1">IFERROR(__xludf.DUMMYFUNCTION("""COMPUTED_VALUE"""),"Guadalajara: Capital de las niñas y los niños")</f>
        <v>Guadalajara: Capital de las niñas y los niños</v>
      </c>
      <c r="E661" s="89" t="str">
        <f ca="1">IFERROR(__xludf.DUMMYFUNCTION("""COMPUTED_VALUE"""),"Custodia, tutela, adopciones y acogimiento familiar")</f>
        <v>Custodia, tutela, adopciones y acogimiento familiar</v>
      </c>
      <c r="F661" s="89" t="str">
        <f ca="1">IFERROR(__xludf.DUMMYFUNCTION("""COMPUTED_VALUE"""),"A5C3. Representación jurídica de NNA ")</f>
        <v xml:space="preserve">A5C3. Representación jurídica de NNA </v>
      </c>
      <c r="G661" s="89" t="str">
        <f ca="1">IFERROR(__xludf.DUMMYFUNCTION("""COMPUTED_VALUE"""),"Porcentaje de representaciones jurídicas a NNA realizadas en 2023")</f>
        <v>Porcentaje de representaciones jurídicas a NNA realizadas en 2023</v>
      </c>
      <c r="H661" s="89" t="str">
        <f ca="1">IFERROR(__xludf.DUMMYFUNCTION("""COMPUTED_VALUE"""),"Servicio")</f>
        <v>Servicio</v>
      </c>
      <c r="I661" s="89" t="str">
        <f ca="1">IFERROR(__xludf.DUMMYFUNCTION("""COMPUTED_VALUE"""),"Diciembre")</f>
        <v>Diciembre</v>
      </c>
      <c r="J661" s="89" t="str">
        <f ca="1">IFERROR(__xludf.DUMMYFUNCTION("""COMPUTED_VALUE"""),"N/A")</f>
        <v>N/A</v>
      </c>
      <c r="K661" s="92">
        <f ca="1">IFERROR(__xludf.DUMMYFUNCTION("""COMPUTED_VALUE"""),14)</f>
        <v>14</v>
      </c>
      <c r="L661" s="89" t="str">
        <f ca="1">IFERROR(__xludf.DUMMYFUNCTION("""COMPUTED_VALUE"""),"TRIMESTRE 4")</f>
        <v>TRIMESTRE 4</v>
      </c>
      <c r="M661" s="89" t="str">
        <f ca="1">IFERROR(__xludf.DUMMYFUNCTION("""COMPUTED_VALUE"""),"SERVICIOS")</f>
        <v>SERVICIOS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MIR TRANSPARENCIA</vt:lpstr>
      <vt:lpstr>SID</vt:lpstr>
      <vt:lpstr>Estático</vt:lpstr>
      <vt:lpstr>Subida</vt:lpstr>
      <vt:lpstr>anterior</vt:lpstr>
      <vt:lpstr>ESTADÍSTICAS (DINÁMICO)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Flores Uribe</dc:creator>
  <cp:lastModifiedBy>Jorge Flores Uribe</cp:lastModifiedBy>
  <dcterms:created xsi:type="dcterms:W3CDTF">2024-01-08T23:09:07Z</dcterms:created>
  <dcterms:modified xsi:type="dcterms:W3CDTF">2024-01-09T21:27:17Z</dcterms:modified>
</cp:coreProperties>
</file>