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DICIEMBRE 2024\MIR TRANSPARENCIA\"/>
    </mc:Choice>
  </mc:AlternateContent>
  <bookViews>
    <workbookView xWindow="0" yWindow="0" windowWidth="28800" windowHeight="12435"/>
  </bookViews>
  <sheets>
    <sheet name="MIR DIF GDL 2024" sheetId="1" r:id="rId1"/>
    <sheet name="MIR_TRANSPARENCIA" sheetId="2" state="hidden" r:id="rId2"/>
    <sheet name="Hoja 3" sheetId="3" state="hidden" r:id="rId3"/>
    <sheet name="Glosario KEY" sheetId="5" state="hidden" r:id="rId4"/>
    <sheet name="SID" sheetId="7" state="hidden" r:id="rId5"/>
  </sheets>
  <calcPr calcId="152511"/>
</workbook>
</file>

<file path=xl/calcChain.xml><?xml version="1.0" encoding="utf-8"?>
<calcChain xmlns="http://schemas.openxmlformats.org/spreadsheetml/2006/main">
  <c r="I3" i="7" l="1"/>
  <c r="I2" i="7"/>
  <c r="J44" i="2"/>
  <c r="K44" i="2" s="1"/>
  <c r="K43" i="2"/>
  <c r="J43" i="2"/>
  <c r="J42" i="2"/>
  <c r="K42" i="2" s="1"/>
  <c r="K41" i="2"/>
  <c r="J41" i="2"/>
  <c r="J40" i="2"/>
  <c r="K40" i="2" s="1"/>
  <c r="K39" i="2"/>
  <c r="J39" i="2"/>
  <c r="J38" i="2"/>
  <c r="K38" i="2" s="1"/>
  <c r="K37" i="2"/>
  <c r="J37" i="2"/>
  <c r="J36" i="2"/>
  <c r="K36" i="2" s="1"/>
  <c r="K35" i="2"/>
  <c r="O34" i="2"/>
  <c r="O33" i="2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J37" i="1"/>
  <c r="I37" i="1"/>
  <c r="I36" i="1"/>
  <c r="J36" i="1" s="1"/>
  <c r="J35" i="1"/>
  <c r="F13" i="7"/>
  <c r="B13" i="7"/>
  <c r="H12" i="7"/>
  <c r="D12" i="7"/>
  <c r="F11" i="7"/>
  <c r="B11" i="7"/>
  <c r="H10" i="7"/>
  <c r="D10" i="7"/>
  <c r="F9" i="7"/>
  <c r="B9" i="7"/>
  <c r="H8" i="7"/>
  <c r="D8" i="7"/>
  <c r="F7" i="7"/>
  <c r="B7" i="7"/>
  <c r="E6" i="7"/>
  <c r="A6" i="7"/>
  <c r="G5" i="7"/>
  <c r="C5" i="7"/>
  <c r="E4" i="7"/>
  <c r="A4" i="7"/>
  <c r="G3" i="7"/>
  <c r="F2" i="7"/>
  <c r="G1" i="7"/>
  <c r="C1" i="7"/>
  <c r="C113" i="5"/>
  <c r="B112" i="5"/>
  <c r="A111" i="5"/>
  <c r="C109" i="5"/>
  <c r="B108" i="5"/>
  <c r="A107" i="5"/>
  <c r="C105" i="5"/>
  <c r="B104" i="5"/>
  <c r="A103" i="5"/>
  <c r="C101" i="5"/>
  <c r="B100" i="5"/>
  <c r="A99" i="5"/>
  <c r="C97" i="5"/>
  <c r="B96" i="5"/>
  <c r="A95" i="5"/>
  <c r="C93" i="5"/>
  <c r="B92" i="5"/>
  <c r="A91" i="5"/>
  <c r="C89" i="5"/>
  <c r="B88" i="5"/>
  <c r="A87" i="5"/>
  <c r="C85" i="5"/>
  <c r="B84" i="5"/>
  <c r="A83" i="5"/>
  <c r="C81" i="5"/>
  <c r="B80" i="5"/>
  <c r="A79" i="5"/>
  <c r="C77" i="5"/>
  <c r="B76" i="5"/>
  <c r="A75" i="5"/>
  <c r="C73" i="5"/>
  <c r="B72" i="5"/>
  <c r="A71" i="5"/>
  <c r="C69" i="5"/>
  <c r="B68" i="5"/>
  <c r="E13" i="7"/>
  <c r="A13" i="7"/>
  <c r="G12" i="7"/>
  <c r="C12" i="7"/>
  <c r="E11" i="7"/>
  <c r="A11" i="7"/>
  <c r="G10" i="7"/>
  <c r="C10" i="7"/>
  <c r="E9" i="7"/>
  <c r="A9" i="7"/>
  <c r="G8" i="7"/>
  <c r="C8" i="7"/>
  <c r="E7" i="7"/>
  <c r="A7" i="7"/>
  <c r="H6" i="7"/>
  <c r="D6" i="7"/>
  <c r="F5" i="7"/>
  <c r="B5" i="7"/>
  <c r="H4" i="7"/>
  <c r="D4" i="7"/>
  <c r="F3" i="7"/>
  <c r="B2" i="7"/>
  <c r="F1" i="7"/>
  <c r="B1" i="7"/>
  <c r="C114" i="5"/>
  <c r="B113" i="5"/>
  <c r="A112" i="5"/>
  <c r="C110" i="5"/>
  <c r="B109" i="5"/>
  <c r="A108" i="5"/>
  <c r="C106" i="5"/>
  <c r="B105" i="5"/>
  <c r="A104" i="5"/>
  <c r="C102" i="5"/>
  <c r="B101" i="5"/>
  <c r="A100" i="5"/>
  <c r="C98" i="5"/>
  <c r="B97" i="5"/>
  <c r="A96" i="5"/>
  <c r="C94" i="5"/>
  <c r="B93" i="5"/>
  <c r="A92" i="5"/>
  <c r="C90" i="5"/>
  <c r="B89" i="5"/>
  <c r="A88" i="5"/>
  <c r="C86" i="5"/>
  <c r="B85" i="5"/>
  <c r="A84" i="5"/>
  <c r="C82" i="5"/>
  <c r="B81" i="5"/>
  <c r="A80" i="5"/>
  <c r="C78" i="5"/>
  <c r="B77" i="5"/>
  <c r="A76" i="5"/>
  <c r="C74" i="5"/>
  <c r="B73" i="5"/>
  <c r="A72" i="5"/>
  <c r="C70" i="5"/>
  <c r="B69" i="5"/>
  <c r="A68" i="5"/>
  <c r="H13" i="7"/>
  <c r="D13" i="7"/>
  <c r="F12" i="7"/>
  <c r="B12" i="7"/>
  <c r="H11" i="7"/>
  <c r="D11" i="7"/>
  <c r="F10" i="7"/>
  <c r="B10" i="7"/>
  <c r="H9" i="7"/>
  <c r="D9" i="7"/>
  <c r="F8" i="7"/>
  <c r="B8" i="7"/>
  <c r="H7" i="7"/>
  <c r="D7" i="7"/>
  <c r="G6" i="7"/>
  <c r="C6" i="7"/>
  <c r="E5" i="7"/>
  <c r="A5" i="7"/>
  <c r="G4" i="7"/>
  <c r="C4" i="7"/>
  <c r="B3" i="7"/>
  <c r="H2" i="7"/>
  <c r="A2" i="7"/>
  <c r="E1" i="7"/>
  <c r="A1" i="7"/>
  <c r="B114" i="5"/>
  <c r="A113" i="5"/>
  <c r="C111" i="5"/>
  <c r="B110" i="5"/>
  <c r="A109" i="5"/>
  <c r="C107" i="5"/>
  <c r="B106" i="5"/>
  <c r="A105" i="5"/>
  <c r="C103" i="5"/>
  <c r="B102" i="5"/>
  <c r="A101" i="5"/>
  <c r="C99" i="5"/>
  <c r="B98" i="5"/>
  <c r="A97" i="5"/>
  <c r="C95" i="5"/>
  <c r="B94" i="5"/>
  <c r="A93" i="5"/>
  <c r="C91" i="5"/>
  <c r="B90" i="5"/>
  <c r="A89" i="5"/>
  <c r="C87" i="5"/>
  <c r="B86" i="5"/>
  <c r="A85" i="5"/>
  <c r="C83" i="5"/>
  <c r="B82" i="5"/>
  <c r="A81" i="5"/>
  <c r="C79" i="5"/>
  <c r="B78" i="5"/>
  <c r="A77" i="5"/>
  <c r="C75" i="5"/>
  <c r="B74" i="5"/>
  <c r="A73" i="5"/>
  <c r="C71" i="5"/>
  <c r="B70" i="5"/>
  <c r="A69" i="5"/>
  <c r="C67" i="5"/>
  <c r="G13" i="7"/>
  <c r="A12" i="7"/>
  <c r="E10" i="7"/>
  <c r="C7" i="7"/>
  <c r="H5" i="7"/>
  <c r="B4" i="7"/>
  <c r="A114" i="5"/>
  <c r="C108" i="5"/>
  <c r="B103" i="5"/>
  <c r="A98" i="5"/>
  <c r="C92" i="5"/>
  <c r="B87" i="5"/>
  <c r="A82" i="5"/>
  <c r="C76" i="5"/>
  <c r="B71" i="5"/>
  <c r="A67" i="5"/>
  <c r="C65" i="5"/>
  <c r="B64" i="5"/>
  <c r="A63" i="5"/>
  <c r="C61" i="5"/>
  <c r="B60" i="5"/>
  <c r="A59" i="5"/>
  <c r="C57" i="5"/>
  <c r="B56" i="5"/>
  <c r="A55" i="5"/>
  <c r="C53" i="5"/>
  <c r="B52" i="5"/>
  <c r="A51" i="5"/>
  <c r="C49" i="5"/>
  <c r="B48" i="5"/>
  <c r="A47" i="5"/>
  <c r="C45" i="5"/>
  <c r="B44" i="5"/>
  <c r="A43" i="5"/>
  <c r="C41" i="5"/>
  <c r="B40" i="5"/>
  <c r="A39" i="5"/>
  <c r="C37" i="5"/>
  <c r="B36" i="5"/>
  <c r="A35" i="5"/>
  <c r="C33" i="5"/>
  <c r="B32" i="5"/>
  <c r="A31" i="5"/>
  <c r="C29" i="5"/>
  <c r="B28" i="5"/>
  <c r="A27" i="5"/>
  <c r="C25" i="5"/>
  <c r="B24" i="5"/>
  <c r="A23" i="5"/>
  <c r="C21" i="5"/>
  <c r="B20" i="5"/>
  <c r="A19" i="5"/>
  <c r="C17" i="5"/>
  <c r="B16" i="5"/>
  <c r="A15" i="5"/>
  <c r="C13" i="5"/>
  <c r="B12" i="5"/>
  <c r="A11" i="5"/>
  <c r="C9" i="5"/>
  <c r="B8" i="5"/>
  <c r="A7" i="5"/>
  <c r="C5" i="5"/>
  <c r="B4" i="5"/>
  <c r="A3" i="5"/>
  <c r="C1" i="5"/>
  <c r="C13" i="7"/>
  <c r="G11" i="7"/>
  <c r="A10" i="7"/>
  <c r="E8" i="7"/>
  <c r="D5" i="7"/>
  <c r="G2" i="7"/>
  <c r="C112" i="5"/>
  <c r="B107" i="5"/>
  <c r="A102" i="5"/>
  <c r="C96" i="5"/>
  <c r="B91" i="5"/>
  <c r="A86" i="5"/>
  <c r="C80" i="5"/>
  <c r="B75" i="5"/>
  <c r="A70" i="5"/>
  <c r="C66" i="5"/>
  <c r="B65" i="5"/>
  <c r="A64" i="5"/>
  <c r="C62" i="5"/>
  <c r="B61" i="5"/>
  <c r="A60" i="5"/>
  <c r="C58" i="5"/>
  <c r="B57" i="5"/>
  <c r="A56" i="5"/>
  <c r="C54" i="5"/>
  <c r="B53" i="5"/>
  <c r="A52" i="5"/>
  <c r="C50" i="5"/>
  <c r="B49" i="5"/>
  <c r="A48" i="5"/>
  <c r="C46" i="5"/>
  <c r="B45" i="5"/>
  <c r="A44" i="5"/>
  <c r="C42" i="5"/>
  <c r="B41" i="5"/>
  <c r="A40" i="5"/>
  <c r="C38" i="5"/>
  <c r="B37" i="5"/>
  <c r="A36" i="5"/>
  <c r="C34" i="5"/>
  <c r="B33" i="5"/>
  <c r="A32" i="5"/>
  <c r="C30" i="5"/>
  <c r="B29" i="5"/>
  <c r="A28" i="5"/>
  <c r="C26" i="5"/>
  <c r="B25" i="5"/>
  <c r="A24" i="5"/>
  <c r="C22" i="5"/>
  <c r="B21" i="5"/>
  <c r="A20" i="5"/>
  <c r="C18" i="5"/>
  <c r="B17" i="5"/>
  <c r="A16" i="5"/>
  <c r="C14" i="5"/>
  <c r="B13" i="5"/>
  <c r="A12" i="5"/>
  <c r="C10" i="5"/>
  <c r="B9" i="5"/>
  <c r="A8" i="5"/>
  <c r="C6" i="5"/>
  <c r="B5" i="5"/>
  <c r="A4" i="5"/>
  <c r="C2" i="5"/>
  <c r="B1" i="5"/>
  <c r="G9" i="7"/>
  <c r="F6" i="7"/>
  <c r="H1" i="7"/>
  <c r="B111" i="5"/>
  <c r="C100" i="5"/>
  <c r="A90" i="5"/>
  <c r="B79" i="5"/>
  <c r="C68" i="5"/>
  <c r="A65" i="5"/>
  <c r="B62" i="5"/>
  <c r="C59" i="5"/>
  <c r="A57" i="5"/>
  <c r="B54" i="5"/>
  <c r="C51" i="5"/>
  <c r="A49" i="5"/>
  <c r="B46" i="5"/>
  <c r="C43" i="5"/>
  <c r="A41" i="5"/>
  <c r="B38" i="5"/>
  <c r="C35" i="5"/>
  <c r="A33" i="5"/>
  <c r="B30" i="5"/>
  <c r="C27" i="5"/>
  <c r="A25" i="5"/>
  <c r="B22" i="5"/>
  <c r="C19" i="5"/>
  <c r="A17" i="5"/>
  <c r="B14" i="5"/>
  <c r="C11" i="5"/>
  <c r="A9" i="5"/>
  <c r="B6" i="5"/>
  <c r="C3" i="5"/>
  <c r="A1" i="5"/>
  <c r="E12" i="7"/>
  <c r="C9" i="7"/>
  <c r="B6" i="7"/>
  <c r="H3" i="7"/>
  <c r="D1" i="7"/>
  <c r="A110" i="5"/>
  <c r="B99" i="5"/>
  <c r="C88" i="5"/>
  <c r="A78" i="5"/>
  <c r="B67" i="5"/>
  <c r="C64" i="5"/>
  <c r="A62" i="5"/>
  <c r="B59" i="5"/>
  <c r="C56" i="5"/>
  <c r="A54" i="5"/>
  <c r="B51" i="5"/>
  <c r="C48" i="5"/>
  <c r="A46" i="5"/>
  <c r="B43" i="5"/>
  <c r="C40" i="5"/>
  <c r="A38" i="5"/>
  <c r="B35" i="5"/>
  <c r="C32" i="5"/>
  <c r="A30" i="5"/>
  <c r="B27" i="5"/>
  <c r="C24" i="5"/>
  <c r="A22" i="5"/>
  <c r="B19" i="5"/>
  <c r="C16" i="5"/>
  <c r="A14" i="5"/>
  <c r="B11" i="5"/>
  <c r="C8" i="5"/>
  <c r="A6" i="5"/>
  <c r="B3" i="5"/>
  <c r="C11" i="7"/>
  <c r="A8" i="7"/>
  <c r="A3" i="7"/>
  <c r="A106" i="5"/>
  <c r="B95" i="5"/>
  <c r="C84" i="5"/>
  <c r="A74" i="5"/>
  <c r="B66" i="5"/>
  <c r="C63" i="5"/>
  <c r="A61" i="5"/>
  <c r="B58" i="5"/>
  <c r="C55" i="5"/>
  <c r="A53" i="5"/>
  <c r="B50" i="5"/>
  <c r="C47" i="5"/>
  <c r="A45" i="5"/>
  <c r="B42" i="5"/>
  <c r="C39" i="5"/>
  <c r="A37" i="5"/>
  <c r="B34" i="5"/>
  <c r="C31" i="5"/>
  <c r="A29" i="5"/>
  <c r="B26" i="5"/>
  <c r="C23" i="5"/>
  <c r="A21" i="5"/>
  <c r="B18" i="5"/>
  <c r="C15" i="5"/>
  <c r="A13" i="5"/>
  <c r="B10" i="5"/>
  <c r="C7" i="5"/>
  <c r="A5" i="5"/>
  <c r="B2" i="5"/>
  <c r="A94" i="5"/>
  <c r="B63" i="5"/>
  <c r="C52" i="5"/>
  <c r="A42" i="5"/>
  <c r="B31" i="5"/>
  <c r="C20" i="5"/>
  <c r="A10" i="5"/>
  <c r="G7" i="7"/>
  <c r="B83" i="5"/>
  <c r="C60" i="5"/>
  <c r="A50" i="5"/>
  <c r="B39" i="5"/>
  <c r="C28" i="5"/>
  <c r="A18" i="5"/>
  <c r="B7" i="5"/>
  <c r="F4" i="7"/>
  <c r="C72" i="5"/>
  <c r="A58" i="5"/>
  <c r="B47" i="5"/>
  <c r="C36" i="5"/>
  <c r="A26" i="5"/>
  <c r="B15" i="5"/>
  <c r="C4" i="5"/>
  <c r="A66" i="5"/>
  <c r="B23" i="5"/>
  <c r="B55" i="5"/>
  <c r="C12" i="5"/>
  <c r="C44" i="5"/>
  <c r="A2" i="5"/>
  <c r="C104" i="5"/>
  <c r="A34" i="5"/>
  <c r="J4" i="7" l="1"/>
  <c r="I11" i="7"/>
  <c r="I9" i="7"/>
  <c r="L6" i="7"/>
  <c r="K6" i="7"/>
  <c r="I13" i="7"/>
  <c r="I7" i="7"/>
  <c r="I4" i="7"/>
  <c r="I6" i="7"/>
  <c r="J8" i="7"/>
  <c r="J10" i="7"/>
  <c r="J12" i="7"/>
  <c r="J3" i="7"/>
  <c r="J5" i="7"/>
  <c r="I8" i="7"/>
  <c r="I10" i="7"/>
  <c r="I12" i="7"/>
  <c r="J2" i="7"/>
  <c r="I5" i="7"/>
  <c r="J7" i="7"/>
  <c r="J9" i="7"/>
  <c r="J11" i="7"/>
  <c r="J13" i="7"/>
</calcChain>
</file>

<file path=xl/comments1.xml><?xml version="1.0" encoding="utf-8"?>
<comments xmlns="http://schemas.openxmlformats.org/spreadsheetml/2006/main">
  <authors>
    <author/>
  </authors>
  <commentList>
    <comment ref="L6" authorId="0" shapeId="0">
      <text>
        <r>
          <rPr>
            <sz val="10"/>
            <color rgb="FF000000"/>
            <rFont val="Arial"/>
            <scheme val="minor"/>
          </rPr>
          <t>Se cambia el denominador en la fórmula por el número del mes en el que se reporta, en este caso es 9 por el cierre del trimestre a septiembre.
	-Jessica Karina Albarrán Ruíz</t>
        </r>
      </text>
    </comment>
  </commentList>
</comments>
</file>

<file path=xl/sharedStrings.xml><?xml version="1.0" encoding="utf-8"?>
<sst xmlns="http://schemas.openxmlformats.org/spreadsheetml/2006/main" count="992" uniqueCount="715">
  <si>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</si>
  <si>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</si>
  <si>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</si>
  <si>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</si>
  <si>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</si>
  <si>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</si>
  <si>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</si>
  <si>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</si>
  <si>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</si>
  <si>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</si>
  <si>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</si>
  <si>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</si>
  <si>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</si>
  <si>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</si>
  <si>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</si>
  <si>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</si>
  <si>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</si>
  <si>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</si>
  <si>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</si>
  <si>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</si>
  <si>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</si>
  <si>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</si>
  <si>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</si>
  <si>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</si>
  <si>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</si>
  <si>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</si>
  <si>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</si>
  <si>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</si>
  <si>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</si>
  <si>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</si>
  <si>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</si>
  <si>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</si>
  <si>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</si>
  <si>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</si>
  <si>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</si>
  <si>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</si>
  <si>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 xml:space="preserve">EJES ESTRATÉGICOS DEL SISTEMA DIF GUADALAJARA </t>
  </si>
  <si>
    <t xml:space="preserve">Guadalajara Humanitaria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</si>
  <si>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</si>
  <si>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</si>
  <si>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</si>
  <si>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</si>
  <si>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</si>
  <si>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</si>
  <si>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</si>
  <si>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</si>
  <si>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</si>
  <si>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</si>
  <si>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</si>
  <si>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</si>
  <si>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</si>
  <si>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</si>
  <si>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</si>
  <si>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</si>
  <si>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</si>
  <si>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</si>
  <si>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</si>
  <si>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2024</t>
  </si>
  <si>
    <t>Porcentaje de personas que reciben uno o más servicios para la reintegración social en programas del Eje de Guadalajara Humanitaria del Sistema DIF Guadalajara  en 2024</t>
  </si>
  <si>
    <t>Mide el porcentaje de personas con uno o más servicios para la reintegración social en Guadalajara respecto de la meta planteada en el 2024</t>
  </si>
  <si>
    <t>Eficacia</t>
  </si>
  <si>
    <t>Estratégico</t>
  </si>
  <si>
    <t>(Número total de personas atendidas en los programas durante el 2024 /suma del  número de personas  programadas como meta por cada programa para el 2024)*100</t>
  </si>
  <si>
    <t>Número total de personas atendidas en los programas durante el 2024</t>
  </si>
  <si>
    <t>Suma del número de personas programadas como meta por cada programa para el 2024</t>
  </si>
  <si>
    <t>Anual</t>
  </si>
  <si>
    <t>Porcentaje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</si>
  <si>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</si>
  <si>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</si>
  <si>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</si>
  <si>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2024</t>
  </si>
  <si>
    <t>Porcentaje de servicios brindados a niñas, niños, adolescentes, mujeres en condición de emergencia y personas en situación de calle para la restitución de uno o más derechos en 2024</t>
  </si>
  <si>
    <t>Mide el número de servicios brindados en Casa Hogar Villas Miravalle, Casa de Emergencia y CADIPSC, respecto de la meta planteada en el 2024</t>
  </si>
  <si>
    <t>(Número de servicios brindados en Villas Miravalle + Número de servicios brindados en Casa de Emergencia +Número de servicios brindados en CADIPSC durante el 2024/ suma del número de servicios meta planteada por cada programa para el 2024)*100</t>
  </si>
  <si>
    <t>Número de servicios brindados en Villas Miravalle + Número de servicios brindados en Casa de Emergencia +Número de servicios brindados en CADIPSC, durante el 2024</t>
  </si>
  <si>
    <t>Suma del número de servicios meta planteada por cada programa para el 2024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</si>
  <si>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</si>
  <si>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</si>
  <si>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</si>
  <si>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</si>
  <si>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y sus acompañantes en 2024</t>
  </si>
  <si>
    <t>Porcentaje de mujeres con un proceso de acompañamiento integral completo  y sus acompañantes en 2024</t>
  </si>
  <si>
    <t>Mide el porcentaje de mujeres con un proceso de acompañamiento integral completo y sus acompañantes durante el 2024</t>
  </si>
  <si>
    <t>(Mujeres y sus acompañantes que ingresan a Casa de Emergencia durante el 2024/Mujeres que egresan con plan de vida de Casa de Emergencia durante el 2024)*100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</si>
  <si>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</si>
  <si>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</si>
  <si>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</si>
  <si>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</si>
  <si>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2024</t>
  </si>
  <si>
    <t>Porcentaje de diagnósticos y atenciones que se brindan en el marco de los protocolos de la Casa de Emergencia en 2024</t>
  </si>
  <si>
    <t>Mide el porcentaje de diagnósticos y atenciones que se brindan en el marco de los protocolos de la Casa de Emergencia en 2024</t>
  </si>
  <si>
    <t>Gestión</t>
  </si>
  <si>
    <t>(Número de diagnósticos y atenciones que se brindaron en el marco de los protocolos de la Casa de Emergencia durante el 2024/ Número de diagnósticos y atenciones establecidos como meta para el 2024)*100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</si>
  <si>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</si>
  <si>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</si>
  <si>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</si>
  <si>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</si>
  <si>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2024</t>
  </si>
  <si>
    <t>Promedio de NNA que acceden a servicios de atención integral de salud, académicos y psicoterapéuticos brindados a NNA que habitan la Casa Hogar Villas Miravalle en 2024</t>
  </si>
  <si>
    <t>Mide el promedio de NNA que acceden a servicios de atención integral de salud, académicos y psicoterapéuticos brindados a NNA que habitan la Casa Hogar Villas Miravalle durante el 2024</t>
  </si>
  <si>
    <t>Eficiencia</t>
  </si>
  <si>
    <t>Número de NNA que acceden a servicios de atención integral de salud, académicos y psicoterapéuticos durante el 2024/ 4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</si>
  <si>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</si>
  <si>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</si>
  <si>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</si>
  <si>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</si>
  <si>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</si>
  <si>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2024</t>
  </si>
  <si>
    <t>Porcentaje de talleres de formación y capacitación brindados a NNA de la Casa Hogar Villas Miravalle en 2024</t>
  </si>
  <si>
    <t>Mide el porcentaje de talleres de formación y capacitación brindados a NNA de la Casa Hogar Villas Miravalle en 2024</t>
  </si>
  <si>
    <t>(Número de talleres o capacitaciones brindadas en 2024 / Número de talleres o capacitaciones programadas para el 2024)*100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</si>
  <si>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</si>
  <si>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</si>
  <si>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</si>
  <si>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</si>
  <si>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2024</t>
  </si>
  <si>
    <t>Porcentaje de servicios de atención integral de salud, alimentarios, trabajo social y psicológicos brindados a personas en situación de calle en 2024</t>
  </si>
  <si>
    <t>Mide el porcentaje de servicios de atención integral de salud, alimentarios, de trabajo social y psicológicos brindados a personas en situación de calle durante el 2024</t>
  </si>
  <si>
    <t>(Número de servicios de atención integral de salud, alimentarios y psicológicos durante el 2024/ número meta de servicios establecidos por el programa CADIPSIC para el 2024)*100</t>
  </si>
  <si>
    <t xml:space="preserve">V1. Expedientes, V2. Padrón de usuarios 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</si>
  <si>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</si>
  <si>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</si>
  <si>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2024.</t>
  </si>
  <si>
    <t>Porcentaje de cobertura de la demanda de servicios médicos preventivos y curativos a personas en situación de calle, en 2024</t>
  </si>
  <si>
    <t>Mide el Porcentaje de cobertura de la demanda de servicios médicos preventivos y curativos a personas en situación de calle, en 2024</t>
  </si>
  <si>
    <t>Número de servicios médicos a las personas en situación de calle durante el 2024/ Número de servicios médicos que son demandados  por las personas en situación de calle durante el 2024*100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</si>
  <si>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</si>
  <si>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</si>
  <si>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</si>
  <si>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2024</t>
  </si>
  <si>
    <t>Porcentaje de acompañamientos psicológicos realizados a las y los usuarios, en 2024</t>
  </si>
  <si>
    <t>Mide el Porcentaje de acompañamientos psicológicos realizados a las y los usuarios, en 2024</t>
  </si>
  <si>
    <t>(Número de personas que se dio acompañamiento durante el 2024/ número de personas programadas para acompañamiento psicológico para el 2024 )*100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</si>
  <si>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</si>
  <si>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</si>
  <si>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</si>
  <si>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2024</t>
  </si>
  <si>
    <t>Porcentaje de raciones alimentarias entregadas a PSC, en 2024</t>
  </si>
  <si>
    <t>Mide el Porcentaje de raciones alimentarias entregadas a PSC, en 2024</t>
  </si>
  <si>
    <t>(Raciones alimenticias entregadas durante el 2024/ raciones alimentarias programadas para el 2024)*100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</si>
  <si>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</si>
  <si>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</si>
  <si>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</si>
  <si>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2024</t>
  </si>
  <si>
    <t>Porcentaje de servicios de atención y apoyo humanitario brindados a personas en situación de calle por la brigada en 2024</t>
  </si>
  <si>
    <t>Mide el Porcentaje de servicios de atención y apoyo humanitario brindados a personas en situación de calle por la brigada en 2024</t>
  </si>
  <si>
    <t>(Número de apoyos humanitarios a personas a situación de calle brindados por la brigada durante el 2024/Número de apoyos humanitarios a personas en situación de calle programados para el 2024 )*100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</si>
  <si>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</si>
  <si>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</si>
  <si>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2024</t>
  </si>
  <si>
    <t>Porcentaje de expedientes aperturados o actualizados de personas en situación de calle, en 2024</t>
  </si>
  <si>
    <t>Mide el Porcentaje de expedientes aperturados o actualizados de personas en situación de calle, en 2024</t>
  </si>
  <si>
    <t>(Número de expedientes aperturados durante el 2024/ número de expedientes programados para el 2024) *100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</si>
  <si>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</si>
  <si>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</si>
  <si>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</si>
  <si>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</si>
  <si>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</si>
  <si>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</si>
  <si>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</si>
  <si>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</si>
  <si>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</si>
  <si>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</si>
  <si>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</si>
  <si>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</si>
  <si>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</si>
  <si>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</si>
  <si>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132.4%</t>
  </si>
  <si>
    <t>75.1%</t>
  </si>
  <si>
    <t>78%</t>
  </si>
  <si>
    <t>65.5%</t>
  </si>
  <si>
    <t>92%</t>
  </si>
  <si>
    <t>75.2%</t>
  </si>
  <si>
    <t>99.5%</t>
  </si>
  <si>
    <t>109.8%</t>
  </si>
  <si>
    <t>74.3%</t>
  </si>
  <si>
    <t>77.1%</t>
  </si>
  <si>
    <t>74.9%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</si>
  <si>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</si>
  <si>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</si>
  <si>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</si>
  <si>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</si>
  <si>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</si>
  <si>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</si>
  <si>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</si>
  <si>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</si>
  <si>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</si>
  <si>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</si>
  <si>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</si>
  <si>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</si>
  <si>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</si>
  <si>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</si>
  <si>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</si>
  <si>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</si>
  <si>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</si>
  <si>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</si>
  <si>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</si>
  <si>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</si>
  <si>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</si>
  <si>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</si>
  <si>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</si>
  <si>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</si>
  <si>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</si>
  <si>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</si>
  <si>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</si>
  <si>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</si>
  <si>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</si>
  <si>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</si>
  <si>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</si>
  <si>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</si>
  <si>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</si>
  <si>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</si>
  <si>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</si>
  <si>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</si>
  <si>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</si>
  <si>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</si>
  <si>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</si>
  <si>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</si>
  <si>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</si>
  <si>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</si>
  <si>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</si>
  <si>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</si>
  <si>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</si>
  <si>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</si>
  <si>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</si>
  <si>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E. Prestación de Servicios Públicos.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</si>
  <si>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</si>
  <si>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</si>
  <si>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</si>
  <si>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</si>
  <si>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</si>
  <si>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</si>
  <si>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</si>
  <si>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</si>
  <si>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</si>
  <si>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</si>
  <si>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</si>
  <si>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</si>
  <si>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</si>
  <si>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</si>
  <si>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</si>
  <si>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</si>
  <si>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</si>
  <si>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</si>
  <si>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</si>
  <si>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</si>
  <si>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</si>
  <si>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</si>
  <si>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</si>
  <si>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</si>
  <si>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</si>
  <si>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</si>
  <si>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</si>
  <si>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</si>
  <si>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</si>
  <si>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</si>
  <si>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</si>
  <si>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</si>
  <si>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</si>
  <si>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</si>
  <si>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</si>
  <si>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</si>
  <si>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</si>
  <si>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</si>
  <si>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</si>
  <si>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</si>
  <si>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</si>
  <si>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</si>
  <si>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</si>
  <si>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</si>
  <si>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</si>
  <si>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</si>
  <si>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</si>
  <si>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</si>
  <si>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</si>
  <si>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</si>
  <si>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</si>
  <si>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</si>
  <si>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</si>
  <si>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</si>
  <si>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</si>
  <si>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</si>
  <si>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</si>
  <si>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</si>
  <si>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</si>
  <si>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</si>
  <si>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</si>
  <si>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</si>
  <si>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</si>
  <si>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</si>
  <si>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</si>
  <si>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</si>
  <si>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</si>
  <si>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</si>
  <si>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</si>
  <si>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</si>
  <si>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</si>
  <si>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</si>
  <si>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</si>
  <si>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</si>
  <si>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</si>
  <si>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</si>
  <si>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</si>
  <si>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</si>
  <si>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</si>
  <si>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</si>
  <si>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</si>
  <si>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</si>
  <si>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</si>
  <si>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</si>
  <si>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</si>
  <si>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</si>
  <si>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</si>
  <si>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</si>
  <si>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</si>
  <si>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</si>
  <si>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</si>
  <si>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</si>
  <si>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</si>
  <si>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</si>
  <si>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</si>
  <si>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</si>
  <si>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</si>
  <si>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</si>
  <si>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</si>
  <si>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</si>
  <si>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</si>
  <si>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</si>
  <si>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</si>
  <si>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</si>
  <si>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</si>
  <si>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</si>
  <si>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</si>
  <si>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</si>
  <si>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</si>
  <si>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</si>
  <si>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</si>
  <si>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</si>
  <si>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</si>
  <si>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</si>
  <si>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</si>
  <si>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</si>
  <si>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</si>
  <si>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</si>
  <si>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</si>
  <si>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</si>
  <si>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</si>
  <si>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</si>
  <si>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</si>
  <si>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</si>
  <si>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</si>
  <si>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</si>
  <si>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</si>
  <si>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</si>
  <si>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</si>
  <si>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</si>
  <si>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</si>
  <si>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</si>
  <si>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</si>
  <si>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</si>
  <si>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</si>
  <si>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</si>
  <si>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</si>
  <si>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</si>
  <si>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</si>
  <si>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</si>
  <si>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</si>
  <si>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</si>
  <si>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</si>
  <si>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</si>
  <si>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</si>
  <si>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</si>
  <si>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</si>
  <si>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</si>
  <si>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</si>
  <si>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</si>
  <si>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</si>
  <si>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</si>
  <si>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</si>
  <si>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</si>
  <si>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</si>
  <si>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</si>
  <si>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</si>
  <si>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</si>
  <si>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</si>
  <si>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</si>
  <si>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</si>
  <si>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</si>
  <si>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</si>
  <si>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</si>
  <si>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</si>
  <si>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</si>
  <si>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</si>
  <si>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</si>
  <si>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</si>
  <si>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</si>
  <si>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</si>
  <si>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</si>
  <si>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</si>
  <si>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</si>
  <si>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</si>
  <si>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</si>
  <si>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</si>
  <si>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</si>
  <si>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</si>
  <si>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</si>
  <si>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</si>
  <si>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</si>
  <si>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</si>
  <si>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</si>
  <si>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</si>
  <si>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</si>
  <si>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</si>
  <si>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</si>
  <si>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</si>
  <si>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</si>
  <si>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</si>
  <si>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</si>
  <si>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</si>
  <si>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</si>
  <si>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</si>
  <si>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</si>
  <si>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</si>
  <si>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</si>
  <si>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</si>
  <si>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</si>
  <si>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</si>
  <si>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</si>
  <si>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</si>
  <si>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</si>
  <si>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</si>
  <si>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</si>
  <si>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</si>
  <si>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</si>
  <si>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</si>
  <si>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</si>
  <si>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</si>
  <si>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</si>
  <si>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</si>
  <si>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</si>
  <si>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</si>
  <si>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</si>
  <si>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</si>
  <si>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</si>
  <si>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</si>
  <si>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</si>
  <si>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</si>
  <si>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</si>
  <si>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</si>
  <si>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</si>
  <si>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</si>
  <si>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</si>
  <si>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</si>
  <si>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</si>
  <si>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</si>
  <si>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</si>
  <si>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</si>
  <si>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</si>
  <si>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</si>
  <si>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</si>
  <si>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</si>
  <si>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</si>
  <si>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</si>
  <si>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</si>
  <si>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</si>
  <si>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</si>
  <si>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</si>
  <si>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</si>
  <si>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</si>
  <si>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</si>
  <si>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</si>
  <si>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</si>
  <si>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</si>
  <si>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</si>
  <si>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</si>
  <si>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</si>
  <si>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</si>
  <si>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</si>
  <si>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</si>
  <si>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</si>
  <si>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</si>
  <si>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</si>
  <si>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</si>
  <si>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</si>
  <si>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</si>
  <si>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</si>
  <si>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</si>
  <si>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</si>
  <si>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</si>
  <si>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</si>
  <si>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</si>
  <si>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</si>
  <si>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</si>
  <si>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</si>
  <si>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</si>
  <si>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</si>
  <si>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</si>
  <si>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</si>
  <si>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</si>
  <si>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</si>
  <si>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</si>
  <si>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</si>
  <si>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</si>
  <si>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</si>
  <si>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</si>
  <si>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</si>
  <si>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</si>
  <si>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</si>
  <si>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</si>
  <si>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</si>
  <si>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</si>
  <si>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</si>
  <si>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</si>
  <si>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</si>
  <si>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</si>
  <si>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</si>
  <si>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</si>
  <si>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</si>
  <si>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</si>
  <si>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</si>
  <si>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</si>
  <si>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</si>
  <si>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</si>
  <si>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</si>
  <si>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</si>
  <si>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</si>
  <si>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</si>
  <si>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</si>
  <si>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</si>
  <si>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</si>
  <si>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</si>
  <si>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</si>
  <si>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</si>
  <si>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</si>
  <si>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</si>
  <si>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</si>
  <si>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</si>
  <si>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</si>
  <si>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</si>
  <si>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</si>
  <si>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</si>
  <si>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</si>
  <si>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</si>
  <si>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</si>
  <si>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</si>
  <si>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</si>
  <si>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</si>
  <si>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</si>
  <si>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</si>
  <si>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</si>
  <si>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</si>
  <si>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</si>
  <si>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</si>
  <si>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</si>
  <si>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</si>
  <si>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</si>
  <si>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</si>
  <si>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</si>
  <si>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</si>
  <si>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</si>
  <si>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</si>
  <si>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</si>
  <si>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</si>
  <si>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</si>
  <si>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</si>
  <si>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</si>
  <si>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</si>
  <si>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</si>
  <si>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</si>
  <si>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</si>
  <si>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</si>
  <si>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</si>
  <si>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</si>
  <si>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</si>
  <si>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</si>
  <si>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</si>
  <si>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</si>
  <si>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</si>
  <si>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</si>
  <si>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</si>
  <si>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</si>
  <si>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</si>
  <si>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</si>
  <si>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</si>
  <si>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</si>
  <si>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</si>
  <si>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</si>
  <si>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</si>
  <si>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</si>
  <si>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</si>
  <si>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</si>
  <si>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</si>
  <si>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</si>
  <si>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</si>
  <si>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</si>
  <si>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</si>
  <si>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</si>
  <si>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</si>
  <si>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</si>
  <si>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</si>
  <si>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</si>
  <si>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</si>
  <si>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</si>
  <si>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</si>
  <si>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</si>
  <si>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</si>
  <si>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</si>
  <si>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</si>
  <si>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</si>
  <si>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</si>
  <si>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</si>
  <si>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</si>
  <si>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</si>
  <si>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</si>
  <si>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</si>
  <si>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</si>
  <si>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</si>
  <si>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</si>
  <si>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</si>
  <si>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</si>
  <si>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</si>
  <si>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</si>
  <si>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</si>
  <si>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</si>
  <si>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</si>
  <si>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</si>
  <si>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</si>
  <si>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</si>
  <si>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</si>
  <si>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</si>
  <si>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</si>
  <si>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</si>
  <si>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</si>
  <si>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</si>
  <si>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</si>
  <si>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</si>
  <si>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</si>
  <si>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</si>
  <si>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</si>
  <si>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</si>
  <si>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</si>
  <si>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</si>
  <si>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</si>
  <si>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</si>
  <si>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</si>
  <si>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</si>
  <si>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</si>
  <si>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</si>
  <si>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</si>
  <si>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</si>
  <si>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</si>
  <si>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</si>
  <si>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</si>
  <si>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</si>
  <si>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</si>
  <si>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</si>
  <si>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</si>
  <si>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</si>
  <si>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</si>
  <si>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</si>
  <si>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</si>
  <si>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</si>
  <si>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</si>
  <si>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</si>
  <si>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</si>
  <si>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</si>
  <si>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</si>
  <si>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</si>
  <si>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</si>
  <si>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</si>
  <si>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</si>
  <si>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</si>
  <si>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</si>
  <si>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</si>
  <si>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</si>
  <si>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</si>
  <si>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</si>
  <si>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</si>
  <si>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</si>
  <si>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</si>
  <si>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</si>
  <si>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</si>
  <si>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</si>
  <si>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</si>
  <si>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</si>
  <si>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</si>
  <si>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</si>
  <si>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</si>
  <si>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</si>
  <si>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</si>
  <si>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</si>
  <si>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</si>
  <si>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</si>
  <si>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</si>
  <si>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</si>
  <si>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</si>
  <si>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</si>
  <si>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ALCANCE TRIM</t>
  </si>
  <si>
    <t>PORCENTAJE TRIM</t>
  </si>
  <si>
    <t>prom trim</t>
  </si>
  <si>
    <t>prom men</t>
  </si>
  <si>
    <t>SUBIDO</t>
  </si>
  <si>
    <t>META ALCANZADA DICIEMBRE</t>
  </si>
  <si>
    <t>181.14%</t>
  </si>
  <si>
    <t>102.55%</t>
  </si>
  <si>
    <t>212.00%</t>
  </si>
  <si>
    <t>98.60%</t>
  </si>
  <si>
    <t>278</t>
  </si>
  <si>
    <t>116.00%</t>
  </si>
  <si>
    <t>102.60%</t>
  </si>
  <si>
    <t>134.23%</t>
  </si>
  <si>
    <t>151.64%</t>
  </si>
  <si>
    <t>101.80%</t>
  </si>
  <si>
    <t>107.17%</t>
  </si>
  <si>
    <t>99.76%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</si>
</sst>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22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&quot;Noto Sans Symbols&quot;"/>
    </font>
    <font>
      <sz val="11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b/>
      <sz val="11"/>
      <color theme="1"/>
      <name val="Calibri"/>
    </font>
    <font>
      <b/>
      <sz val="13"/>
      <color theme="1"/>
      <name val="Arial"/>
    </font>
    <font>
      <sz val="8"/>
      <color theme="1"/>
      <name val="Arial"/>
    </font>
    <font>
      <sz val="9"/>
      <color rgb="FF000000"/>
      <name val="&quot;Google Sans Mono&quot;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 applyFont="1" applyAlignment="1"/>
    <xf numFmtId="3" fontId="1" fillId="2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6" borderId="10" xfId="0" applyNumberFormat="1" applyFont="1" applyFill="1" applyBorder="1" applyAlignment="1">
      <alignment horizontal="center" vertical="center" wrapText="1"/>
    </xf>
    <xf numFmtId="3" fontId="7" fillId="6" borderId="13" xfId="0" applyNumberFormat="1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1" fillId="3" borderId="1" xfId="0" applyFont="1" applyFill="1" applyBorder="1"/>
    <xf numFmtId="0" fontId="2" fillId="3" borderId="1" xfId="0" applyFont="1" applyFill="1" applyBorder="1"/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/>
    <xf numFmtId="0" fontId="7" fillId="6" borderId="6" xfId="0" applyFont="1" applyFill="1" applyBorder="1" applyAlignment="1">
      <alignment horizontal="center" wrapText="1"/>
    </xf>
    <xf numFmtId="3" fontId="7" fillId="6" borderId="9" xfId="0" applyNumberFormat="1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9" xfId="0" applyFont="1" applyFill="1" applyBorder="1" applyAlignment="1"/>
    <xf numFmtId="3" fontId="10" fillId="4" borderId="17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2" borderId="5" xfId="0" applyFont="1" applyFill="1" applyBorder="1" applyAlignment="1"/>
    <xf numFmtId="3" fontId="7" fillId="4" borderId="17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6" borderId="5" xfId="0" applyFont="1" applyFill="1" applyBorder="1" applyAlignment="1"/>
    <xf numFmtId="3" fontId="11" fillId="2" borderId="1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1" fillId="2" borderId="17" xfId="0" applyFont="1" applyFill="1" applyBorder="1" applyAlignment="1"/>
    <xf numFmtId="3" fontId="7" fillId="4" borderId="17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/>
    <xf numFmtId="3" fontId="17" fillId="0" borderId="8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6" fillId="0" borderId="11" xfId="0" applyFont="1" applyBorder="1"/>
    <xf numFmtId="0" fontId="16" fillId="0" borderId="20" xfId="0" applyFont="1" applyBorder="1"/>
    <xf numFmtId="0" fontId="16" fillId="0" borderId="10" xfId="0" applyFont="1" applyBorder="1"/>
    <xf numFmtId="0" fontId="16" fillId="0" borderId="9" xfId="0" applyFont="1" applyBorder="1"/>
    <xf numFmtId="0" fontId="16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" fillId="0" borderId="17" xfId="0" applyFont="1" applyBorder="1"/>
    <xf numFmtId="0" fontId="1" fillId="0" borderId="2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1" fillId="0" borderId="5" xfId="0" applyFont="1" applyBorder="1"/>
    <xf numFmtId="0" fontId="1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" fillId="0" borderId="21" xfId="0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 applyAlignment="1">
      <alignment horizontal="center" wrapText="1"/>
    </xf>
    <xf numFmtId="0" fontId="1" fillId="0" borderId="5" xfId="0" applyFont="1" applyBorder="1"/>
    <xf numFmtId="0" fontId="1" fillId="0" borderId="23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/>
    <xf numFmtId="0" fontId="1" fillId="0" borderId="11" xfId="0" applyFont="1" applyBorder="1"/>
    <xf numFmtId="0" fontId="1" fillId="0" borderId="20" xfId="0" applyFont="1" applyBorder="1"/>
    <xf numFmtId="3" fontId="3" fillId="0" borderId="0" xfId="0" applyNumberFormat="1" applyFont="1"/>
    <xf numFmtId="0" fontId="3" fillId="0" borderId="0" xfId="0" applyFont="1"/>
    <xf numFmtId="0" fontId="19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 wrapText="1"/>
    </xf>
    <xf numFmtId="0" fontId="16" fillId="7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8" borderId="0" xfId="0" applyNumberFormat="1" applyFont="1" applyFill="1" applyAlignment="1">
      <alignment horizontal="center"/>
    </xf>
    <xf numFmtId="1" fontId="3" fillId="8" borderId="0" xfId="0" applyNumberFormat="1" applyFont="1" applyFill="1" applyAlignment="1">
      <alignment horizontal="center" wrapText="1"/>
    </xf>
    <xf numFmtId="3" fontId="16" fillId="7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right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3" fontId="7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3" fontId="6" fillId="3" borderId="7" xfId="0" applyNumberFormat="1" applyFont="1" applyFill="1" applyBorder="1" applyAlignment="1">
      <alignment horizontal="center" vertical="center"/>
    </xf>
    <xf numFmtId="3" fontId="9" fillId="6" borderId="5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3" fontId="10" fillId="6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3" fontId="6" fillId="0" borderId="7" xfId="0" applyNumberFormat="1" applyFont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vertical="center" wrapText="1"/>
    </xf>
    <xf numFmtId="0" fontId="6" fillId="3" borderId="7" xfId="0" applyFont="1" applyFill="1" applyBorder="1" applyAlignment="1">
      <alignment horizontal="left"/>
    </xf>
    <xf numFmtId="0" fontId="9" fillId="6" borderId="19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4" fontId="6" fillId="3" borderId="7" xfId="0" applyNumberFormat="1" applyFont="1" applyFill="1" applyBorder="1" applyAlignment="1">
      <alignment horizontal="left" vertical="center"/>
    </xf>
    <xf numFmtId="4" fontId="6" fillId="3" borderId="7" xfId="0" applyNumberFormat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5" fillId="0" borderId="23" xfId="0" applyFont="1" applyBorder="1"/>
    <xf numFmtId="0" fontId="1" fillId="0" borderId="5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 vertical="center" wrapText="1"/>
    </xf>
    <xf numFmtId="3" fontId="21" fillId="6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1"/>
  <sheetViews>
    <sheetView showGridLines="0" tabSelected="1" zoomScale="60" zoomScaleNormal="60" workbookViewId="0">
      <selection activeCell="C14" sqref="C14:G14"/>
    </sheetView>
  </sheetViews>
  <sheetFormatPr baseColWidth="10" defaultColWidth="12.5703125" defaultRowHeight="15" customHeight="1"/>
  <cols>
    <col min="1" max="1" width="12.5703125" customWidth="1"/>
    <col min="2" max="2" width="44.85546875" customWidth="1"/>
    <col min="3" max="3" width="31.5703125" customWidth="1"/>
    <col min="4" max="4" width="23.42578125" customWidth="1"/>
    <col min="5" max="5" width="20.5703125" customWidth="1"/>
    <col min="6" max="6" width="19" customWidth="1"/>
    <col min="7" max="7" width="18.42578125" customWidth="1"/>
    <col min="8" max="8" width="26.85546875" customWidth="1"/>
    <col min="9" max="9" width="22.42578125" customWidth="1"/>
    <col min="10" max="10" width="26.140625" customWidth="1"/>
    <col min="11" max="11" width="23.7109375" customWidth="1"/>
    <col min="12" max="12" width="18.5703125" customWidth="1"/>
    <col min="13" max="13" width="17.140625" customWidth="1"/>
    <col min="14" max="15" width="21.28515625" customWidth="1"/>
    <col min="16" max="16" width="22.5703125" customWidth="1"/>
    <col min="17" max="17" width="19.28515625" customWidth="1"/>
  </cols>
  <sheetData>
    <row r="1" spans="1:17" ht="15.75" customHeight="1">
      <c r="A1" s="1"/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customHeight="1">
      <c r="A2" s="1"/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customHeight="1">
      <c r="A3" s="1"/>
      <c r="B3" s="2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customHeight="1">
      <c r="A4" s="1"/>
      <c r="B4" s="2"/>
      <c r="C4" s="135" t="s">
        <v>0</v>
      </c>
      <c r="D4" s="136"/>
      <c r="E4" s="136"/>
      <c r="F4" s="136"/>
      <c r="G4" s="137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75" customHeight="1">
      <c r="A5" s="1"/>
      <c r="B5" s="2"/>
      <c r="C5" s="135" t="s">
        <v>1</v>
      </c>
      <c r="D5" s="136"/>
      <c r="E5" s="136"/>
      <c r="F5" s="136"/>
      <c r="G5" s="137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customHeight="1">
      <c r="A6" s="1"/>
      <c r="B6" s="2"/>
      <c r="C6" s="135" t="s">
        <v>2</v>
      </c>
      <c r="D6" s="136"/>
      <c r="E6" s="136"/>
      <c r="F6" s="136"/>
      <c r="G6" s="137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>
      <c r="A7" s="1"/>
      <c r="B7" s="2"/>
      <c r="C7" s="135"/>
      <c r="D7" s="136"/>
      <c r="E7" s="136"/>
      <c r="F7" s="136"/>
      <c r="G7" s="137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customHeight="1">
      <c r="A8" s="1"/>
      <c r="B8" s="2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customHeight="1">
      <c r="A9" s="1"/>
      <c r="B9" s="2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customHeight="1">
      <c r="A10" s="1"/>
      <c r="B10" s="2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customHeight="1">
      <c r="A11" s="1"/>
      <c r="B11" s="2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customHeight="1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5.75" customHeight="1">
      <c r="A13" s="7"/>
      <c r="B13" s="8" t="s">
        <v>3</v>
      </c>
      <c r="C13" s="138" t="s">
        <v>4</v>
      </c>
      <c r="D13" s="139"/>
      <c r="E13" s="139"/>
      <c r="F13" s="139"/>
      <c r="G13" s="140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5.75" customHeight="1">
      <c r="A14" s="7"/>
      <c r="B14" s="8" t="s">
        <v>5</v>
      </c>
      <c r="C14" s="141" t="s">
        <v>6</v>
      </c>
      <c r="D14" s="139"/>
      <c r="E14" s="139"/>
      <c r="F14" s="139"/>
      <c r="G14" s="140"/>
      <c r="H14" s="9" t="s">
        <v>7</v>
      </c>
      <c r="I14" s="6"/>
      <c r="J14" s="6"/>
      <c r="K14" s="4"/>
      <c r="L14" s="6"/>
      <c r="M14" s="6"/>
      <c r="N14" s="6"/>
      <c r="O14" s="6"/>
      <c r="P14" s="6"/>
      <c r="Q14" s="6"/>
    </row>
    <row r="15" spans="1:17" ht="15.75" customHeight="1">
      <c r="A15" s="7"/>
      <c r="B15" s="8" t="s">
        <v>8</v>
      </c>
      <c r="C15" s="141" t="s">
        <v>9</v>
      </c>
      <c r="D15" s="139"/>
      <c r="E15" s="139"/>
      <c r="F15" s="139"/>
      <c r="G15" s="140"/>
      <c r="H15" s="9" t="s">
        <v>7</v>
      </c>
      <c r="I15" s="6"/>
      <c r="J15" s="6"/>
      <c r="K15" s="6"/>
      <c r="L15" s="4"/>
      <c r="M15" s="6"/>
      <c r="N15" s="6"/>
      <c r="O15" s="6"/>
      <c r="P15" s="6"/>
      <c r="Q15" s="6"/>
    </row>
    <row r="16" spans="1:17" ht="15.75" customHeight="1">
      <c r="A16" s="7"/>
      <c r="B16" s="8" t="s">
        <v>10</v>
      </c>
      <c r="C16" s="141" t="s">
        <v>11</v>
      </c>
      <c r="D16" s="139"/>
      <c r="E16" s="139"/>
      <c r="F16" s="139"/>
      <c r="G16" s="140"/>
      <c r="H16" s="6"/>
      <c r="I16" s="6"/>
      <c r="J16" s="6"/>
      <c r="K16" s="4"/>
      <c r="L16" s="6"/>
      <c r="M16" s="6"/>
      <c r="N16" s="6"/>
      <c r="O16" s="6"/>
      <c r="P16" s="6"/>
      <c r="Q16" s="6"/>
    </row>
    <row r="17" spans="1:17" ht="15.75" customHeight="1">
      <c r="A17" s="7"/>
      <c r="B17" s="8" t="s">
        <v>12</v>
      </c>
      <c r="C17" s="146" t="s">
        <v>13</v>
      </c>
      <c r="D17" s="139"/>
      <c r="E17" s="139"/>
      <c r="F17" s="139"/>
      <c r="G17" s="140"/>
      <c r="H17" s="9" t="s">
        <v>7</v>
      </c>
      <c r="I17" s="6"/>
      <c r="J17" s="6"/>
      <c r="K17" s="6"/>
      <c r="L17" s="6"/>
      <c r="M17" s="6"/>
      <c r="N17" s="6"/>
      <c r="O17" s="6"/>
      <c r="P17" s="6"/>
      <c r="Q17" s="6"/>
    </row>
    <row r="18" spans="1:17" ht="15.75" customHeight="1">
      <c r="A18" s="10"/>
      <c r="B18" s="8" t="s">
        <v>14</v>
      </c>
      <c r="C18" s="146" t="s">
        <v>15</v>
      </c>
      <c r="D18" s="139"/>
      <c r="E18" s="139"/>
      <c r="F18" s="139"/>
      <c r="G18" s="140"/>
      <c r="H18" s="9" t="s">
        <v>7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ht="15.75" hidden="1" customHeight="1">
      <c r="A19" s="11"/>
      <c r="B19" s="8" t="s">
        <v>16</v>
      </c>
      <c r="C19" s="146"/>
      <c r="D19" s="139"/>
      <c r="E19" s="139"/>
      <c r="F19" s="139"/>
      <c r="G19" s="140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.75" customHeight="1">
      <c r="A20" s="12"/>
      <c r="B20" s="8" t="s">
        <v>16</v>
      </c>
      <c r="C20" s="146" t="s">
        <v>17</v>
      </c>
      <c r="D20" s="139"/>
      <c r="E20" s="139"/>
      <c r="F20" s="139"/>
      <c r="G20" s="140"/>
      <c r="H20" s="9" t="s">
        <v>7</v>
      </c>
      <c r="I20" s="6"/>
      <c r="J20" s="6"/>
      <c r="K20" s="6"/>
      <c r="L20" s="6"/>
      <c r="M20" s="6"/>
      <c r="N20" s="6"/>
      <c r="O20" s="6"/>
      <c r="P20" s="6"/>
      <c r="Q20" s="6"/>
    </row>
    <row r="21" spans="1:17" ht="15.75" customHeight="1">
      <c r="A21" s="142" t="s">
        <v>18</v>
      </c>
      <c r="B21" s="8" t="s">
        <v>19</v>
      </c>
      <c r="C21" s="146" t="s">
        <v>20</v>
      </c>
      <c r="D21" s="139"/>
      <c r="E21" s="139"/>
      <c r="F21" s="139"/>
      <c r="G21" s="140"/>
      <c r="H21" s="9" t="s">
        <v>7</v>
      </c>
      <c r="I21" s="4"/>
      <c r="J21" s="6"/>
      <c r="K21" s="6"/>
      <c r="L21" s="6"/>
      <c r="M21" s="6"/>
      <c r="N21" s="6"/>
      <c r="O21" s="6"/>
      <c r="P21" s="6"/>
      <c r="Q21" s="6"/>
    </row>
    <row r="22" spans="1:17" ht="15.75" customHeight="1">
      <c r="A22" s="143"/>
      <c r="B22" s="8" t="s">
        <v>21</v>
      </c>
      <c r="C22" s="146" t="s">
        <v>22</v>
      </c>
      <c r="D22" s="139"/>
      <c r="E22" s="139"/>
      <c r="F22" s="139"/>
      <c r="G22" s="140"/>
      <c r="H22" s="9" t="s">
        <v>7</v>
      </c>
      <c r="I22" s="6"/>
      <c r="J22" s="6"/>
      <c r="K22" s="6"/>
      <c r="L22" s="6"/>
      <c r="M22" s="6"/>
      <c r="N22" s="6"/>
      <c r="O22" s="6"/>
      <c r="P22" s="6"/>
      <c r="Q22" s="6"/>
    </row>
    <row r="23" spans="1:17" ht="38.25" customHeight="1">
      <c r="A23" s="144" t="s">
        <v>23</v>
      </c>
      <c r="B23" s="8" t="s">
        <v>24</v>
      </c>
      <c r="C23" s="141" t="s">
        <v>13</v>
      </c>
      <c r="D23" s="139"/>
      <c r="E23" s="139"/>
      <c r="F23" s="139"/>
      <c r="G23" s="140"/>
      <c r="H23" s="9" t="s">
        <v>7</v>
      </c>
      <c r="I23" s="6"/>
      <c r="J23" s="6"/>
      <c r="K23" s="6"/>
      <c r="L23" s="6"/>
      <c r="M23" s="6"/>
      <c r="N23" s="6"/>
      <c r="O23" s="6"/>
      <c r="P23" s="6"/>
      <c r="Q23" s="6"/>
    </row>
    <row r="24" spans="1:17" ht="67.5" customHeight="1">
      <c r="A24" s="143"/>
      <c r="B24" s="8" t="s">
        <v>25</v>
      </c>
      <c r="C24" s="147" t="s">
        <v>26</v>
      </c>
      <c r="D24" s="139"/>
      <c r="E24" s="139"/>
      <c r="F24" s="139"/>
      <c r="G24" s="140"/>
      <c r="H24" s="9" t="s">
        <v>7</v>
      </c>
      <c r="I24" s="6"/>
      <c r="J24" s="6"/>
      <c r="K24" s="6"/>
      <c r="L24" s="6"/>
      <c r="M24" s="6"/>
      <c r="N24" s="6"/>
      <c r="O24" s="6"/>
      <c r="P24" s="6"/>
      <c r="Q24" s="6"/>
    </row>
    <row r="25" spans="1:17" ht="31.5" customHeight="1">
      <c r="A25" s="144" t="s">
        <v>27</v>
      </c>
      <c r="B25" s="8" t="s">
        <v>28</v>
      </c>
      <c r="C25" s="141" t="s">
        <v>29</v>
      </c>
      <c r="D25" s="139"/>
      <c r="E25" s="139"/>
      <c r="F25" s="139"/>
      <c r="G25" s="140"/>
      <c r="H25" s="9" t="s">
        <v>7</v>
      </c>
      <c r="I25" s="6"/>
      <c r="J25" s="6"/>
      <c r="K25" s="6"/>
      <c r="L25" s="6"/>
      <c r="M25" s="6"/>
      <c r="N25" s="6"/>
      <c r="O25" s="6"/>
      <c r="P25" s="6"/>
      <c r="Q25" s="6"/>
    </row>
    <row r="26" spans="1:17" ht="33" customHeight="1">
      <c r="A26" s="145"/>
      <c r="B26" s="8" t="s">
        <v>30</v>
      </c>
      <c r="C26" s="147" t="s">
        <v>31</v>
      </c>
      <c r="D26" s="139"/>
      <c r="E26" s="139"/>
      <c r="F26" s="139"/>
      <c r="G26" s="140"/>
      <c r="H26" s="9" t="s">
        <v>7</v>
      </c>
      <c r="I26" s="6"/>
      <c r="J26" s="6"/>
      <c r="K26" s="6"/>
      <c r="L26" s="6"/>
      <c r="M26" s="6"/>
      <c r="N26" s="6"/>
      <c r="O26" s="6"/>
      <c r="P26" s="6"/>
      <c r="Q26" s="6"/>
    </row>
    <row r="27" spans="1:17" ht="40.5" customHeight="1">
      <c r="A27" s="145"/>
      <c r="B27" s="8" t="s">
        <v>32</v>
      </c>
      <c r="C27" s="147" t="s">
        <v>33</v>
      </c>
      <c r="D27" s="139"/>
      <c r="E27" s="139"/>
      <c r="F27" s="139"/>
      <c r="G27" s="140"/>
      <c r="H27" s="9" t="s">
        <v>7</v>
      </c>
      <c r="I27" s="6"/>
      <c r="J27" s="6"/>
      <c r="K27" s="6"/>
      <c r="L27" s="6"/>
      <c r="M27" s="6"/>
      <c r="N27" s="6"/>
      <c r="O27" s="6"/>
      <c r="P27" s="6"/>
      <c r="Q27" s="6"/>
    </row>
    <row r="28" spans="1:17" ht="38.25" customHeight="1">
      <c r="A28" s="143"/>
      <c r="B28" s="8" t="s">
        <v>34</v>
      </c>
      <c r="C28" s="147" t="s">
        <v>35</v>
      </c>
      <c r="D28" s="139"/>
      <c r="E28" s="139"/>
      <c r="F28" s="139"/>
      <c r="G28" s="140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5.75" customHeight="1">
      <c r="A29" s="10"/>
      <c r="B29" s="8" t="s">
        <v>36</v>
      </c>
      <c r="C29" s="148" t="s">
        <v>37</v>
      </c>
      <c r="D29" s="139"/>
      <c r="E29" s="139"/>
      <c r="F29" s="139"/>
      <c r="G29" s="139"/>
      <c r="H29" s="13"/>
      <c r="I29" s="6"/>
      <c r="J29" s="6"/>
      <c r="K29" s="6"/>
      <c r="L29" s="6"/>
      <c r="M29" s="6"/>
      <c r="N29" s="6"/>
      <c r="O29" s="6"/>
      <c r="P29" s="6"/>
      <c r="Q29" s="6"/>
    </row>
    <row r="30" spans="1:17" ht="15.75" customHeight="1">
      <c r="A30" s="10"/>
      <c r="B30" s="14" t="s">
        <v>38</v>
      </c>
      <c r="C30" s="141"/>
      <c r="D30" s="139"/>
      <c r="E30" s="139"/>
      <c r="F30" s="139"/>
      <c r="G30" s="140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.75" customHeight="1">
      <c r="A31" s="15"/>
      <c r="B31" s="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66" customHeight="1">
      <c r="A32" s="18" t="s">
        <v>39</v>
      </c>
      <c r="B32" s="19" t="s">
        <v>40</v>
      </c>
      <c r="C32" s="20" t="s">
        <v>41</v>
      </c>
      <c r="D32" s="20" t="s">
        <v>42</v>
      </c>
      <c r="E32" s="20" t="s">
        <v>43</v>
      </c>
      <c r="F32" s="20" t="s">
        <v>44</v>
      </c>
      <c r="G32" s="20" t="s">
        <v>45</v>
      </c>
      <c r="H32" s="20" t="s">
        <v>46</v>
      </c>
      <c r="I32" s="20" t="s">
        <v>47</v>
      </c>
      <c r="J32" s="20" t="s">
        <v>48</v>
      </c>
      <c r="K32" s="20" t="s">
        <v>49</v>
      </c>
      <c r="L32" s="20" t="s">
        <v>50</v>
      </c>
      <c r="M32" s="20" t="s">
        <v>51</v>
      </c>
      <c r="N32" s="20" t="s">
        <v>52</v>
      </c>
      <c r="O32" s="175" t="s">
        <v>702</v>
      </c>
      <c r="P32" s="20" t="s">
        <v>54</v>
      </c>
      <c r="Q32" s="20" t="s">
        <v>55</v>
      </c>
    </row>
    <row r="33" spans="1:17" ht="63.75" customHeight="1">
      <c r="A33" s="7"/>
      <c r="B33" s="21" t="s">
        <v>56</v>
      </c>
      <c r="C33" s="22" t="s">
        <v>57</v>
      </c>
      <c r="D33" s="22" t="s">
        <v>58</v>
      </c>
      <c r="E33" s="22" t="s">
        <v>59</v>
      </c>
      <c r="F33" s="22" t="s">
        <v>60</v>
      </c>
      <c r="G33" s="22" t="s">
        <v>61</v>
      </c>
      <c r="H33" s="22" t="s">
        <v>62</v>
      </c>
      <c r="I33" s="23" t="s">
        <v>63</v>
      </c>
      <c r="J33" s="23" t="s">
        <v>64</v>
      </c>
      <c r="K33" s="22" t="s">
        <v>65</v>
      </c>
      <c r="L33" s="22" t="s">
        <v>66</v>
      </c>
      <c r="M33" s="22">
        <v>1384.25</v>
      </c>
      <c r="N33" s="24">
        <v>1140</v>
      </c>
      <c r="O33" s="174" t="s">
        <v>703</v>
      </c>
      <c r="P33" s="22" t="s">
        <v>67</v>
      </c>
      <c r="Q33" s="22" t="s">
        <v>68</v>
      </c>
    </row>
    <row r="34" spans="1:17" ht="63.75" customHeight="1">
      <c r="A34" s="25" t="s">
        <v>7</v>
      </c>
      <c r="B34" s="26" t="s">
        <v>69</v>
      </c>
      <c r="C34" s="27" t="s">
        <v>70</v>
      </c>
      <c r="D34" s="27" t="s">
        <v>71</v>
      </c>
      <c r="E34" s="27" t="s">
        <v>72</v>
      </c>
      <c r="F34" s="27" t="s">
        <v>60</v>
      </c>
      <c r="G34" s="27" t="s">
        <v>61</v>
      </c>
      <c r="H34" s="27" t="s">
        <v>73</v>
      </c>
      <c r="I34" s="28" t="s">
        <v>74</v>
      </c>
      <c r="J34" s="28" t="s">
        <v>75</v>
      </c>
      <c r="K34" s="27" t="s">
        <v>65</v>
      </c>
      <c r="L34" s="27" t="s">
        <v>66</v>
      </c>
      <c r="M34" s="23">
        <v>115207</v>
      </c>
      <c r="N34" s="23">
        <v>100873</v>
      </c>
      <c r="O34" s="174" t="s">
        <v>704</v>
      </c>
      <c r="P34" s="27" t="s">
        <v>76</v>
      </c>
      <c r="Q34" s="27" t="s">
        <v>77</v>
      </c>
    </row>
    <row r="35" spans="1:17" ht="63.75" customHeight="1">
      <c r="A35" s="29" t="s">
        <v>78</v>
      </c>
      <c r="B35" s="8" t="s">
        <v>79</v>
      </c>
      <c r="C35" s="23" t="s">
        <v>80</v>
      </c>
      <c r="D35" s="23" t="s">
        <v>81</v>
      </c>
      <c r="E35" s="23" t="s">
        <v>82</v>
      </c>
      <c r="F35" s="22" t="s">
        <v>60</v>
      </c>
      <c r="G35" s="22" t="s">
        <v>61</v>
      </c>
      <c r="H35" s="30" t="s">
        <v>83</v>
      </c>
      <c r="I35" s="30">
        <v>50</v>
      </c>
      <c r="J35" s="22">
        <f t="shared" ref="J35:J44" si="0">IF(L35="Porcentaje",I35,4)</f>
        <v>50</v>
      </c>
      <c r="K35" s="22" t="s">
        <v>84</v>
      </c>
      <c r="L35" s="22" t="s">
        <v>66</v>
      </c>
      <c r="M35" s="23">
        <v>64</v>
      </c>
      <c r="N35" s="23">
        <v>50</v>
      </c>
      <c r="O35" s="174" t="s">
        <v>705</v>
      </c>
      <c r="P35" s="22" t="s">
        <v>85</v>
      </c>
      <c r="Q35" s="22" t="s">
        <v>86</v>
      </c>
    </row>
    <row r="36" spans="1:17" ht="63.75" customHeight="1">
      <c r="A36" s="31"/>
      <c r="B36" s="32" t="s">
        <v>87</v>
      </c>
      <c r="C36" s="22" t="s">
        <v>88</v>
      </c>
      <c r="D36" s="22" t="s">
        <v>89</v>
      </c>
      <c r="E36" s="22" t="s">
        <v>90</v>
      </c>
      <c r="F36" s="22" t="s">
        <v>60</v>
      </c>
      <c r="G36" s="22" t="s">
        <v>91</v>
      </c>
      <c r="H36" s="22" t="s">
        <v>92</v>
      </c>
      <c r="I36" s="30">
        <f>N36</f>
        <v>1500</v>
      </c>
      <c r="J36" s="22">
        <f t="shared" si="0"/>
        <v>1500</v>
      </c>
      <c r="K36" s="22" t="s">
        <v>84</v>
      </c>
      <c r="L36" s="22" t="s">
        <v>66</v>
      </c>
      <c r="M36" s="23">
        <v>1799</v>
      </c>
      <c r="N36" s="23">
        <v>1500</v>
      </c>
      <c r="O36" s="174" t="s">
        <v>706</v>
      </c>
      <c r="P36" s="22" t="s">
        <v>93</v>
      </c>
      <c r="Q36" s="22" t="s">
        <v>94</v>
      </c>
    </row>
    <row r="37" spans="1:17" ht="63.75" customHeight="1">
      <c r="A37" s="33" t="s">
        <v>95</v>
      </c>
      <c r="B37" s="32" t="s">
        <v>96</v>
      </c>
      <c r="C37" s="22" t="s">
        <v>97</v>
      </c>
      <c r="D37" s="22" t="s">
        <v>98</v>
      </c>
      <c r="E37" s="22" t="s">
        <v>99</v>
      </c>
      <c r="F37" s="22" t="s">
        <v>100</v>
      </c>
      <c r="G37" s="22" t="s">
        <v>61</v>
      </c>
      <c r="H37" s="30" t="s">
        <v>101</v>
      </c>
      <c r="I37" s="30">
        <f>N37*4</f>
        <v>960</v>
      </c>
      <c r="J37" s="22">
        <f t="shared" si="0"/>
        <v>4</v>
      </c>
      <c r="K37" s="23" t="s">
        <v>102</v>
      </c>
      <c r="L37" s="22" t="s">
        <v>103</v>
      </c>
      <c r="M37" s="23">
        <v>270</v>
      </c>
      <c r="N37" s="23">
        <v>240</v>
      </c>
      <c r="O37" s="174" t="s">
        <v>707</v>
      </c>
      <c r="P37" s="22" t="s">
        <v>104</v>
      </c>
      <c r="Q37" s="22" t="s">
        <v>105</v>
      </c>
    </row>
    <row r="38" spans="1:17" ht="63.75" customHeight="1">
      <c r="A38" s="31"/>
      <c r="B38" s="8" t="s">
        <v>106</v>
      </c>
      <c r="C38" s="22" t="s">
        <v>107</v>
      </c>
      <c r="D38" s="22" t="s">
        <v>108</v>
      </c>
      <c r="E38" s="22" t="s">
        <v>109</v>
      </c>
      <c r="F38" s="22" t="s">
        <v>100</v>
      </c>
      <c r="G38" s="22" t="s">
        <v>91</v>
      </c>
      <c r="H38" s="22" t="s">
        <v>110</v>
      </c>
      <c r="I38" s="30">
        <f t="shared" ref="I38:I44" si="1">N38</f>
        <v>25</v>
      </c>
      <c r="J38" s="22">
        <f t="shared" si="0"/>
        <v>25</v>
      </c>
      <c r="K38" s="22" t="s">
        <v>84</v>
      </c>
      <c r="L38" s="22" t="s">
        <v>66</v>
      </c>
      <c r="M38" s="22">
        <v>22</v>
      </c>
      <c r="N38" s="22">
        <v>25</v>
      </c>
      <c r="O38" s="174" t="s">
        <v>708</v>
      </c>
      <c r="P38" s="22" t="s">
        <v>111</v>
      </c>
      <c r="Q38" s="22" t="s">
        <v>112</v>
      </c>
    </row>
    <row r="39" spans="1:17" ht="63.75" customHeight="1">
      <c r="A39" s="33" t="s">
        <v>113</v>
      </c>
      <c r="B39" s="8" t="s">
        <v>114</v>
      </c>
      <c r="C39" s="22" t="s">
        <v>115</v>
      </c>
      <c r="D39" s="22" t="s">
        <v>116</v>
      </c>
      <c r="E39" s="22" t="s">
        <v>117</v>
      </c>
      <c r="F39" s="22" t="s">
        <v>60</v>
      </c>
      <c r="G39" s="22" t="s">
        <v>61</v>
      </c>
      <c r="H39" s="22" t="s">
        <v>118</v>
      </c>
      <c r="I39" s="30">
        <f t="shared" si="1"/>
        <v>109348</v>
      </c>
      <c r="J39" s="22">
        <f t="shared" si="0"/>
        <v>109348</v>
      </c>
      <c r="K39" s="22" t="s">
        <v>84</v>
      </c>
      <c r="L39" s="22" t="s">
        <v>66</v>
      </c>
      <c r="M39" s="22">
        <v>113386</v>
      </c>
      <c r="N39" s="22">
        <v>109348</v>
      </c>
      <c r="O39" s="174" t="s">
        <v>709</v>
      </c>
      <c r="P39" s="22" t="s">
        <v>119</v>
      </c>
      <c r="Q39" s="22" t="s">
        <v>120</v>
      </c>
    </row>
    <row r="40" spans="1:17" ht="63.75" customHeight="1">
      <c r="A40" s="7"/>
      <c r="B40" s="8" t="s">
        <v>121</v>
      </c>
      <c r="C40" s="22" t="s">
        <v>122</v>
      </c>
      <c r="D40" s="22" t="s">
        <v>123</v>
      </c>
      <c r="E40" s="22" t="s">
        <v>124</v>
      </c>
      <c r="F40" s="22" t="s">
        <v>60</v>
      </c>
      <c r="G40" s="22" t="s">
        <v>91</v>
      </c>
      <c r="H40" s="22" t="s">
        <v>125</v>
      </c>
      <c r="I40" s="30">
        <f t="shared" si="1"/>
        <v>2200</v>
      </c>
      <c r="J40" s="22">
        <f t="shared" si="0"/>
        <v>2200</v>
      </c>
      <c r="K40" s="22" t="s">
        <v>84</v>
      </c>
      <c r="L40" s="22" t="s">
        <v>66</v>
      </c>
      <c r="M40" s="22">
        <v>2954</v>
      </c>
      <c r="N40" s="22">
        <v>2200</v>
      </c>
      <c r="O40" s="174" t="s">
        <v>710</v>
      </c>
      <c r="P40" s="22" t="s">
        <v>126</v>
      </c>
      <c r="Q40" s="22" t="s">
        <v>127</v>
      </c>
    </row>
    <row r="41" spans="1:17" ht="63.75" customHeight="1">
      <c r="A41" s="7"/>
      <c r="B41" s="8" t="s">
        <v>128</v>
      </c>
      <c r="C41" s="22" t="s">
        <v>129</v>
      </c>
      <c r="D41" s="22" t="s">
        <v>130</v>
      </c>
      <c r="E41" s="22" t="s">
        <v>131</v>
      </c>
      <c r="F41" s="22" t="s">
        <v>60</v>
      </c>
      <c r="G41" s="22" t="s">
        <v>91</v>
      </c>
      <c r="H41" s="22" t="s">
        <v>132</v>
      </c>
      <c r="I41" s="30">
        <f t="shared" si="1"/>
        <v>1098</v>
      </c>
      <c r="J41" s="22">
        <f t="shared" si="0"/>
        <v>1098</v>
      </c>
      <c r="K41" s="22" t="s">
        <v>84</v>
      </c>
      <c r="L41" s="22" t="s">
        <v>66</v>
      </c>
      <c r="M41" s="22">
        <v>1578</v>
      </c>
      <c r="N41" s="22">
        <v>1098</v>
      </c>
      <c r="O41" s="174" t="s">
        <v>711</v>
      </c>
      <c r="P41" s="22" t="s">
        <v>133</v>
      </c>
      <c r="Q41" s="22" t="s">
        <v>134</v>
      </c>
    </row>
    <row r="42" spans="1:17" ht="63.75" customHeight="1">
      <c r="A42" s="7"/>
      <c r="B42" s="8" t="s">
        <v>135</v>
      </c>
      <c r="C42" s="22" t="s">
        <v>136</v>
      </c>
      <c r="D42" s="22" t="s">
        <v>137</v>
      </c>
      <c r="E42" s="22" t="s">
        <v>138</v>
      </c>
      <c r="F42" s="22" t="s">
        <v>60</v>
      </c>
      <c r="G42" s="22" t="s">
        <v>91</v>
      </c>
      <c r="H42" s="22" t="s">
        <v>139</v>
      </c>
      <c r="I42" s="30">
        <f t="shared" si="1"/>
        <v>104000</v>
      </c>
      <c r="J42" s="22">
        <f t="shared" si="0"/>
        <v>104000</v>
      </c>
      <c r="K42" s="22" t="s">
        <v>84</v>
      </c>
      <c r="L42" s="22" t="s">
        <v>66</v>
      </c>
      <c r="M42" s="22">
        <v>106218</v>
      </c>
      <c r="N42" s="22">
        <v>104000</v>
      </c>
      <c r="O42" s="174" t="s">
        <v>712</v>
      </c>
      <c r="P42" s="22" t="s">
        <v>140</v>
      </c>
      <c r="Q42" s="22" t="s">
        <v>141</v>
      </c>
    </row>
    <row r="43" spans="1:17" ht="63.75" customHeight="1">
      <c r="A43" s="7"/>
      <c r="B43" s="8" t="s">
        <v>142</v>
      </c>
      <c r="C43" s="22" t="s">
        <v>143</v>
      </c>
      <c r="D43" s="22" t="s">
        <v>144</v>
      </c>
      <c r="E43" s="22" t="s">
        <v>145</v>
      </c>
      <c r="F43" s="22" t="s">
        <v>60</v>
      </c>
      <c r="G43" s="22" t="s">
        <v>91</v>
      </c>
      <c r="H43" s="22" t="s">
        <v>146</v>
      </c>
      <c r="I43" s="30">
        <f t="shared" si="1"/>
        <v>1200</v>
      </c>
      <c r="J43" s="22">
        <f t="shared" si="0"/>
        <v>1200</v>
      </c>
      <c r="K43" s="22" t="s">
        <v>84</v>
      </c>
      <c r="L43" s="22" t="s">
        <v>66</v>
      </c>
      <c r="M43" s="22">
        <v>1586</v>
      </c>
      <c r="N43" s="22">
        <v>1200</v>
      </c>
      <c r="O43" s="174" t="s">
        <v>713</v>
      </c>
      <c r="P43" s="22" t="s">
        <v>140</v>
      </c>
      <c r="Q43" s="22" t="s">
        <v>147</v>
      </c>
    </row>
    <row r="44" spans="1:17" ht="63.75" customHeight="1">
      <c r="A44" s="7"/>
      <c r="B44" s="8" t="s">
        <v>148</v>
      </c>
      <c r="C44" s="22" t="s">
        <v>149</v>
      </c>
      <c r="D44" s="22" t="s">
        <v>150</v>
      </c>
      <c r="E44" s="22" t="s">
        <v>151</v>
      </c>
      <c r="F44" s="22" t="s">
        <v>60</v>
      </c>
      <c r="G44" s="22" t="s">
        <v>91</v>
      </c>
      <c r="H44" s="22" t="s">
        <v>152</v>
      </c>
      <c r="I44" s="30">
        <f t="shared" si="1"/>
        <v>850</v>
      </c>
      <c r="J44" s="22">
        <f t="shared" si="0"/>
        <v>850</v>
      </c>
      <c r="K44" s="22" t="s">
        <v>84</v>
      </c>
      <c r="L44" s="22" t="s">
        <v>66</v>
      </c>
      <c r="M44" s="22">
        <v>1050</v>
      </c>
      <c r="N44" s="22">
        <v>850</v>
      </c>
      <c r="O44" s="174" t="s">
        <v>714</v>
      </c>
      <c r="P44" s="22" t="s">
        <v>153</v>
      </c>
      <c r="Q44" s="22" t="s">
        <v>154</v>
      </c>
    </row>
    <row r="45" spans="1:17" ht="15.75" customHeight="1">
      <c r="A45" s="35"/>
      <c r="B45" s="4"/>
      <c r="C45" s="36"/>
      <c r="D45" s="36"/>
      <c r="E45" s="36"/>
      <c r="F45" s="36"/>
      <c r="G45" s="36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>
      <c r="A46" s="35"/>
      <c r="B46" s="4"/>
      <c r="C46" s="36"/>
      <c r="D46" s="36"/>
      <c r="E46" s="36"/>
      <c r="F46" s="36"/>
      <c r="G46" s="36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>
      <c r="A47" s="35"/>
      <c r="B47" s="4"/>
      <c r="C47" s="36"/>
      <c r="D47" s="36"/>
      <c r="E47" s="36"/>
      <c r="F47" s="36"/>
      <c r="G47" s="36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>
      <c r="A48" s="35"/>
      <c r="B48" s="4"/>
      <c r="C48" s="36"/>
      <c r="D48" s="36"/>
      <c r="E48" s="36"/>
      <c r="F48" s="36"/>
      <c r="G48" s="36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>
      <c r="A49" s="35"/>
      <c r="B49" s="4"/>
      <c r="C49" s="36"/>
      <c r="D49" s="36"/>
      <c r="E49" s="36"/>
      <c r="F49" s="36"/>
      <c r="G49" s="36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>
      <c r="A50" s="35"/>
      <c r="B50" s="4"/>
      <c r="C50" s="36"/>
      <c r="D50" s="36"/>
      <c r="E50" s="36"/>
      <c r="F50" s="36"/>
      <c r="G50" s="36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>
      <c r="A51" s="35"/>
      <c r="B51" s="4"/>
      <c r="C51" s="36"/>
      <c r="D51" s="36"/>
      <c r="E51" s="36"/>
      <c r="F51" s="36"/>
      <c r="G51" s="36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>
      <c r="A52" s="35"/>
      <c r="B52" s="4"/>
      <c r="C52" s="36"/>
      <c r="D52" s="36"/>
      <c r="E52" s="36"/>
      <c r="F52" s="36"/>
      <c r="G52" s="36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>
      <c r="A53" s="35"/>
      <c r="B53" s="4"/>
      <c r="C53" s="36"/>
      <c r="D53" s="36"/>
      <c r="E53" s="36"/>
      <c r="F53" s="36"/>
      <c r="G53" s="36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>
      <c r="A54" s="35"/>
      <c r="B54" s="4"/>
      <c r="C54" s="36"/>
      <c r="D54" s="36"/>
      <c r="E54" s="36"/>
      <c r="F54" s="36"/>
      <c r="G54" s="36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>
      <c r="A55" s="35"/>
      <c r="B55" s="4"/>
      <c r="C55" s="36"/>
      <c r="D55" s="36"/>
      <c r="E55" s="36"/>
      <c r="F55" s="36"/>
      <c r="G55" s="36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>
      <c r="A56" s="35"/>
      <c r="B56" s="4"/>
      <c r="C56" s="36"/>
      <c r="D56" s="36"/>
      <c r="E56" s="36"/>
      <c r="F56" s="36"/>
      <c r="G56" s="36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>
      <c r="A57" s="35"/>
      <c r="B57" s="4"/>
      <c r="C57" s="36"/>
      <c r="D57" s="36"/>
      <c r="E57" s="36"/>
      <c r="F57" s="36"/>
      <c r="G57" s="36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>
      <c r="A58" s="35"/>
      <c r="B58" s="4"/>
      <c r="C58" s="36"/>
      <c r="D58" s="36"/>
      <c r="E58" s="36"/>
      <c r="F58" s="36"/>
      <c r="G58" s="36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>
      <c r="A59" s="35"/>
      <c r="B59" s="4"/>
      <c r="C59" s="36"/>
      <c r="D59" s="36"/>
      <c r="E59" s="36"/>
      <c r="F59" s="36"/>
      <c r="G59" s="36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>
      <c r="A60" s="35"/>
      <c r="B60" s="4"/>
      <c r="C60" s="36"/>
      <c r="D60" s="36"/>
      <c r="E60" s="36"/>
      <c r="F60" s="36"/>
      <c r="G60" s="36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.75" customHeight="1">
      <c r="A61" s="35"/>
      <c r="B61" s="4"/>
      <c r="C61" s="36"/>
      <c r="D61" s="36"/>
      <c r="E61" s="36"/>
      <c r="F61" s="36"/>
      <c r="G61" s="36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>
      <c r="A62" s="35"/>
      <c r="B62" s="4"/>
      <c r="C62" s="36"/>
      <c r="D62" s="36"/>
      <c r="E62" s="36"/>
      <c r="F62" s="36"/>
      <c r="G62" s="36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>
      <c r="A63" s="35"/>
      <c r="B63" s="4"/>
      <c r="C63" s="36"/>
      <c r="D63" s="36"/>
      <c r="E63" s="36"/>
      <c r="F63" s="36"/>
      <c r="G63" s="36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>
      <c r="A64" s="35"/>
      <c r="B64" s="4"/>
      <c r="C64" s="36"/>
      <c r="D64" s="36"/>
      <c r="E64" s="36"/>
      <c r="F64" s="36"/>
      <c r="G64" s="36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ht="15.75" customHeight="1">
      <c r="A65" s="35"/>
      <c r="B65" s="4"/>
      <c r="C65" s="36"/>
      <c r="D65" s="36"/>
      <c r="E65" s="36"/>
      <c r="F65" s="36"/>
      <c r="G65" s="36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ht="15.75" customHeight="1">
      <c r="A66" s="35"/>
      <c r="B66" s="4"/>
      <c r="C66" s="36"/>
      <c r="D66" s="36"/>
      <c r="E66" s="36"/>
      <c r="F66" s="36"/>
      <c r="G66" s="36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ht="15.75" customHeight="1">
      <c r="A67" s="35"/>
      <c r="B67" s="4"/>
      <c r="C67" s="36"/>
      <c r="D67" s="36"/>
      <c r="E67" s="36"/>
      <c r="F67" s="36"/>
      <c r="G67" s="36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ht="15.75" customHeight="1">
      <c r="A68" s="35"/>
      <c r="B68" s="4"/>
      <c r="C68" s="36"/>
      <c r="D68" s="36"/>
      <c r="E68" s="36"/>
      <c r="F68" s="36"/>
      <c r="G68" s="36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ht="15.75" customHeight="1">
      <c r="A69" s="35"/>
      <c r="B69" s="4"/>
      <c r="C69" s="36"/>
      <c r="D69" s="36"/>
      <c r="E69" s="36"/>
      <c r="F69" s="36"/>
      <c r="G69" s="36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ht="15.75" customHeight="1">
      <c r="A70" s="35"/>
      <c r="B70" s="4"/>
      <c r="C70" s="36"/>
      <c r="D70" s="36"/>
      <c r="E70" s="36"/>
      <c r="F70" s="36"/>
      <c r="G70" s="36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ht="15.75" customHeight="1">
      <c r="A71" s="35"/>
      <c r="B71" s="4"/>
      <c r="C71" s="36"/>
      <c r="D71" s="36"/>
      <c r="E71" s="36"/>
      <c r="F71" s="36"/>
      <c r="G71" s="36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ht="15.75" customHeight="1">
      <c r="A72" s="35"/>
      <c r="B72" s="4"/>
      <c r="C72" s="36"/>
      <c r="D72" s="36"/>
      <c r="E72" s="36"/>
      <c r="F72" s="36"/>
      <c r="G72" s="36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ht="15.75" customHeight="1">
      <c r="A73" s="35"/>
      <c r="B73" s="4"/>
      <c r="C73" s="36"/>
      <c r="D73" s="36"/>
      <c r="E73" s="36"/>
      <c r="F73" s="36"/>
      <c r="G73" s="36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.75" customHeight="1">
      <c r="A74" s="35"/>
      <c r="B74" s="4"/>
      <c r="C74" s="36"/>
      <c r="D74" s="36"/>
      <c r="E74" s="36"/>
      <c r="F74" s="36"/>
      <c r="G74" s="36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ht="15.75" customHeight="1">
      <c r="A75" s="35"/>
      <c r="B75" s="4"/>
      <c r="C75" s="36"/>
      <c r="D75" s="36"/>
      <c r="E75" s="36"/>
      <c r="F75" s="36"/>
      <c r="G75" s="36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ht="15.75" customHeight="1">
      <c r="A76" s="35"/>
      <c r="B76" s="4"/>
      <c r="C76" s="36"/>
      <c r="D76" s="36"/>
      <c r="E76" s="36"/>
      <c r="F76" s="36"/>
      <c r="G76" s="36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ht="15.75" customHeight="1">
      <c r="A77" s="35"/>
      <c r="B77" s="4"/>
      <c r="C77" s="36"/>
      <c r="D77" s="36"/>
      <c r="E77" s="36"/>
      <c r="F77" s="36"/>
      <c r="G77" s="36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.75" customHeight="1">
      <c r="A78" s="35"/>
      <c r="B78" s="4"/>
      <c r="C78" s="36"/>
      <c r="D78" s="36"/>
      <c r="E78" s="36"/>
      <c r="F78" s="36"/>
      <c r="G78" s="36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15.75" customHeight="1">
      <c r="A79" s="35"/>
      <c r="B79" s="4"/>
      <c r="C79" s="36"/>
      <c r="D79" s="36"/>
      <c r="E79" s="36"/>
      <c r="F79" s="36"/>
      <c r="G79" s="36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15.75" customHeight="1">
      <c r="A80" s="35"/>
      <c r="B80" s="4"/>
      <c r="C80" s="36"/>
      <c r="D80" s="36"/>
      <c r="E80" s="36"/>
      <c r="F80" s="36"/>
      <c r="G80" s="36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15.75" customHeight="1">
      <c r="A81" s="35"/>
      <c r="B81" s="4"/>
      <c r="C81" s="36"/>
      <c r="D81" s="36"/>
      <c r="E81" s="36"/>
      <c r="F81" s="36"/>
      <c r="G81" s="36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t="15.75" customHeight="1">
      <c r="A82" s="35"/>
      <c r="B82" s="4"/>
      <c r="C82" s="36"/>
      <c r="D82" s="36"/>
      <c r="E82" s="36"/>
      <c r="F82" s="36"/>
      <c r="G82" s="36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t="15.75" customHeight="1">
      <c r="A83" s="35"/>
      <c r="B83" s="37"/>
      <c r="C83" s="36"/>
      <c r="D83" s="36"/>
      <c r="E83" s="36"/>
      <c r="F83" s="36"/>
      <c r="G83" s="36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5.75" customHeight="1">
      <c r="A84" s="35"/>
      <c r="B84" s="37"/>
      <c r="C84" s="36"/>
      <c r="D84" s="36"/>
      <c r="E84" s="36"/>
      <c r="F84" s="36"/>
      <c r="G84" s="36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ht="15.75" customHeight="1">
      <c r="A85" s="35"/>
      <c r="B85" s="37"/>
      <c r="C85" s="36"/>
      <c r="D85" s="36"/>
      <c r="E85" s="36"/>
      <c r="F85" s="36"/>
      <c r="G85" s="36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ht="15.75" customHeight="1">
      <c r="A86" s="35"/>
      <c r="B86" s="37"/>
      <c r="C86" s="36"/>
      <c r="D86" s="36"/>
      <c r="E86" s="36"/>
      <c r="F86" s="36"/>
      <c r="G86" s="36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ht="15.75" customHeight="1">
      <c r="A87" s="35"/>
      <c r="B87" s="37"/>
      <c r="C87" s="36"/>
      <c r="D87" s="36"/>
      <c r="E87" s="36"/>
      <c r="F87" s="36"/>
      <c r="G87" s="36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5.75" customHeight="1">
      <c r="A88" s="35"/>
      <c r="B88" s="37"/>
      <c r="C88" s="36"/>
      <c r="D88" s="36"/>
      <c r="E88" s="36"/>
      <c r="F88" s="36"/>
      <c r="G88" s="36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ht="15.75" customHeight="1">
      <c r="A89" s="10"/>
      <c r="B89" s="13"/>
      <c r="C89" s="149"/>
      <c r="D89" s="150"/>
      <c r="E89" s="150"/>
      <c r="F89" s="150"/>
      <c r="G89" s="38"/>
      <c r="H89" s="152"/>
      <c r="I89" s="150"/>
      <c r="J89" s="150"/>
      <c r="K89" s="150"/>
      <c r="L89" s="150"/>
      <c r="M89" s="150"/>
      <c r="N89" s="150"/>
      <c r="O89" s="150"/>
      <c r="P89" s="150"/>
      <c r="Q89" s="150"/>
    </row>
    <row r="90" spans="1:17" ht="15.75" customHeight="1">
      <c r="A90" s="10"/>
      <c r="B90" s="13"/>
      <c r="C90" s="149"/>
      <c r="D90" s="150"/>
      <c r="E90" s="150"/>
      <c r="F90" s="150"/>
      <c r="G90" s="38"/>
      <c r="H90" s="39"/>
      <c r="I90" s="40"/>
      <c r="J90" s="40"/>
      <c r="K90" s="40"/>
      <c r="L90" s="40"/>
      <c r="M90" s="40"/>
      <c r="N90" s="40"/>
      <c r="O90" s="40"/>
      <c r="P90" s="40"/>
      <c r="Q90" s="40"/>
    </row>
    <row r="91" spans="1:17" ht="15.75" customHeight="1">
      <c r="A91" s="10"/>
      <c r="B91" s="13"/>
      <c r="C91" s="149"/>
      <c r="D91" s="150"/>
      <c r="E91" s="150"/>
      <c r="F91" s="150"/>
      <c r="G91" s="38"/>
      <c r="H91" s="35"/>
      <c r="I91" s="35"/>
      <c r="J91" s="35"/>
      <c r="K91" s="35"/>
      <c r="L91" s="35"/>
      <c r="M91" s="35"/>
      <c r="N91" s="35"/>
      <c r="O91" s="35"/>
      <c r="P91" s="35"/>
      <c r="Q91" s="35"/>
    </row>
    <row r="92" spans="1:17" ht="15.75" customHeight="1">
      <c r="A92" s="10"/>
      <c r="B92" s="13"/>
      <c r="C92" s="152"/>
      <c r="D92" s="150"/>
      <c r="E92" s="150"/>
      <c r="F92" s="150"/>
      <c r="G92" s="36"/>
      <c r="H92" s="35"/>
      <c r="I92" s="35"/>
      <c r="J92" s="35"/>
      <c r="K92" s="35"/>
      <c r="L92" s="35"/>
      <c r="M92" s="35"/>
      <c r="N92" s="35"/>
      <c r="O92" s="35"/>
      <c r="P92" s="35"/>
      <c r="Q92" s="35"/>
    </row>
    <row r="93" spans="1:17" ht="15.75" customHeight="1">
      <c r="A93" s="10"/>
      <c r="B93" s="13"/>
      <c r="C93" s="153"/>
      <c r="D93" s="150"/>
      <c r="E93" s="150"/>
      <c r="F93" s="150"/>
      <c r="G93" s="38"/>
      <c r="H93" s="35"/>
      <c r="I93" s="35"/>
      <c r="J93" s="35"/>
      <c r="K93" s="35"/>
      <c r="L93" s="35"/>
      <c r="M93" s="35"/>
      <c r="N93" s="35"/>
      <c r="O93" s="35"/>
      <c r="P93" s="35"/>
      <c r="Q93" s="35"/>
    </row>
    <row r="94" spans="1:17" ht="15.75" customHeight="1">
      <c r="A94" s="10"/>
      <c r="B94" s="13"/>
      <c r="C94" s="149"/>
      <c r="D94" s="150"/>
      <c r="E94" s="150"/>
      <c r="F94" s="150"/>
      <c r="G94" s="36"/>
      <c r="H94" s="35"/>
      <c r="I94" s="35"/>
      <c r="J94" s="35"/>
      <c r="K94" s="35"/>
      <c r="L94" s="35"/>
      <c r="M94" s="35"/>
      <c r="N94" s="35"/>
      <c r="O94" s="35"/>
      <c r="P94" s="35"/>
      <c r="Q94" s="35"/>
    </row>
    <row r="95" spans="1:17" ht="15.75" customHeight="1">
      <c r="A95" s="10"/>
      <c r="B95" s="13"/>
      <c r="C95" s="151"/>
      <c r="D95" s="150"/>
      <c r="E95" s="150"/>
      <c r="F95" s="150"/>
      <c r="G95" s="36"/>
      <c r="H95" s="35"/>
      <c r="I95" s="35"/>
      <c r="J95" s="35"/>
      <c r="K95" s="35"/>
      <c r="L95" s="35"/>
      <c r="M95" s="35"/>
      <c r="N95" s="35"/>
      <c r="O95" s="35"/>
      <c r="P95" s="35"/>
      <c r="Q95" s="35"/>
    </row>
    <row r="96" spans="1:17" ht="15.75" customHeight="1">
      <c r="A96" s="35"/>
      <c r="B96" s="35"/>
      <c r="C96" s="36"/>
      <c r="D96" s="36"/>
      <c r="E96" s="36"/>
      <c r="F96" s="36"/>
      <c r="G96" s="36"/>
      <c r="H96" s="35"/>
      <c r="I96" s="35"/>
      <c r="J96" s="35"/>
      <c r="K96" s="35"/>
      <c r="L96" s="35"/>
      <c r="M96" s="35"/>
      <c r="N96" s="35"/>
      <c r="O96" s="35"/>
      <c r="P96" s="35"/>
      <c r="Q96" s="35"/>
    </row>
    <row r="97" spans="1:17" ht="15.75" customHeight="1">
      <c r="A97" s="35"/>
      <c r="B97" s="35"/>
      <c r="C97" s="36"/>
      <c r="D97" s="36"/>
      <c r="E97" s="36"/>
      <c r="F97" s="36"/>
      <c r="G97" s="36"/>
      <c r="H97" s="35"/>
      <c r="I97" s="35"/>
      <c r="J97" s="35"/>
      <c r="K97" s="35"/>
      <c r="L97" s="35"/>
      <c r="M97" s="35"/>
      <c r="N97" s="35"/>
      <c r="O97" s="35"/>
      <c r="P97" s="35"/>
      <c r="Q97" s="35"/>
    </row>
    <row r="98" spans="1:17" ht="15.75" customHeight="1">
      <c r="A98" s="35"/>
      <c r="B98" s="4"/>
      <c r="C98" s="36"/>
      <c r="D98" s="36"/>
      <c r="E98" s="36"/>
      <c r="F98" s="36"/>
      <c r="G98" s="36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ht="15.75" customHeight="1">
      <c r="A99" s="35"/>
      <c r="B99" s="4"/>
      <c r="C99" s="36"/>
      <c r="D99" s="36"/>
      <c r="E99" s="36"/>
      <c r="F99" s="36"/>
      <c r="G99" s="36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ht="15.75" customHeight="1">
      <c r="A100" s="35"/>
      <c r="B100" s="4"/>
      <c r="C100" s="36"/>
      <c r="D100" s="36"/>
      <c r="E100" s="36"/>
      <c r="F100" s="36"/>
      <c r="G100" s="36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ht="15.75" customHeight="1">
      <c r="A101" s="35"/>
      <c r="B101" s="4"/>
      <c r="C101" s="36"/>
      <c r="D101" s="36"/>
      <c r="E101" s="36"/>
      <c r="F101" s="36"/>
      <c r="G101" s="36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ht="15.75" customHeight="1">
      <c r="A102" s="35"/>
      <c r="B102" s="4"/>
      <c r="C102" s="36"/>
      <c r="D102" s="36"/>
      <c r="E102" s="36"/>
      <c r="F102" s="36"/>
      <c r="G102" s="36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ht="15.75" customHeight="1">
      <c r="A103" s="35"/>
      <c r="B103" s="4"/>
      <c r="C103" s="36"/>
      <c r="D103" s="36"/>
      <c r="E103" s="36"/>
      <c r="F103" s="36"/>
      <c r="G103" s="36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15.75" customHeight="1">
      <c r="A104" s="35"/>
      <c r="B104" s="4"/>
      <c r="C104" s="36"/>
      <c r="D104" s="36"/>
      <c r="E104" s="36"/>
      <c r="F104" s="36"/>
      <c r="G104" s="36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 ht="15.75" customHeight="1">
      <c r="A105" s="35"/>
      <c r="B105" s="4"/>
      <c r="C105" s="36"/>
      <c r="D105" s="36"/>
      <c r="E105" s="36"/>
      <c r="F105" s="36"/>
      <c r="G105" s="36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ht="15.75" customHeight="1">
      <c r="A106" s="35"/>
      <c r="B106" s="4"/>
      <c r="C106" s="36"/>
      <c r="D106" s="36"/>
      <c r="E106" s="36"/>
      <c r="F106" s="36"/>
      <c r="G106" s="36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15.75" customHeight="1">
      <c r="A107" s="35"/>
      <c r="B107" s="4"/>
      <c r="C107" s="36"/>
      <c r="D107" s="36"/>
      <c r="E107" s="36"/>
      <c r="F107" s="36"/>
      <c r="G107" s="36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15.75" customHeight="1">
      <c r="A108" s="35"/>
      <c r="B108" s="4"/>
      <c r="C108" s="36"/>
      <c r="D108" s="36"/>
      <c r="E108" s="36"/>
      <c r="F108" s="36"/>
      <c r="G108" s="36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15.75" customHeight="1">
      <c r="A109" s="35"/>
      <c r="B109" s="4"/>
      <c r="C109" s="36"/>
      <c r="D109" s="36"/>
      <c r="E109" s="36"/>
      <c r="F109" s="36"/>
      <c r="G109" s="36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1:17" ht="15.75" customHeight="1">
      <c r="A110" s="35"/>
      <c r="B110" s="4"/>
      <c r="C110" s="36"/>
      <c r="D110" s="36"/>
      <c r="E110" s="36"/>
      <c r="F110" s="36"/>
      <c r="G110" s="36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7" ht="15.75" customHeight="1">
      <c r="A111" s="35"/>
      <c r="B111" s="4"/>
      <c r="C111" s="36"/>
      <c r="D111" s="36"/>
      <c r="E111" s="36"/>
      <c r="F111" s="36"/>
      <c r="G111" s="36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7" ht="15.75" customHeight="1">
      <c r="A112" s="35"/>
      <c r="B112" s="4"/>
      <c r="C112" s="36"/>
      <c r="D112" s="36"/>
      <c r="E112" s="36"/>
      <c r="F112" s="36"/>
      <c r="G112" s="36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15.75" customHeight="1">
      <c r="A113" s="35"/>
      <c r="B113" s="4"/>
      <c r="C113" s="36"/>
      <c r="D113" s="36"/>
      <c r="E113" s="36"/>
      <c r="F113" s="36"/>
      <c r="G113" s="36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15.75" customHeight="1">
      <c r="A114" s="35"/>
      <c r="B114" s="4"/>
      <c r="C114" s="36"/>
      <c r="D114" s="36"/>
      <c r="E114" s="36"/>
      <c r="F114" s="36"/>
      <c r="G114" s="36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15.75" customHeight="1">
      <c r="A115" s="35"/>
      <c r="B115" s="4"/>
      <c r="C115" s="36"/>
      <c r="D115" s="36"/>
      <c r="E115" s="36"/>
      <c r="F115" s="36"/>
      <c r="G115" s="36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5.75" customHeight="1">
      <c r="A116" s="35"/>
      <c r="B116" s="4"/>
      <c r="C116" s="36"/>
      <c r="D116" s="36"/>
      <c r="E116" s="36"/>
      <c r="F116" s="36"/>
      <c r="G116" s="36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 ht="15.75" customHeight="1">
      <c r="A117" s="35"/>
      <c r="B117" s="4"/>
      <c r="C117" s="36"/>
      <c r="D117" s="36"/>
      <c r="E117" s="36"/>
      <c r="F117" s="36"/>
      <c r="G117" s="36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 ht="15.75" customHeight="1">
      <c r="A118" s="35"/>
      <c r="B118" s="4"/>
      <c r="C118" s="36"/>
      <c r="D118" s="36"/>
      <c r="E118" s="36"/>
      <c r="F118" s="36"/>
      <c r="G118" s="36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 ht="15.75" customHeight="1">
      <c r="A119" s="35"/>
      <c r="B119" s="4"/>
      <c r="C119" s="36"/>
      <c r="D119" s="36"/>
      <c r="E119" s="36"/>
      <c r="F119" s="36"/>
      <c r="G119" s="36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 ht="15.75" customHeight="1">
      <c r="A120" s="35"/>
      <c r="B120" s="4"/>
      <c r="C120" s="36"/>
      <c r="D120" s="36"/>
      <c r="E120" s="36"/>
      <c r="F120" s="36"/>
      <c r="G120" s="36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 ht="15.75" customHeight="1">
      <c r="A121" s="35"/>
      <c r="B121" s="4"/>
      <c r="C121" s="36"/>
      <c r="D121" s="36"/>
      <c r="E121" s="36"/>
      <c r="F121" s="36"/>
      <c r="G121" s="36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 ht="15.75" customHeight="1">
      <c r="A122" s="35"/>
      <c r="B122" s="4"/>
      <c r="C122" s="36"/>
      <c r="D122" s="36"/>
      <c r="E122" s="36"/>
      <c r="F122" s="36"/>
      <c r="G122" s="36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 ht="15.75" customHeight="1">
      <c r="A123" s="35"/>
      <c r="B123" s="4"/>
      <c r="C123" s="36"/>
      <c r="D123" s="36"/>
      <c r="E123" s="36"/>
      <c r="F123" s="36"/>
      <c r="G123" s="36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 ht="15.75" customHeight="1">
      <c r="A124" s="35"/>
      <c r="B124" s="4"/>
      <c r="C124" s="36"/>
      <c r="D124" s="36"/>
      <c r="E124" s="36"/>
      <c r="F124" s="36"/>
      <c r="G124" s="36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 ht="15.75" customHeight="1">
      <c r="A125" s="35"/>
      <c r="B125" s="4"/>
      <c r="C125" s="36"/>
      <c r="D125" s="36"/>
      <c r="E125" s="36"/>
      <c r="F125" s="36"/>
      <c r="G125" s="36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 ht="15.75" customHeight="1">
      <c r="A126" s="35"/>
      <c r="B126" s="4"/>
      <c r="C126" s="36"/>
      <c r="D126" s="36"/>
      <c r="E126" s="36"/>
      <c r="F126" s="36"/>
      <c r="G126" s="36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 ht="15.75" customHeight="1">
      <c r="A127" s="35"/>
      <c r="B127" s="4"/>
      <c r="C127" s="36"/>
      <c r="D127" s="36"/>
      <c r="E127" s="36"/>
      <c r="F127" s="36"/>
      <c r="G127" s="36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 ht="15.75" customHeight="1">
      <c r="A128" s="35"/>
      <c r="B128" s="4"/>
      <c r="C128" s="36"/>
      <c r="D128" s="36"/>
      <c r="E128" s="36"/>
      <c r="F128" s="36"/>
      <c r="G128" s="36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 ht="15.75" customHeight="1">
      <c r="A129" s="35"/>
      <c r="B129" s="4"/>
      <c r="C129" s="36"/>
      <c r="D129" s="36"/>
      <c r="E129" s="36"/>
      <c r="F129" s="36"/>
      <c r="G129" s="36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 ht="15.75" customHeight="1">
      <c r="A130" s="35"/>
      <c r="B130" s="4"/>
      <c r="C130" s="36"/>
      <c r="D130" s="36"/>
      <c r="E130" s="36"/>
      <c r="F130" s="36"/>
      <c r="G130" s="36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 ht="15.75" customHeight="1">
      <c r="A131" s="35"/>
      <c r="B131" s="4"/>
      <c r="C131" s="36"/>
      <c r="D131" s="36"/>
      <c r="E131" s="36"/>
      <c r="F131" s="36"/>
      <c r="G131" s="36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 ht="15.75" customHeight="1">
      <c r="A132" s="35"/>
      <c r="B132" s="4"/>
      <c r="C132" s="36"/>
      <c r="D132" s="36"/>
      <c r="E132" s="36"/>
      <c r="F132" s="36"/>
      <c r="G132" s="36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 ht="15.75" customHeight="1">
      <c r="A133" s="35"/>
      <c r="B133" s="4"/>
      <c r="C133" s="36"/>
      <c r="D133" s="36"/>
      <c r="E133" s="36"/>
      <c r="F133" s="36"/>
      <c r="G133" s="36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 ht="15.75" customHeight="1">
      <c r="A134" s="35"/>
      <c r="B134" s="4"/>
      <c r="C134" s="36"/>
      <c r="D134" s="36"/>
      <c r="E134" s="36"/>
      <c r="F134" s="36"/>
      <c r="G134" s="36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15.75" customHeight="1">
      <c r="A135" s="35"/>
      <c r="B135" s="4"/>
      <c r="C135" s="36"/>
      <c r="D135" s="36"/>
      <c r="E135" s="36"/>
      <c r="F135" s="36"/>
      <c r="G135" s="36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15.75" customHeight="1">
      <c r="A136" s="35"/>
      <c r="B136" s="4"/>
      <c r="C136" s="36"/>
      <c r="D136" s="36"/>
      <c r="E136" s="36"/>
      <c r="F136" s="36"/>
      <c r="G136" s="36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15.75" customHeight="1">
      <c r="A137" s="35"/>
      <c r="B137" s="4"/>
      <c r="C137" s="36"/>
      <c r="D137" s="36"/>
      <c r="E137" s="36"/>
      <c r="F137" s="36"/>
      <c r="G137" s="36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5.75" customHeight="1">
      <c r="A138" s="35"/>
      <c r="B138" s="4"/>
      <c r="C138" s="36"/>
      <c r="D138" s="36"/>
      <c r="E138" s="36"/>
      <c r="F138" s="36"/>
      <c r="G138" s="36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5.75" customHeight="1">
      <c r="A139" s="35"/>
      <c r="B139" s="4"/>
      <c r="C139" s="36"/>
      <c r="D139" s="36"/>
      <c r="E139" s="36"/>
      <c r="F139" s="36"/>
      <c r="G139" s="36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5.75" customHeight="1">
      <c r="A140" s="35"/>
      <c r="B140" s="4"/>
      <c r="C140" s="36"/>
      <c r="D140" s="36"/>
      <c r="E140" s="36"/>
      <c r="F140" s="36"/>
      <c r="G140" s="36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5.75" customHeight="1">
      <c r="A141" s="35"/>
      <c r="B141" s="4"/>
      <c r="C141" s="36"/>
      <c r="D141" s="36"/>
      <c r="E141" s="36"/>
      <c r="F141" s="36"/>
      <c r="G141" s="36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15.75" customHeight="1">
      <c r="A142" s="35"/>
      <c r="B142" s="4"/>
      <c r="C142" s="36"/>
      <c r="D142" s="36"/>
      <c r="E142" s="36"/>
      <c r="F142" s="36"/>
      <c r="G142" s="36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15.75" customHeight="1">
      <c r="A143" s="35"/>
      <c r="B143" s="4"/>
      <c r="C143" s="36"/>
      <c r="D143" s="36"/>
      <c r="E143" s="36"/>
      <c r="F143" s="36"/>
      <c r="G143" s="36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5.75" customHeight="1">
      <c r="A144" s="35"/>
      <c r="B144" s="4"/>
      <c r="C144" s="36"/>
      <c r="D144" s="36"/>
      <c r="E144" s="36"/>
      <c r="F144" s="36"/>
      <c r="G144" s="36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ht="15.75" customHeight="1">
      <c r="A145" s="35"/>
      <c r="B145" s="4"/>
      <c r="C145" s="36"/>
      <c r="D145" s="36"/>
      <c r="E145" s="36"/>
      <c r="F145" s="36"/>
      <c r="G145" s="36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1:17" ht="15.75" customHeight="1">
      <c r="A146" s="35"/>
      <c r="B146" s="4"/>
      <c r="C146" s="36"/>
      <c r="D146" s="36"/>
      <c r="E146" s="36"/>
      <c r="F146" s="36"/>
      <c r="G146" s="36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1:17" ht="15.75" customHeight="1">
      <c r="A147" s="35"/>
      <c r="B147" s="4"/>
      <c r="C147" s="36"/>
      <c r="D147" s="36"/>
      <c r="E147" s="36"/>
      <c r="F147" s="36"/>
      <c r="G147" s="36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1:17" ht="15.75" customHeight="1">
      <c r="A148" s="35"/>
      <c r="B148" s="4"/>
      <c r="C148" s="36"/>
      <c r="D148" s="36"/>
      <c r="E148" s="36"/>
      <c r="F148" s="36"/>
      <c r="G148" s="36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ht="15.75" customHeight="1">
      <c r="A149" s="35"/>
      <c r="B149" s="4"/>
      <c r="C149" s="36"/>
      <c r="D149" s="36"/>
      <c r="E149" s="36"/>
      <c r="F149" s="36"/>
      <c r="G149" s="36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 ht="15.75" customHeight="1">
      <c r="A150" s="35"/>
      <c r="B150" s="4"/>
      <c r="C150" s="36"/>
      <c r="D150" s="36"/>
      <c r="E150" s="36"/>
      <c r="F150" s="36"/>
      <c r="G150" s="36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 ht="15.75" customHeight="1">
      <c r="A151" s="35"/>
      <c r="B151" s="4"/>
      <c r="C151" s="36"/>
      <c r="D151" s="36"/>
      <c r="E151" s="36"/>
      <c r="F151" s="36"/>
      <c r="G151" s="36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 ht="15.75" customHeight="1">
      <c r="A152" s="35"/>
      <c r="B152" s="4"/>
      <c r="C152" s="36"/>
      <c r="D152" s="36"/>
      <c r="E152" s="36"/>
      <c r="F152" s="36"/>
      <c r="G152" s="36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17" ht="15.75" customHeight="1">
      <c r="A153" s="35"/>
      <c r="B153" s="4"/>
      <c r="C153" s="36"/>
      <c r="D153" s="36"/>
      <c r="E153" s="36"/>
      <c r="F153" s="36"/>
      <c r="G153" s="36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17" ht="15.75" customHeight="1">
      <c r="A154" s="35"/>
      <c r="B154" s="4"/>
      <c r="C154" s="36"/>
      <c r="D154" s="36"/>
      <c r="E154" s="36"/>
      <c r="F154" s="36"/>
      <c r="G154" s="36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17" ht="15.75" customHeight="1">
      <c r="A155" s="35"/>
      <c r="B155" s="4"/>
      <c r="C155" s="36"/>
      <c r="D155" s="36"/>
      <c r="E155" s="36"/>
      <c r="F155" s="36"/>
      <c r="G155" s="36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17" ht="15.75" customHeight="1">
      <c r="A156" s="35"/>
      <c r="B156" s="4"/>
      <c r="C156" s="36"/>
      <c r="D156" s="36"/>
      <c r="E156" s="36"/>
      <c r="F156" s="36"/>
      <c r="G156" s="36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ht="15.75" customHeight="1">
      <c r="A157" s="35"/>
      <c r="B157" s="4"/>
      <c r="C157" s="36"/>
      <c r="D157" s="36"/>
      <c r="E157" s="36"/>
      <c r="F157" s="36"/>
      <c r="G157" s="36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15.75" customHeight="1">
      <c r="A158" s="35"/>
      <c r="B158" s="4"/>
      <c r="C158" s="36"/>
      <c r="D158" s="36"/>
      <c r="E158" s="36"/>
      <c r="F158" s="36"/>
      <c r="G158" s="36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17" ht="15.75" customHeight="1">
      <c r="A159" s="35"/>
      <c r="B159" s="4"/>
      <c r="C159" s="36"/>
      <c r="D159" s="36"/>
      <c r="E159" s="36"/>
      <c r="F159" s="36"/>
      <c r="G159" s="36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17" ht="15.75" customHeight="1">
      <c r="A160" s="35"/>
      <c r="B160" s="4"/>
      <c r="C160" s="36"/>
      <c r="D160" s="36"/>
      <c r="E160" s="36"/>
      <c r="F160" s="36"/>
      <c r="G160" s="36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ht="15.75" customHeight="1">
      <c r="A161" s="35"/>
      <c r="B161" s="4"/>
      <c r="C161" s="36"/>
      <c r="D161" s="36"/>
      <c r="E161" s="36"/>
      <c r="F161" s="36"/>
      <c r="G161" s="36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ht="15.75" customHeight="1">
      <c r="A162" s="35"/>
      <c r="B162" s="4"/>
      <c r="C162" s="36"/>
      <c r="D162" s="36"/>
      <c r="E162" s="36"/>
      <c r="F162" s="36"/>
      <c r="G162" s="36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15.75" customHeight="1">
      <c r="A163" s="35"/>
      <c r="B163" s="4"/>
      <c r="C163" s="36"/>
      <c r="D163" s="36"/>
      <c r="E163" s="36"/>
      <c r="F163" s="36"/>
      <c r="G163" s="36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15.75" customHeight="1">
      <c r="A164" s="35"/>
      <c r="B164" s="4"/>
      <c r="C164" s="36"/>
      <c r="D164" s="36"/>
      <c r="E164" s="36"/>
      <c r="F164" s="36"/>
      <c r="G164" s="36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15.75" customHeight="1">
      <c r="A165" s="35"/>
      <c r="B165" s="4"/>
      <c r="C165" s="36"/>
      <c r="D165" s="36"/>
      <c r="E165" s="36"/>
      <c r="F165" s="36"/>
      <c r="G165" s="36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ht="15.75" customHeight="1">
      <c r="A166" s="35"/>
      <c r="B166" s="4"/>
      <c r="C166" s="36"/>
      <c r="D166" s="36"/>
      <c r="E166" s="36"/>
      <c r="F166" s="36"/>
      <c r="G166" s="36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ht="15.75" customHeight="1">
      <c r="A167" s="35"/>
      <c r="B167" s="4"/>
      <c r="C167" s="36"/>
      <c r="D167" s="36"/>
      <c r="E167" s="36"/>
      <c r="F167" s="36"/>
      <c r="G167" s="36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ht="15.75" customHeight="1">
      <c r="A168" s="35"/>
      <c r="B168" s="4"/>
      <c r="C168" s="36"/>
      <c r="D168" s="36"/>
      <c r="E168" s="36"/>
      <c r="F168" s="36"/>
      <c r="G168" s="36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15.75" customHeight="1">
      <c r="A169" s="35"/>
      <c r="B169" s="4"/>
      <c r="C169" s="36"/>
      <c r="D169" s="36"/>
      <c r="E169" s="36"/>
      <c r="F169" s="36"/>
      <c r="G169" s="36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15.75" customHeight="1">
      <c r="A170" s="35"/>
      <c r="B170" s="4"/>
      <c r="C170" s="36"/>
      <c r="D170" s="36"/>
      <c r="E170" s="36"/>
      <c r="F170" s="36"/>
      <c r="G170" s="36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15.75" customHeight="1">
      <c r="A171" s="35"/>
      <c r="B171" s="4"/>
      <c r="C171" s="36"/>
      <c r="D171" s="36"/>
      <c r="E171" s="36"/>
      <c r="F171" s="36"/>
      <c r="G171" s="36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5.75" customHeight="1">
      <c r="A172" s="35"/>
      <c r="B172" s="4"/>
      <c r="C172" s="36"/>
      <c r="D172" s="36"/>
      <c r="E172" s="36"/>
      <c r="F172" s="36"/>
      <c r="G172" s="36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ht="15.75" customHeight="1">
      <c r="A173" s="35"/>
      <c r="B173" s="4"/>
      <c r="C173" s="36"/>
      <c r="D173" s="36"/>
      <c r="E173" s="36"/>
      <c r="F173" s="36"/>
      <c r="G173" s="36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ht="15.75" customHeight="1">
      <c r="A174" s="35"/>
      <c r="B174" s="4"/>
      <c r="C174" s="36"/>
      <c r="D174" s="36"/>
      <c r="E174" s="36"/>
      <c r="F174" s="36"/>
      <c r="G174" s="36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ht="15.75" customHeight="1">
      <c r="A175" s="35"/>
      <c r="B175" s="4"/>
      <c r="C175" s="36"/>
      <c r="D175" s="36"/>
      <c r="E175" s="36"/>
      <c r="F175" s="36"/>
      <c r="G175" s="36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ht="15.75" customHeight="1">
      <c r="A176" s="35"/>
      <c r="B176" s="4"/>
      <c r="C176" s="36"/>
      <c r="D176" s="36"/>
      <c r="E176" s="36"/>
      <c r="F176" s="36"/>
      <c r="G176" s="36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ht="15.75" customHeight="1">
      <c r="A177" s="35"/>
      <c r="B177" s="4"/>
      <c r="C177" s="36"/>
      <c r="D177" s="36"/>
      <c r="E177" s="36"/>
      <c r="F177" s="36"/>
      <c r="G177" s="36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ht="15.75" customHeight="1">
      <c r="A178" s="35"/>
      <c r="B178" s="4"/>
      <c r="C178" s="36"/>
      <c r="D178" s="36"/>
      <c r="E178" s="36"/>
      <c r="F178" s="36"/>
      <c r="G178" s="36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ht="15.75" customHeight="1">
      <c r="A179" s="35"/>
      <c r="B179" s="4"/>
      <c r="C179" s="36"/>
      <c r="D179" s="36"/>
      <c r="E179" s="36"/>
      <c r="F179" s="36"/>
      <c r="G179" s="36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ht="15.75" customHeight="1">
      <c r="A180" s="35"/>
      <c r="B180" s="4"/>
      <c r="C180" s="36"/>
      <c r="D180" s="36"/>
      <c r="E180" s="36"/>
      <c r="F180" s="36"/>
      <c r="G180" s="36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ht="15.75" customHeight="1">
      <c r="A181" s="35"/>
      <c r="B181" s="4"/>
      <c r="C181" s="36"/>
      <c r="D181" s="36"/>
      <c r="E181" s="36"/>
      <c r="F181" s="36"/>
      <c r="G181" s="36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ht="15.75" customHeight="1">
      <c r="A182" s="35"/>
      <c r="B182" s="4"/>
      <c r="C182" s="36"/>
      <c r="D182" s="36"/>
      <c r="E182" s="36"/>
      <c r="F182" s="36"/>
      <c r="G182" s="36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ht="15.75" customHeight="1">
      <c r="A183" s="35"/>
      <c r="B183" s="4"/>
      <c r="C183" s="36"/>
      <c r="D183" s="36"/>
      <c r="E183" s="36"/>
      <c r="F183" s="36"/>
      <c r="G183" s="36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ht="15.75" customHeight="1">
      <c r="A184" s="35"/>
      <c r="B184" s="4"/>
      <c r="C184" s="36"/>
      <c r="D184" s="36"/>
      <c r="E184" s="36"/>
      <c r="F184" s="36"/>
      <c r="G184" s="36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ht="15.75" customHeight="1">
      <c r="A185" s="35"/>
      <c r="B185" s="4"/>
      <c r="C185" s="36"/>
      <c r="D185" s="36"/>
      <c r="E185" s="36"/>
      <c r="F185" s="36"/>
      <c r="G185" s="36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ht="15.75" customHeight="1">
      <c r="A186" s="35"/>
      <c r="B186" s="4"/>
      <c r="C186" s="36"/>
      <c r="D186" s="36"/>
      <c r="E186" s="36"/>
      <c r="F186" s="36"/>
      <c r="G186" s="36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ht="15.75" customHeight="1">
      <c r="A187" s="35"/>
      <c r="B187" s="4"/>
      <c r="C187" s="36"/>
      <c r="D187" s="36"/>
      <c r="E187" s="36"/>
      <c r="F187" s="36"/>
      <c r="G187" s="36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15.75" customHeight="1">
      <c r="A188" s="35"/>
      <c r="B188" s="4"/>
      <c r="C188" s="36"/>
      <c r="D188" s="36"/>
      <c r="E188" s="36"/>
      <c r="F188" s="36"/>
      <c r="G188" s="36"/>
      <c r="H188" s="4"/>
      <c r="I188" s="4"/>
      <c r="J188" s="4"/>
      <c r="K188" s="4"/>
      <c r="L188" s="4"/>
      <c r="M188" s="4"/>
      <c r="N188" s="4"/>
      <c r="O188" s="4"/>
      <c r="P188" s="4"/>
      <c r="Q188" s="4"/>
    </row>
    <row r="189" spans="1:17" ht="15.75" customHeight="1">
      <c r="A189" s="35"/>
      <c r="B189" s="4"/>
      <c r="C189" s="36"/>
      <c r="D189" s="36"/>
      <c r="E189" s="36"/>
      <c r="F189" s="36"/>
      <c r="G189" s="36"/>
      <c r="H189" s="4"/>
      <c r="I189" s="4"/>
      <c r="J189" s="4"/>
      <c r="K189" s="4"/>
      <c r="L189" s="4"/>
      <c r="M189" s="4"/>
      <c r="N189" s="4"/>
      <c r="O189" s="4"/>
      <c r="P189" s="4"/>
      <c r="Q189" s="4"/>
    </row>
    <row r="190" spans="1:17" ht="15.75" customHeight="1">
      <c r="A190" s="35"/>
      <c r="B190" s="4"/>
      <c r="C190" s="36"/>
      <c r="D190" s="36"/>
      <c r="E190" s="36"/>
      <c r="F190" s="36"/>
      <c r="G190" s="36"/>
      <c r="H190" s="4"/>
      <c r="I190" s="4"/>
      <c r="J190" s="4"/>
      <c r="K190" s="4"/>
      <c r="L190" s="4"/>
      <c r="M190" s="4"/>
      <c r="N190" s="4"/>
      <c r="O190" s="4"/>
      <c r="P190" s="4"/>
      <c r="Q190" s="4"/>
    </row>
    <row r="191" spans="1:17" ht="15.75" customHeight="1">
      <c r="A191" s="35"/>
      <c r="B191" s="4"/>
      <c r="C191" s="36"/>
      <c r="D191" s="36"/>
      <c r="E191" s="36"/>
      <c r="F191" s="36"/>
      <c r="G191" s="36"/>
      <c r="H191" s="4"/>
      <c r="I191" s="4"/>
      <c r="J191" s="4"/>
      <c r="K191" s="4"/>
      <c r="L191" s="4"/>
      <c r="M191" s="4"/>
      <c r="N191" s="4"/>
      <c r="O191" s="4"/>
      <c r="P191" s="4"/>
      <c r="Q191" s="4"/>
    </row>
    <row r="192" spans="1:17" ht="15.75" customHeight="1">
      <c r="A192" s="35"/>
      <c r="B192" s="4"/>
      <c r="C192" s="36"/>
      <c r="D192" s="36"/>
      <c r="E192" s="36"/>
      <c r="F192" s="36"/>
      <c r="G192" s="36"/>
      <c r="H192" s="4"/>
      <c r="I192" s="4"/>
      <c r="J192" s="4"/>
      <c r="K192" s="4"/>
      <c r="L192" s="4"/>
      <c r="M192" s="4"/>
      <c r="N192" s="4"/>
      <c r="O192" s="4"/>
      <c r="P192" s="4"/>
      <c r="Q192" s="4"/>
    </row>
    <row r="193" spans="1:17" ht="15.75" customHeight="1">
      <c r="A193" s="35"/>
      <c r="B193" s="4"/>
      <c r="C193" s="36"/>
      <c r="D193" s="36"/>
      <c r="E193" s="36"/>
      <c r="F193" s="36"/>
      <c r="G193" s="36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1:17" ht="15.75" customHeight="1">
      <c r="A194" s="35"/>
      <c r="B194" s="4"/>
      <c r="C194" s="36"/>
      <c r="D194" s="36"/>
      <c r="E194" s="36"/>
      <c r="F194" s="36"/>
      <c r="G194" s="36"/>
      <c r="H194" s="4"/>
      <c r="I194" s="4"/>
      <c r="J194" s="4"/>
      <c r="K194" s="4"/>
      <c r="L194" s="4"/>
      <c r="M194" s="4"/>
      <c r="N194" s="4"/>
      <c r="O194" s="4"/>
      <c r="P194" s="4"/>
      <c r="Q194" s="4"/>
    </row>
    <row r="195" spans="1:17" ht="15.75" customHeight="1">
      <c r="A195" s="35"/>
      <c r="B195" s="4"/>
      <c r="C195" s="36"/>
      <c r="D195" s="36"/>
      <c r="E195" s="36"/>
      <c r="F195" s="36"/>
      <c r="G195" s="36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1:17" ht="15.75" customHeight="1">
      <c r="A196" s="35"/>
      <c r="B196" s="4"/>
      <c r="C196" s="36"/>
      <c r="D196" s="36"/>
      <c r="E196" s="36"/>
      <c r="F196" s="36"/>
      <c r="G196" s="36"/>
      <c r="H196" s="4"/>
      <c r="I196" s="4"/>
      <c r="J196" s="4"/>
      <c r="K196" s="4"/>
      <c r="L196" s="4"/>
      <c r="M196" s="4"/>
      <c r="N196" s="4"/>
      <c r="O196" s="4"/>
      <c r="P196" s="4"/>
      <c r="Q196" s="4"/>
    </row>
    <row r="197" spans="1:17" ht="15.75" customHeight="1">
      <c r="A197" s="35"/>
      <c r="B197" s="4"/>
      <c r="C197" s="36"/>
      <c r="D197" s="36"/>
      <c r="E197" s="36"/>
      <c r="F197" s="36"/>
      <c r="G197" s="36"/>
      <c r="H197" s="4"/>
      <c r="I197" s="4"/>
      <c r="J197" s="4"/>
      <c r="K197" s="4"/>
      <c r="L197" s="4"/>
      <c r="M197" s="4"/>
      <c r="N197" s="4"/>
      <c r="O197" s="4"/>
      <c r="P197" s="4"/>
      <c r="Q197" s="4"/>
    </row>
    <row r="198" spans="1:17" ht="15.75" customHeight="1">
      <c r="A198" s="35"/>
      <c r="B198" s="4"/>
      <c r="C198" s="36"/>
      <c r="D198" s="36"/>
      <c r="E198" s="36"/>
      <c r="F198" s="36"/>
      <c r="G198" s="36"/>
      <c r="H198" s="4"/>
      <c r="I198" s="4"/>
      <c r="J198" s="4"/>
      <c r="K198" s="4"/>
      <c r="L198" s="4"/>
      <c r="M198" s="4"/>
      <c r="N198" s="4"/>
      <c r="O198" s="4"/>
      <c r="P198" s="4"/>
      <c r="Q198" s="4"/>
    </row>
    <row r="199" spans="1:17" ht="15.75" customHeight="1">
      <c r="A199" s="35"/>
      <c r="B199" s="4"/>
      <c r="C199" s="36"/>
      <c r="D199" s="36"/>
      <c r="E199" s="36"/>
      <c r="F199" s="36"/>
      <c r="G199" s="36"/>
      <c r="H199" s="4"/>
      <c r="I199" s="4"/>
      <c r="J199" s="4"/>
      <c r="K199" s="4"/>
      <c r="L199" s="4"/>
      <c r="M199" s="4"/>
      <c r="N199" s="4"/>
      <c r="O199" s="4"/>
      <c r="P199" s="4"/>
      <c r="Q199" s="4"/>
    </row>
    <row r="200" spans="1:17" ht="15.75" customHeight="1">
      <c r="A200" s="35"/>
      <c r="B200" s="4"/>
      <c r="C200" s="36"/>
      <c r="D200" s="36"/>
      <c r="E200" s="36"/>
      <c r="F200" s="36"/>
      <c r="G200" s="36"/>
      <c r="H200" s="4"/>
      <c r="I200" s="4"/>
      <c r="J200" s="4"/>
      <c r="K200" s="4"/>
      <c r="L200" s="4"/>
      <c r="M200" s="4"/>
      <c r="N200" s="4"/>
      <c r="O200" s="4"/>
      <c r="P200" s="4"/>
      <c r="Q200" s="4"/>
    </row>
    <row r="201" spans="1:17" ht="15.75" customHeight="1">
      <c r="A201" s="35"/>
      <c r="B201" s="4"/>
      <c r="C201" s="36"/>
      <c r="D201" s="36"/>
      <c r="E201" s="36"/>
      <c r="F201" s="36"/>
      <c r="G201" s="36"/>
      <c r="H201" s="4"/>
      <c r="I201" s="4"/>
      <c r="J201" s="4"/>
      <c r="K201" s="4"/>
      <c r="L201" s="4"/>
      <c r="M201" s="4"/>
      <c r="N201" s="4"/>
      <c r="O201" s="4"/>
      <c r="P201" s="4"/>
      <c r="Q201" s="4"/>
    </row>
    <row r="202" spans="1:17" ht="15.75" customHeight="1">
      <c r="A202" s="35"/>
      <c r="B202" s="4"/>
      <c r="C202" s="36"/>
      <c r="D202" s="36"/>
      <c r="E202" s="36"/>
      <c r="F202" s="36"/>
      <c r="G202" s="36"/>
      <c r="H202" s="4"/>
      <c r="I202" s="4"/>
      <c r="J202" s="4"/>
      <c r="K202" s="4"/>
      <c r="L202" s="4"/>
      <c r="M202" s="4"/>
      <c r="N202" s="4"/>
      <c r="O202" s="4"/>
      <c r="P202" s="4"/>
      <c r="Q202" s="4"/>
    </row>
    <row r="203" spans="1:17" ht="15.75" customHeight="1">
      <c r="A203" s="35"/>
      <c r="B203" s="4"/>
      <c r="C203" s="36"/>
      <c r="D203" s="36"/>
      <c r="E203" s="36"/>
      <c r="F203" s="36"/>
      <c r="G203" s="36"/>
      <c r="H203" s="4"/>
      <c r="I203" s="4"/>
      <c r="J203" s="4"/>
      <c r="K203" s="4"/>
      <c r="L203" s="4"/>
      <c r="M203" s="4"/>
      <c r="N203" s="4"/>
      <c r="O203" s="4"/>
      <c r="P203" s="4"/>
      <c r="Q203" s="4"/>
    </row>
    <row r="204" spans="1:17" ht="15.75" customHeight="1">
      <c r="A204" s="35"/>
      <c r="B204" s="4"/>
      <c r="C204" s="36"/>
      <c r="D204" s="36"/>
      <c r="E204" s="36"/>
      <c r="F204" s="36"/>
      <c r="G204" s="36"/>
      <c r="H204" s="4"/>
      <c r="I204" s="4"/>
      <c r="J204" s="4"/>
      <c r="K204" s="4"/>
      <c r="L204" s="4"/>
      <c r="M204" s="4"/>
      <c r="N204" s="4"/>
      <c r="O204" s="4"/>
      <c r="P204" s="4"/>
      <c r="Q204" s="4"/>
    </row>
    <row r="205" spans="1:17" ht="15.75" customHeight="1">
      <c r="A205" s="35"/>
      <c r="B205" s="4"/>
      <c r="C205" s="36"/>
      <c r="D205" s="36"/>
      <c r="E205" s="36"/>
      <c r="F205" s="36"/>
      <c r="G205" s="36"/>
      <c r="H205" s="4"/>
      <c r="I205" s="4"/>
      <c r="J205" s="4"/>
      <c r="K205" s="4"/>
      <c r="L205" s="4"/>
      <c r="M205" s="4"/>
      <c r="N205" s="4"/>
      <c r="O205" s="4"/>
      <c r="P205" s="4"/>
      <c r="Q205" s="4"/>
    </row>
    <row r="206" spans="1:17" ht="15.75" customHeight="1">
      <c r="A206" s="35"/>
      <c r="B206" s="4"/>
      <c r="C206" s="36"/>
      <c r="D206" s="36"/>
      <c r="E206" s="36"/>
      <c r="F206" s="36"/>
      <c r="G206" s="36"/>
      <c r="H206" s="4"/>
      <c r="I206" s="4"/>
      <c r="J206" s="4"/>
      <c r="K206" s="4"/>
      <c r="L206" s="4"/>
      <c r="M206" s="4"/>
      <c r="N206" s="4"/>
      <c r="O206" s="4"/>
      <c r="P206" s="4"/>
      <c r="Q206" s="4"/>
    </row>
    <row r="207" spans="1:17" ht="15.75" customHeight="1">
      <c r="A207" s="35"/>
      <c r="B207" s="4"/>
      <c r="C207" s="36"/>
      <c r="D207" s="36"/>
      <c r="E207" s="36"/>
      <c r="F207" s="36"/>
      <c r="G207" s="36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 ht="15.75" customHeight="1">
      <c r="A208" s="35"/>
      <c r="B208" s="4"/>
      <c r="C208" s="36"/>
      <c r="D208" s="36"/>
      <c r="E208" s="36"/>
      <c r="F208" s="36"/>
      <c r="G208" s="36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7" ht="15.75" customHeight="1">
      <c r="A209" s="35"/>
      <c r="B209" s="4"/>
      <c r="C209" s="36"/>
      <c r="D209" s="36"/>
      <c r="E209" s="36"/>
      <c r="F209" s="36"/>
      <c r="G209" s="36"/>
      <c r="H209" s="4"/>
      <c r="I209" s="4"/>
      <c r="J209" s="4"/>
      <c r="K209" s="4"/>
      <c r="L209" s="4"/>
      <c r="M209" s="4"/>
      <c r="N209" s="4"/>
      <c r="O209" s="4"/>
      <c r="P209" s="4"/>
      <c r="Q209" s="4"/>
    </row>
    <row r="210" spans="1:17" ht="15.75" customHeight="1">
      <c r="A210" s="35"/>
      <c r="B210" s="4"/>
      <c r="C210" s="36"/>
      <c r="D210" s="36"/>
      <c r="E210" s="36"/>
      <c r="F210" s="36"/>
      <c r="G210" s="36"/>
      <c r="H210" s="4"/>
      <c r="I210" s="4"/>
      <c r="J210" s="4"/>
      <c r="K210" s="4"/>
      <c r="L210" s="4"/>
      <c r="M210" s="4"/>
      <c r="N210" s="4"/>
      <c r="O210" s="4"/>
      <c r="P210" s="4"/>
      <c r="Q210" s="4"/>
    </row>
    <row r="211" spans="1:17" ht="15.75" customHeight="1">
      <c r="A211" s="35"/>
      <c r="B211" s="4"/>
      <c r="C211" s="36"/>
      <c r="D211" s="36"/>
      <c r="E211" s="36"/>
      <c r="F211" s="36"/>
      <c r="G211" s="36"/>
      <c r="H211" s="4"/>
      <c r="I211" s="4"/>
      <c r="J211" s="4"/>
      <c r="K211" s="4"/>
      <c r="L211" s="4"/>
      <c r="M211" s="4"/>
      <c r="N211" s="4"/>
      <c r="O211" s="4"/>
      <c r="P211" s="4"/>
      <c r="Q211" s="4"/>
    </row>
    <row r="212" spans="1:17" ht="15.75" customHeight="1">
      <c r="A212" s="35"/>
      <c r="B212" s="4"/>
      <c r="C212" s="36"/>
      <c r="D212" s="36"/>
      <c r="E212" s="36"/>
      <c r="F212" s="36"/>
      <c r="G212" s="36"/>
      <c r="H212" s="4"/>
      <c r="I212" s="4"/>
      <c r="J212" s="4"/>
      <c r="K212" s="4"/>
      <c r="L212" s="4"/>
      <c r="M212" s="4"/>
      <c r="N212" s="4"/>
      <c r="O212" s="4"/>
      <c r="P212" s="4"/>
      <c r="Q212" s="4"/>
    </row>
    <row r="213" spans="1:17" ht="15.75" customHeight="1">
      <c r="A213" s="35"/>
      <c r="B213" s="4"/>
      <c r="C213" s="36"/>
      <c r="D213" s="36"/>
      <c r="E213" s="36"/>
      <c r="F213" s="36"/>
      <c r="G213" s="36"/>
      <c r="H213" s="4"/>
      <c r="I213" s="4"/>
      <c r="J213" s="4"/>
      <c r="K213" s="4"/>
      <c r="L213" s="4"/>
      <c r="M213" s="4"/>
      <c r="N213" s="4"/>
      <c r="O213" s="4"/>
      <c r="P213" s="4"/>
      <c r="Q213" s="4"/>
    </row>
    <row r="214" spans="1:17" ht="15.75" customHeight="1">
      <c r="A214" s="35"/>
      <c r="B214" s="4"/>
      <c r="C214" s="36"/>
      <c r="D214" s="36"/>
      <c r="E214" s="36"/>
      <c r="F214" s="36"/>
      <c r="G214" s="36"/>
      <c r="H214" s="4"/>
      <c r="I214" s="4"/>
      <c r="J214" s="4"/>
      <c r="K214" s="4"/>
      <c r="L214" s="4"/>
      <c r="M214" s="4"/>
      <c r="N214" s="4"/>
      <c r="O214" s="4"/>
      <c r="P214" s="4"/>
      <c r="Q214" s="4"/>
    </row>
    <row r="215" spans="1:17" ht="15.75" customHeight="1">
      <c r="A215" s="35"/>
      <c r="B215" s="4"/>
      <c r="C215" s="36"/>
      <c r="D215" s="36"/>
      <c r="E215" s="36"/>
      <c r="F215" s="36"/>
      <c r="G215" s="36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 ht="15.75" customHeight="1">
      <c r="A216" s="35"/>
      <c r="B216" s="4"/>
      <c r="C216" s="36"/>
      <c r="D216" s="36"/>
      <c r="E216" s="36"/>
      <c r="F216" s="36"/>
      <c r="G216" s="36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 ht="15.75" customHeight="1">
      <c r="A217" s="35"/>
      <c r="B217" s="4"/>
      <c r="C217" s="36"/>
      <c r="D217" s="36"/>
      <c r="E217" s="36"/>
      <c r="F217" s="36"/>
      <c r="G217" s="36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 ht="15.75" customHeight="1">
      <c r="A218" s="35"/>
      <c r="B218" s="4"/>
      <c r="C218" s="36"/>
      <c r="D218" s="36"/>
      <c r="E218" s="36"/>
      <c r="F218" s="36"/>
      <c r="G218" s="36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 ht="15.75" customHeight="1">
      <c r="A219" s="35"/>
      <c r="B219" s="4"/>
      <c r="C219" s="36"/>
      <c r="D219" s="36"/>
      <c r="E219" s="36"/>
      <c r="F219" s="36"/>
      <c r="G219" s="36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 ht="15.75" customHeight="1">
      <c r="A220" s="35"/>
      <c r="B220" s="4"/>
      <c r="C220" s="36"/>
      <c r="D220" s="36"/>
      <c r="E220" s="36"/>
      <c r="F220" s="36"/>
      <c r="G220" s="36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 ht="15.75" customHeight="1">
      <c r="A221" s="35"/>
      <c r="B221" s="4"/>
      <c r="C221" s="36"/>
      <c r="D221" s="36"/>
      <c r="E221" s="36"/>
      <c r="F221" s="36"/>
      <c r="G221" s="36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 ht="15.75" customHeight="1">
      <c r="A222" s="35"/>
      <c r="B222" s="4"/>
      <c r="C222" s="36"/>
      <c r="D222" s="36"/>
      <c r="E222" s="36"/>
      <c r="F222" s="36"/>
      <c r="G222" s="36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 ht="15.75" customHeight="1">
      <c r="A223" s="35"/>
      <c r="B223" s="4"/>
      <c r="C223" s="36"/>
      <c r="D223" s="36"/>
      <c r="E223" s="36"/>
      <c r="F223" s="36"/>
      <c r="G223" s="36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 ht="15.75" customHeight="1">
      <c r="A224" s="35"/>
      <c r="B224" s="4"/>
      <c r="C224" s="36"/>
      <c r="D224" s="36"/>
      <c r="E224" s="36"/>
      <c r="F224" s="36"/>
      <c r="G224" s="36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1:17" ht="15.75" customHeight="1">
      <c r="A225" s="35"/>
      <c r="B225" s="4"/>
      <c r="C225" s="36"/>
      <c r="D225" s="36"/>
      <c r="E225" s="36"/>
      <c r="F225" s="36"/>
      <c r="G225" s="36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1:17" ht="15.75" customHeight="1">
      <c r="A226" s="35"/>
      <c r="B226" s="4"/>
      <c r="C226" s="36"/>
      <c r="D226" s="36"/>
      <c r="E226" s="36"/>
      <c r="F226" s="36"/>
      <c r="G226" s="36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1:17" ht="15.75" customHeight="1">
      <c r="A227" s="35"/>
      <c r="B227" s="4"/>
      <c r="C227" s="36"/>
      <c r="D227" s="36"/>
      <c r="E227" s="36"/>
      <c r="F227" s="36"/>
      <c r="G227" s="36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1:17" ht="15.75" customHeight="1">
      <c r="A228" s="35"/>
      <c r="B228" s="4"/>
      <c r="C228" s="36"/>
      <c r="D228" s="36"/>
      <c r="E228" s="36"/>
      <c r="F228" s="36"/>
      <c r="G228" s="36"/>
      <c r="H228" s="4"/>
      <c r="I228" s="4"/>
      <c r="J228" s="4"/>
      <c r="K228" s="4"/>
      <c r="L228" s="4"/>
      <c r="M228" s="4"/>
      <c r="N228" s="4"/>
      <c r="O228" s="4"/>
      <c r="P228" s="4"/>
      <c r="Q228" s="4"/>
    </row>
    <row r="229" spans="1:17" ht="15.75" customHeight="1">
      <c r="A229" s="35"/>
      <c r="B229" s="4"/>
      <c r="C229" s="36"/>
      <c r="D229" s="36"/>
      <c r="E229" s="36"/>
      <c r="F229" s="36"/>
      <c r="G229" s="36"/>
      <c r="H229" s="4"/>
      <c r="I229" s="4"/>
      <c r="J229" s="4"/>
      <c r="K229" s="4"/>
      <c r="L229" s="4"/>
      <c r="M229" s="4"/>
      <c r="N229" s="4"/>
      <c r="O229" s="4"/>
      <c r="P229" s="4"/>
      <c r="Q229" s="4"/>
    </row>
    <row r="230" spans="1:17" ht="15.75" customHeight="1">
      <c r="A230" s="35"/>
      <c r="B230" s="4"/>
      <c r="C230" s="36"/>
      <c r="D230" s="36"/>
      <c r="E230" s="36"/>
      <c r="F230" s="36"/>
      <c r="G230" s="36"/>
      <c r="H230" s="4"/>
      <c r="I230" s="4"/>
      <c r="J230" s="4"/>
      <c r="K230" s="4"/>
      <c r="L230" s="4"/>
      <c r="M230" s="4"/>
      <c r="N230" s="4"/>
      <c r="O230" s="4"/>
      <c r="P230" s="4"/>
      <c r="Q230" s="4"/>
    </row>
    <row r="231" spans="1:17" ht="15.75" customHeight="1">
      <c r="A231" s="35"/>
      <c r="B231" s="4"/>
      <c r="C231" s="36"/>
      <c r="D231" s="36"/>
      <c r="E231" s="36"/>
      <c r="F231" s="36"/>
      <c r="G231" s="36"/>
      <c r="H231" s="4"/>
      <c r="I231" s="4"/>
      <c r="J231" s="4"/>
      <c r="K231" s="4"/>
      <c r="L231" s="4"/>
      <c r="M231" s="4"/>
      <c r="N231" s="4"/>
      <c r="O231" s="4"/>
      <c r="P231" s="4"/>
      <c r="Q231" s="4"/>
    </row>
    <row r="232" spans="1:17" ht="15.75" customHeight="1">
      <c r="A232" s="35"/>
      <c r="B232" s="4"/>
      <c r="C232" s="36"/>
      <c r="D232" s="36"/>
      <c r="E232" s="36"/>
      <c r="F232" s="36"/>
      <c r="G232" s="36"/>
      <c r="H232" s="4"/>
      <c r="I232" s="4"/>
      <c r="J232" s="4"/>
      <c r="K232" s="4"/>
      <c r="L232" s="4"/>
      <c r="M232" s="4"/>
      <c r="N232" s="4"/>
      <c r="O232" s="4"/>
      <c r="P232" s="4"/>
      <c r="Q232" s="4"/>
    </row>
    <row r="233" spans="1:17" ht="15.75" customHeight="1">
      <c r="A233" s="35"/>
      <c r="B233" s="4"/>
      <c r="C233" s="36"/>
      <c r="D233" s="36"/>
      <c r="E233" s="36"/>
      <c r="F233" s="36"/>
      <c r="G233" s="36"/>
      <c r="H233" s="4"/>
      <c r="I233" s="4"/>
      <c r="J233" s="4"/>
      <c r="K233" s="4"/>
      <c r="L233" s="4"/>
      <c r="M233" s="4"/>
      <c r="N233" s="4"/>
      <c r="O233" s="4"/>
      <c r="P233" s="4"/>
      <c r="Q233" s="4"/>
    </row>
    <row r="234" spans="1:17" ht="15.75" customHeight="1">
      <c r="A234" s="35"/>
      <c r="B234" s="4"/>
      <c r="C234" s="36"/>
      <c r="D234" s="36"/>
      <c r="E234" s="36"/>
      <c r="F234" s="36"/>
      <c r="G234" s="36"/>
      <c r="H234" s="4"/>
      <c r="I234" s="4"/>
      <c r="J234" s="4"/>
      <c r="K234" s="4"/>
      <c r="L234" s="4"/>
      <c r="M234" s="4"/>
      <c r="N234" s="4"/>
      <c r="O234" s="4"/>
      <c r="P234" s="4"/>
      <c r="Q234" s="4"/>
    </row>
    <row r="235" spans="1:17" ht="15.75" customHeight="1">
      <c r="A235" s="35"/>
      <c r="B235" s="4"/>
      <c r="C235" s="36"/>
      <c r="D235" s="36"/>
      <c r="E235" s="36"/>
      <c r="F235" s="36"/>
      <c r="G235" s="36"/>
      <c r="H235" s="4"/>
      <c r="I235" s="4"/>
      <c r="J235" s="4"/>
      <c r="K235" s="4"/>
      <c r="L235" s="4"/>
      <c r="M235" s="4"/>
      <c r="N235" s="4"/>
      <c r="O235" s="4"/>
      <c r="P235" s="4"/>
      <c r="Q235" s="4"/>
    </row>
    <row r="236" spans="1:17" ht="15.75" customHeight="1">
      <c r="A236" s="35"/>
      <c r="B236" s="4"/>
      <c r="C236" s="36"/>
      <c r="D236" s="36"/>
      <c r="E236" s="36"/>
      <c r="F236" s="36"/>
      <c r="G236" s="36"/>
      <c r="H236" s="4"/>
      <c r="I236" s="4"/>
      <c r="J236" s="4"/>
      <c r="K236" s="4"/>
      <c r="L236" s="4"/>
      <c r="M236" s="4"/>
      <c r="N236" s="4"/>
      <c r="O236" s="4"/>
      <c r="P236" s="4"/>
      <c r="Q236" s="4"/>
    </row>
    <row r="237" spans="1:17" ht="15.75" customHeight="1">
      <c r="A237" s="35"/>
      <c r="B237" s="4"/>
      <c r="C237" s="36"/>
      <c r="D237" s="36"/>
      <c r="E237" s="36"/>
      <c r="F237" s="36"/>
      <c r="G237" s="36"/>
      <c r="H237" s="4"/>
      <c r="I237" s="4"/>
      <c r="J237" s="4"/>
      <c r="K237" s="4"/>
      <c r="L237" s="4"/>
      <c r="M237" s="4"/>
      <c r="N237" s="4"/>
      <c r="O237" s="4"/>
      <c r="P237" s="4"/>
      <c r="Q237" s="4"/>
    </row>
    <row r="238" spans="1:17" ht="15.75" customHeight="1">
      <c r="A238" s="35"/>
      <c r="B238" s="4"/>
      <c r="C238" s="36"/>
      <c r="D238" s="36"/>
      <c r="E238" s="36"/>
      <c r="F238" s="36"/>
      <c r="G238" s="36"/>
      <c r="H238" s="4"/>
      <c r="I238" s="4"/>
      <c r="J238" s="4"/>
      <c r="K238" s="4"/>
      <c r="L238" s="4"/>
      <c r="M238" s="4"/>
      <c r="N238" s="4"/>
      <c r="O238" s="4"/>
      <c r="P238" s="4"/>
      <c r="Q238" s="4"/>
    </row>
    <row r="239" spans="1:17" ht="15.75" customHeight="1">
      <c r="A239" s="35"/>
      <c r="B239" s="4"/>
      <c r="C239" s="36"/>
      <c r="D239" s="36"/>
      <c r="E239" s="36"/>
      <c r="F239" s="36"/>
      <c r="G239" s="36"/>
      <c r="H239" s="4"/>
      <c r="I239" s="4"/>
      <c r="J239" s="4"/>
      <c r="K239" s="4"/>
      <c r="L239" s="4"/>
      <c r="M239" s="4"/>
      <c r="N239" s="4"/>
      <c r="O239" s="4"/>
      <c r="P239" s="4"/>
      <c r="Q239" s="4"/>
    </row>
    <row r="240" spans="1:17" ht="15.75" customHeight="1">
      <c r="A240" s="35"/>
      <c r="B240" s="4"/>
      <c r="C240" s="36"/>
      <c r="D240" s="36"/>
      <c r="E240" s="36"/>
      <c r="F240" s="36"/>
      <c r="G240" s="36"/>
      <c r="H240" s="4"/>
      <c r="I240" s="4"/>
      <c r="J240" s="4"/>
      <c r="K240" s="4"/>
      <c r="L240" s="4"/>
      <c r="M240" s="4"/>
      <c r="N240" s="4"/>
      <c r="O240" s="4"/>
      <c r="P240" s="4"/>
      <c r="Q240" s="4"/>
    </row>
    <row r="241" spans="1:17" ht="15.75" customHeight="1">
      <c r="A241" s="35"/>
      <c r="B241" s="4"/>
      <c r="C241" s="36"/>
      <c r="D241" s="36"/>
      <c r="E241" s="36"/>
      <c r="F241" s="36"/>
      <c r="G241" s="36"/>
      <c r="H241" s="4"/>
      <c r="I241" s="4"/>
      <c r="J241" s="4"/>
      <c r="K241" s="4"/>
      <c r="L241" s="4"/>
      <c r="M241" s="4"/>
      <c r="N241" s="4"/>
      <c r="O241" s="4"/>
      <c r="P241" s="4"/>
      <c r="Q241" s="4"/>
    </row>
    <row r="242" spans="1:17" ht="15.75" customHeight="1">
      <c r="A242" s="35"/>
      <c r="B242" s="4"/>
      <c r="C242" s="36"/>
      <c r="D242" s="36"/>
      <c r="E242" s="36"/>
      <c r="F242" s="36"/>
      <c r="G242" s="36"/>
      <c r="H242" s="4"/>
      <c r="I242" s="4"/>
      <c r="J242" s="4"/>
      <c r="K242" s="4"/>
      <c r="L242" s="4"/>
      <c r="M242" s="4"/>
      <c r="N242" s="4"/>
      <c r="O242" s="4"/>
      <c r="P242" s="4"/>
      <c r="Q242" s="4"/>
    </row>
    <row r="243" spans="1:17" ht="15.75" customHeight="1">
      <c r="A243" s="3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</row>
    <row r="244" spans="1:17" ht="15.75" customHeight="1">
      <c r="A244" s="3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</row>
    <row r="245" spans="1:17" ht="15.75" customHeight="1">
      <c r="A245" s="3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</row>
    <row r="246" spans="1:17" ht="15.75" customHeight="1">
      <c r="A246" s="3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</row>
    <row r="247" spans="1:17" ht="15.75" customHeight="1">
      <c r="A247" s="3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</row>
    <row r="248" spans="1:17" ht="15.75" customHeight="1">
      <c r="A248" s="3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</row>
    <row r="249" spans="1:17" ht="15.75" customHeight="1">
      <c r="A249" s="3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</row>
    <row r="250" spans="1:17" ht="15.75" customHeight="1">
      <c r="A250" s="3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</row>
    <row r="251" spans="1:17" ht="15.75" customHeight="1">
      <c r="A251" s="3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1:17" ht="15.75" customHeight="1">
      <c r="A252" s="3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</row>
    <row r="253" spans="1:17" ht="15.75" customHeight="1">
      <c r="A253" s="3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</row>
    <row r="254" spans="1:17" ht="15.75" customHeight="1">
      <c r="A254" s="3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</row>
    <row r="255" spans="1:17" ht="15.75" customHeight="1">
      <c r="A255" s="3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</row>
    <row r="256" spans="1:17" ht="15.75" customHeight="1">
      <c r="A256" s="3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</row>
    <row r="257" spans="1:17" ht="15.75" customHeight="1">
      <c r="A257" s="3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</row>
    <row r="258" spans="1:17" ht="15.75" customHeight="1">
      <c r="A258" s="3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</row>
    <row r="259" spans="1:17" ht="15.75" customHeight="1">
      <c r="A259" s="3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</row>
    <row r="260" spans="1:17" ht="15.75" customHeight="1">
      <c r="A260" s="3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 ht="15.75" customHeight="1">
      <c r="A261" s="3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7" ht="15.75" customHeight="1">
      <c r="A262" s="3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</row>
    <row r="263" spans="1:17" ht="15.75" customHeight="1">
      <c r="A263" s="3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</row>
    <row r="264" spans="1:17" ht="15.75" customHeight="1">
      <c r="A264" s="3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</row>
    <row r="265" spans="1:17" ht="15.75" customHeight="1">
      <c r="A265" s="3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</row>
    <row r="266" spans="1:17" ht="15.75" customHeight="1">
      <c r="A266" s="3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</row>
    <row r="267" spans="1:17" ht="15.75" customHeight="1">
      <c r="A267" s="3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</row>
    <row r="268" spans="1:17" ht="15.75" customHeight="1">
      <c r="A268" s="3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</row>
    <row r="269" spans="1:17" ht="15.75" customHeight="1">
      <c r="A269" s="3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</row>
    <row r="270" spans="1:17" ht="15.75" customHeight="1">
      <c r="A270" s="3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</row>
    <row r="271" spans="1:17" ht="15.75" customHeight="1">
      <c r="A271" s="3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</row>
    <row r="272" spans="1:17" ht="15.75" customHeight="1">
      <c r="A272" s="3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</row>
    <row r="273" spans="1:17" ht="15.75" customHeight="1">
      <c r="A273" s="3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</row>
    <row r="274" spans="1:17" ht="15.75" customHeight="1">
      <c r="A274" s="3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</row>
    <row r="275" spans="1:17" ht="15.75" customHeight="1">
      <c r="A275" s="3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</row>
    <row r="276" spans="1:17" ht="15.75" customHeight="1">
      <c r="A276" s="3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</row>
    <row r="277" spans="1:17" ht="15.75" customHeight="1">
      <c r="A277" s="3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</row>
    <row r="278" spans="1:17" ht="15.75" customHeight="1">
      <c r="A278" s="3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</row>
    <row r="279" spans="1:17" ht="15.75" customHeight="1">
      <c r="A279" s="3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</row>
    <row r="280" spans="1:17" ht="15.75" customHeight="1">
      <c r="A280" s="3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</row>
    <row r="281" spans="1:17" ht="15.75" customHeight="1">
      <c r="A281" s="3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</row>
    <row r="282" spans="1:17" ht="15.75" customHeight="1">
      <c r="A282" s="3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</row>
    <row r="283" spans="1:17" ht="15.75" customHeight="1">
      <c r="A283" s="3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</row>
    <row r="284" spans="1:17" ht="15.75" customHeight="1">
      <c r="A284" s="3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</row>
    <row r="285" spans="1:17" ht="15.75" customHeight="1">
      <c r="A285" s="3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</row>
    <row r="286" spans="1:17" ht="15.75" customHeight="1">
      <c r="A286" s="3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</row>
    <row r="287" spans="1:17" ht="15.75" customHeight="1">
      <c r="A287" s="3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</row>
    <row r="288" spans="1:17" ht="15.75" customHeight="1">
      <c r="A288" s="3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</row>
    <row r="289" spans="1:17" ht="15.75" customHeight="1">
      <c r="A289" s="3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</row>
    <row r="290" spans="1:17" ht="15.75" customHeight="1">
      <c r="A290" s="3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</row>
    <row r="291" spans="1:17" ht="15.75" customHeight="1">
      <c r="A291" s="3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</row>
    <row r="292" spans="1:17" ht="15.75" customHeight="1">
      <c r="A292" s="3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 ht="15.75" customHeight="1">
      <c r="A293" s="3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7" ht="15.75" customHeight="1">
      <c r="A294" s="3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</row>
    <row r="295" spans="1:17" ht="15.75" customHeight="1">
      <c r="A295" s="3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</row>
    <row r="296" spans="1:17" ht="15.75" customHeight="1">
      <c r="A296" s="3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</row>
    <row r="297" spans="1:17" ht="15.75" customHeight="1">
      <c r="A297" s="3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</row>
    <row r="298" spans="1:17" ht="15.75" customHeight="1">
      <c r="A298" s="3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</row>
    <row r="299" spans="1:17" ht="15.75" customHeight="1">
      <c r="A299" s="3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</row>
    <row r="300" spans="1:17" ht="15.75" customHeight="1">
      <c r="A300" s="3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</row>
    <row r="301" spans="1:17" ht="15.75" customHeight="1">
      <c r="A301" s="3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</row>
    <row r="302" spans="1:17" ht="15.75" customHeight="1">
      <c r="A302" s="3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</row>
    <row r="303" spans="1:17" ht="15.75" customHeight="1">
      <c r="A303" s="3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</row>
    <row r="304" spans="1:17" ht="15.75" customHeight="1">
      <c r="A304" s="3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</row>
    <row r="305" spans="1:17" ht="15.75" customHeight="1">
      <c r="A305" s="3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</row>
    <row r="306" spans="1:17" ht="15.75" customHeight="1">
      <c r="A306" s="3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</row>
    <row r="307" spans="1:17" ht="15.75" customHeight="1">
      <c r="A307" s="3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</row>
    <row r="308" spans="1:17" ht="15.75" customHeight="1">
      <c r="A308" s="3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</row>
    <row r="309" spans="1:17" ht="15.75" customHeight="1">
      <c r="A309" s="3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</row>
    <row r="310" spans="1:17" ht="15.75" customHeight="1">
      <c r="A310" s="3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</row>
    <row r="311" spans="1:17" ht="15.75" customHeight="1">
      <c r="A311" s="3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</row>
    <row r="312" spans="1:17" ht="15.75" customHeight="1">
      <c r="A312" s="3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</row>
    <row r="313" spans="1:17" ht="15.75" customHeight="1">
      <c r="A313" s="3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</row>
    <row r="314" spans="1:17" ht="15.75" customHeight="1">
      <c r="A314" s="3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</row>
    <row r="315" spans="1:17" ht="15.75" customHeight="1">
      <c r="A315" s="3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</row>
    <row r="316" spans="1:17" ht="15.75" customHeight="1">
      <c r="A316" s="3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</row>
    <row r="317" spans="1:17" ht="15.75" customHeight="1">
      <c r="A317" s="3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</row>
    <row r="318" spans="1:17" ht="15.75" customHeight="1">
      <c r="A318" s="3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</row>
    <row r="319" spans="1:17" ht="15.75" customHeight="1">
      <c r="A319" s="3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</row>
    <row r="320" spans="1:17" ht="15.75" customHeight="1">
      <c r="A320" s="3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</row>
    <row r="321" spans="1:17" ht="15.75" customHeight="1">
      <c r="A321" s="3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</row>
    <row r="322" spans="1:17" ht="15.75" customHeight="1">
      <c r="A322" s="3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</row>
    <row r="323" spans="1:17" ht="15.75" customHeight="1">
      <c r="A323" s="3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</row>
    <row r="324" spans="1:17" ht="15.75" customHeight="1">
      <c r="A324" s="3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</row>
    <row r="325" spans="1:17" ht="15.75" customHeight="1">
      <c r="A325" s="3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</row>
    <row r="326" spans="1:17" ht="15.75" customHeight="1">
      <c r="A326" s="3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</row>
    <row r="327" spans="1:17" ht="15.75" customHeight="1">
      <c r="A327" s="3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</row>
    <row r="328" spans="1:17" ht="15.75" customHeight="1">
      <c r="A328" s="3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</row>
    <row r="329" spans="1:17" ht="15.75" customHeight="1">
      <c r="A329" s="3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</row>
    <row r="330" spans="1:17" ht="15.75" customHeight="1">
      <c r="A330" s="3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</row>
    <row r="331" spans="1:17" ht="15.75" customHeight="1">
      <c r="A331" s="3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</row>
    <row r="332" spans="1:17" ht="15.75" customHeight="1">
      <c r="A332" s="3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</row>
    <row r="333" spans="1:17" ht="15.75" customHeight="1">
      <c r="A333" s="3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</row>
    <row r="334" spans="1:17" ht="15.75" customHeight="1">
      <c r="A334" s="3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</row>
    <row r="335" spans="1:17" ht="15.75" customHeight="1">
      <c r="A335" s="3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</row>
    <row r="336" spans="1:17" ht="15.75" customHeight="1">
      <c r="A336" s="3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</row>
    <row r="337" spans="1:17" ht="15.75" customHeight="1">
      <c r="A337" s="3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</row>
    <row r="338" spans="1:17" ht="15.75" customHeight="1">
      <c r="A338" s="3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</row>
    <row r="339" spans="1:17" ht="15.75" customHeight="1">
      <c r="A339" s="3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</row>
    <row r="340" spans="1:17" ht="15.75" customHeight="1">
      <c r="A340" s="3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</row>
    <row r="341" spans="1:17" ht="15.75" customHeight="1">
      <c r="A341" s="3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</row>
    <row r="342" spans="1:17" ht="15.75" customHeight="1">
      <c r="A342" s="3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</row>
    <row r="343" spans="1:17" ht="15.75" customHeight="1">
      <c r="A343" s="3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</row>
    <row r="344" spans="1:17" ht="15.75" customHeight="1">
      <c r="A344" s="3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</row>
    <row r="345" spans="1:17" ht="15.75" customHeight="1">
      <c r="A345" s="3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</row>
    <row r="346" spans="1:17" ht="15.75" customHeight="1">
      <c r="A346" s="3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</row>
    <row r="347" spans="1:17" ht="15.75" customHeight="1">
      <c r="A347" s="3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</row>
    <row r="348" spans="1:17" ht="15.75" customHeight="1">
      <c r="A348" s="3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</row>
    <row r="349" spans="1:17" ht="15.75" customHeight="1">
      <c r="A349" s="3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</row>
    <row r="350" spans="1:17" ht="15.75" customHeight="1">
      <c r="A350" s="3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</row>
    <row r="351" spans="1:17" ht="15.75" customHeight="1">
      <c r="A351" s="3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</row>
    <row r="352" spans="1:17" ht="15.75" customHeight="1">
      <c r="A352" s="3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</row>
    <row r="353" spans="1:17" ht="15.75" customHeight="1">
      <c r="A353" s="3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</row>
    <row r="354" spans="1:17" ht="15.75" customHeight="1">
      <c r="A354" s="3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</row>
    <row r="355" spans="1:17" ht="15.75" customHeight="1">
      <c r="A355" s="3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</row>
    <row r="356" spans="1:17" ht="15.75" customHeight="1">
      <c r="A356" s="3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</row>
    <row r="357" spans="1:17" ht="15.75" customHeight="1">
      <c r="A357" s="3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</row>
    <row r="358" spans="1:17" ht="15.75" customHeight="1">
      <c r="A358" s="3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</row>
    <row r="359" spans="1:17" ht="15.75" customHeight="1">
      <c r="A359" s="3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</row>
    <row r="360" spans="1:17" ht="15.75" customHeight="1">
      <c r="A360" s="3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</row>
    <row r="361" spans="1:17" ht="15.75" customHeight="1">
      <c r="A361" s="3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</row>
    <row r="362" spans="1:17" ht="15.75" customHeight="1">
      <c r="A362" s="3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</row>
    <row r="363" spans="1:17" ht="15.75" customHeight="1">
      <c r="A363" s="3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</row>
    <row r="364" spans="1:17" ht="15.75" customHeight="1">
      <c r="A364" s="3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</row>
    <row r="365" spans="1:17" ht="15.75" customHeight="1">
      <c r="A365" s="3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</row>
    <row r="366" spans="1:17" ht="15.75" customHeight="1">
      <c r="A366" s="3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</row>
    <row r="367" spans="1:17" ht="15.75" customHeight="1">
      <c r="A367" s="3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</row>
    <row r="368" spans="1:17" ht="15.75" customHeight="1">
      <c r="A368" s="3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</row>
    <row r="369" spans="1:17" ht="15.75" customHeight="1">
      <c r="A369" s="3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</row>
    <row r="370" spans="1:17" ht="15.75" customHeight="1">
      <c r="A370" s="3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</row>
    <row r="371" spans="1:17" ht="15.75" customHeight="1">
      <c r="A371" s="3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</row>
    <row r="372" spans="1:17" ht="15.75" customHeight="1">
      <c r="A372" s="3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</row>
    <row r="373" spans="1:17" ht="15.75" customHeight="1">
      <c r="A373" s="3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</row>
    <row r="374" spans="1:17" ht="15.75" customHeight="1">
      <c r="A374" s="3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</row>
    <row r="375" spans="1:17" ht="15.75" customHeight="1">
      <c r="A375" s="3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</row>
    <row r="376" spans="1:17" ht="15.75" customHeight="1">
      <c r="A376" s="3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</row>
    <row r="377" spans="1:17" ht="15.75" customHeight="1">
      <c r="A377" s="3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</row>
    <row r="378" spans="1:17" ht="15.75" customHeight="1">
      <c r="A378" s="3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</row>
    <row r="379" spans="1:17" ht="15.75" customHeight="1">
      <c r="A379" s="3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</row>
    <row r="380" spans="1:17" ht="15.75" customHeight="1">
      <c r="A380" s="3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</row>
    <row r="381" spans="1:17" ht="15.75" customHeight="1">
      <c r="A381" s="3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</row>
    <row r="382" spans="1:17" ht="15.75" customHeight="1">
      <c r="A382" s="3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</row>
    <row r="383" spans="1:17" ht="15.75" customHeight="1">
      <c r="A383" s="3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</row>
    <row r="384" spans="1:17" ht="15.75" customHeight="1">
      <c r="A384" s="3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</row>
    <row r="385" spans="1:17" ht="15.75" customHeight="1">
      <c r="A385" s="3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</row>
    <row r="386" spans="1:17" ht="15.75" customHeight="1">
      <c r="A386" s="3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</row>
    <row r="387" spans="1:17" ht="15.75" customHeight="1">
      <c r="A387" s="3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</row>
    <row r="388" spans="1:17" ht="15.75" customHeight="1">
      <c r="A388" s="3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</row>
    <row r="389" spans="1:17" ht="15.75" customHeight="1">
      <c r="A389" s="3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</row>
    <row r="390" spans="1:17" ht="15.75" customHeight="1">
      <c r="A390" s="3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</row>
    <row r="391" spans="1:17" ht="15.75" customHeight="1">
      <c r="A391" s="3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</row>
    <row r="392" spans="1:17" ht="15.75" customHeight="1">
      <c r="A392" s="3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</row>
    <row r="393" spans="1:17" ht="15.75" customHeight="1">
      <c r="A393" s="3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</row>
    <row r="394" spans="1:17" ht="15.75" customHeight="1">
      <c r="A394" s="3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</row>
    <row r="395" spans="1:17" ht="15.75" customHeight="1">
      <c r="A395" s="3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</row>
    <row r="396" spans="1:17" ht="15.75" customHeight="1">
      <c r="A396" s="3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</row>
    <row r="397" spans="1:17" ht="15.75" customHeight="1">
      <c r="A397" s="3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</row>
    <row r="398" spans="1:17" ht="15.75" customHeight="1">
      <c r="A398" s="3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</row>
    <row r="399" spans="1:17" ht="15.75" customHeight="1">
      <c r="A399" s="3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</row>
    <row r="400" spans="1:17" ht="15.75" customHeight="1">
      <c r="A400" s="3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</row>
    <row r="401" spans="1:17" ht="15.75" customHeight="1">
      <c r="A401" s="3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</row>
    <row r="402" spans="1:17" ht="15.75" customHeight="1">
      <c r="A402" s="3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</row>
    <row r="403" spans="1:17" ht="15.75" customHeight="1">
      <c r="A403" s="3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</row>
    <row r="404" spans="1:17" ht="15.75" customHeight="1">
      <c r="A404" s="3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</row>
    <row r="405" spans="1:17" ht="15.75" customHeight="1">
      <c r="A405" s="3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 ht="15.75" customHeight="1">
      <c r="A406" s="3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 ht="15.75" customHeight="1">
      <c r="A407" s="3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 ht="15.75" customHeight="1">
      <c r="A408" s="3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ht="15.75" customHeight="1">
      <c r="A409" s="3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ht="15.75" customHeight="1">
      <c r="A410" s="3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ht="15.75" customHeight="1">
      <c r="A411" s="3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ht="15.75" customHeight="1">
      <c r="A412" s="3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  <row r="413" spans="1:17" ht="15.75" customHeight="1">
      <c r="A413" s="3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</row>
    <row r="414" spans="1:17" ht="15.75" customHeight="1">
      <c r="A414" s="3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</row>
    <row r="415" spans="1:17" ht="15.75" customHeight="1">
      <c r="A415" s="3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</row>
    <row r="416" spans="1:17" ht="15.75" customHeight="1">
      <c r="A416" s="3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</row>
    <row r="417" spans="1:17" ht="15.75" customHeight="1">
      <c r="A417" s="3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</row>
    <row r="418" spans="1:17" ht="15.75" customHeight="1">
      <c r="A418" s="3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</row>
    <row r="419" spans="1:17" ht="15.75" customHeight="1">
      <c r="A419" s="3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</row>
    <row r="420" spans="1:17" ht="15.75" customHeight="1">
      <c r="A420" s="3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</row>
    <row r="421" spans="1:17" ht="15.75" customHeight="1">
      <c r="A421" s="3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</row>
    <row r="422" spans="1:17" ht="15.75" customHeight="1">
      <c r="A422" s="3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</row>
    <row r="423" spans="1:17" ht="15.75" customHeight="1">
      <c r="A423" s="3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</row>
    <row r="424" spans="1:17" ht="15.75" customHeight="1">
      <c r="A424" s="3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</row>
    <row r="425" spans="1:17" ht="15.75" customHeight="1">
      <c r="A425" s="3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</row>
    <row r="426" spans="1:17" ht="15.75" customHeight="1">
      <c r="A426" s="3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</row>
    <row r="427" spans="1:17" ht="15.75" customHeight="1">
      <c r="A427" s="3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</row>
    <row r="428" spans="1:17" ht="15.75" customHeight="1">
      <c r="A428" s="3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</row>
    <row r="429" spans="1:17" ht="15.75" customHeight="1">
      <c r="A429" s="3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</row>
    <row r="430" spans="1:17" ht="15.75" customHeight="1">
      <c r="A430" s="3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</row>
    <row r="431" spans="1:17" ht="15.75" customHeight="1">
      <c r="A431" s="3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</row>
    <row r="432" spans="1:17" ht="15.75" customHeight="1">
      <c r="A432" s="3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</row>
    <row r="433" spans="1:17" ht="15.75" customHeight="1">
      <c r="A433" s="3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</row>
    <row r="434" spans="1:17" ht="15.75" customHeight="1">
      <c r="A434" s="3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</row>
    <row r="435" spans="1:17" ht="15.75" customHeight="1">
      <c r="A435" s="3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</row>
    <row r="436" spans="1:17" ht="15.75" customHeight="1">
      <c r="A436" s="3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</row>
    <row r="437" spans="1:17" ht="15.75" customHeight="1">
      <c r="A437" s="3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</row>
    <row r="438" spans="1:17" ht="15.75" customHeight="1">
      <c r="A438" s="3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</row>
    <row r="439" spans="1:17" ht="15.75" customHeight="1">
      <c r="A439" s="3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</row>
    <row r="440" spans="1:17" ht="15.75" customHeight="1">
      <c r="A440" s="3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</row>
    <row r="441" spans="1:17" ht="15.75" customHeight="1">
      <c r="A441" s="3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</row>
    <row r="442" spans="1:17" ht="15.75" customHeight="1">
      <c r="A442" s="3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</row>
    <row r="443" spans="1:17" ht="15.75" customHeight="1">
      <c r="A443" s="3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</row>
    <row r="444" spans="1:17" ht="15.75" customHeight="1">
      <c r="A444" s="3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</row>
    <row r="445" spans="1:17" ht="15.75" customHeight="1">
      <c r="A445" s="3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</row>
    <row r="446" spans="1:17" ht="15.75" customHeight="1">
      <c r="A446" s="3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</row>
    <row r="447" spans="1:17" ht="15.75" customHeight="1">
      <c r="A447" s="3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</row>
    <row r="448" spans="1:17" ht="15.75" customHeight="1">
      <c r="A448" s="3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</row>
    <row r="449" spans="1:17" ht="15.75" customHeight="1">
      <c r="A449" s="3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</row>
    <row r="450" spans="1:17" ht="15.75" customHeight="1">
      <c r="A450" s="3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</row>
    <row r="451" spans="1:17" ht="15.75" customHeight="1">
      <c r="A451" s="3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</row>
    <row r="452" spans="1:17" ht="15.75" customHeight="1">
      <c r="A452" s="3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</row>
    <row r="453" spans="1:17" ht="15.75" customHeight="1">
      <c r="A453" s="3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</row>
    <row r="454" spans="1:17" ht="15.75" customHeight="1">
      <c r="A454" s="3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</row>
    <row r="455" spans="1:17" ht="15.75" customHeight="1">
      <c r="A455" s="3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</row>
    <row r="456" spans="1:17" ht="15.75" customHeight="1">
      <c r="A456" s="3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</row>
    <row r="457" spans="1:17" ht="15.75" customHeight="1">
      <c r="A457" s="3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</row>
    <row r="458" spans="1:17" ht="15.75" customHeight="1">
      <c r="A458" s="3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</row>
    <row r="459" spans="1:17" ht="15.75" customHeight="1">
      <c r="A459" s="3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</row>
    <row r="460" spans="1:17" ht="15.75" customHeight="1">
      <c r="A460" s="3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</row>
    <row r="461" spans="1:17" ht="15.75" customHeight="1">
      <c r="A461" s="3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</row>
    <row r="462" spans="1:17" ht="15.75" customHeight="1">
      <c r="A462" s="3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</row>
    <row r="463" spans="1:17" ht="15.75" customHeight="1">
      <c r="A463" s="3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</row>
    <row r="464" spans="1:17" ht="15.75" customHeight="1">
      <c r="A464" s="3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</row>
    <row r="465" spans="1:17" ht="15.75" customHeight="1">
      <c r="A465" s="3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</row>
    <row r="466" spans="1:17" ht="15.75" customHeight="1">
      <c r="A466" s="3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</row>
    <row r="467" spans="1:17" ht="15.75" customHeight="1">
      <c r="A467" s="3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</row>
    <row r="468" spans="1:17" ht="15.75" customHeight="1">
      <c r="A468" s="3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</row>
    <row r="469" spans="1:17" ht="15.75" customHeight="1">
      <c r="A469" s="3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</row>
    <row r="470" spans="1:17" ht="15.75" customHeight="1">
      <c r="A470" s="3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</row>
    <row r="471" spans="1:17" ht="15.75" customHeight="1">
      <c r="A471" s="3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</row>
    <row r="472" spans="1:17" ht="15.75" customHeight="1">
      <c r="A472" s="3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</row>
    <row r="473" spans="1:17" ht="15.75" customHeight="1">
      <c r="A473" s="3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</row>
    <row r="474" spans="1:17" ht="15.75" customHeight="1">
      <c r="A474" s="3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</row>
    <row r="475" spans="1:17" ht="15.75" customHeight="1">
      <c r="A475" s="3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</row>
    <row r="476" spans="1:17" ht="15.75" customHeight="1">
      <c r="A476" s="3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</row>
    <row r="477" spans="1:17" ht="15.75" customHeight="1">
      <c r="A477" s="3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</row>
    <row r="478" spans="1:17" ht="15.75" customHeight="1">
      <c r="A478" s="3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</row>
    <row r="479" spans="1:17" ht="15.75" customHeight="1">
      <c r="A479" s="3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</row>
    <row r="480" spans="1:17" ht="15.75" customHeight="1">
      <c r="A480" s="3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</row>
    <row r="481" spans="1:17" ht="15.75" customHeight="1">
      <c r="A481" s="3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</row>
    <row r="482" spans="1:17" ht="15.75" customHeight="1">
      <c r="A482" s="3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</row>
    <row r="483" spans="1:17" ht="15.75" customHeight="1">
      <c r="A483" s="3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</row>
    <row r="484" spans="1:17" ht="15.75" customHeight="1">
      <c r="A484" s="3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</row>
    <row r="485" spans="1:17" ht="15.75" customHeight="1">
      <c r="A485" s="3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</row>
    <row r="486" spans="1:17" ht="15.75" customHeight="1">
      <c r="A486" s="3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</row>
    <row r="487" spans="1:17" ht="15.75" customHeight="1">
      <c r="A487" s="3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</row>
    <row r="488" spans="1:17" ht="15.75" customHeight="1">
      <c r="A488" s="3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</row>
    <row r="489" spans="1:17" ht="15.75" customHeight="1">
      <c r="A489" s="3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</row>
    <row r="490" spans="1:17" ht="15.75" customHeight="1">
      <c r="A490" s="3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</row>
    <row r="491" spans="1:17" ht="15.75" customHeight="1">
      <c r="A491" s="3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</row>
    <row r="492" spans="1:17" ht="15.75" customHeight="1">
      <c r="A492" s="3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</row>
    <row r="493" spans="1:17" ht="15.75" customHeight="1">
      <c r="A493" s="3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</row>
    <row r="494" spans="1:17" ht="15.75" customHeight="1">
      <c r="A494" s="3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</row>
    <row r="495" spans="1:17" ht="15.75" customHeight="1">
      <c r="A495" s="3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</row>
    <row r="496" spans="1:17" ht="15.75" customHeight="1">
      <c r="A496" s="3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</row>
    <row r="497" spans="1:17" ht="15.75" customHeight="1">
      <c r="A497" s="3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</row>
    <row r="498" spans="1:17" ht="15.75" customHeight="1">
      <c r="A498" s="3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</row>
    <row r="499" spans="1:17" ht="15.75" customHeight="1">
      <c r="A499" s="3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</row>
    <row r="500" spans="1:17" ht="15.75" customHeight="1">
      <c r="A500" s="3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</row>
    <row r="501" spans="1:17" ht="15.75" customHeight="1">
      <c r="A501" s="3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</row>
    <row r="502" spans="1:17" ht="15.75" customHeight="1">
      <c r="A502" s="3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</row>
    <row r="503" spans="1:17" ht="15.75" customHeight="1">
      <c r="A503" s="3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</row>
    <row r="504" spans="1:17" ht="15.75" customHeight="1">
      <c r="A504" s="3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</row>
    <row r="505" spans="1:17" ht="15.75" customHeight="1">
      <c r="A505" s="3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</row>
    <row r="506" spans="1:17" ht="15.75" customHeight="1">
      <c r="A506" s="3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</row>
    <row r="507" spans="1:17" ht="15.75" customHeight="1">
      <c r="A507" s="3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</row>
    <row r="508" spans="1:17" ht="15.75" customHeight="1">
      <c r="A508" s="3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</row>
    <row r="509" spans="1:17" ht="15.75" customHeight="1">
      <c r="A509" s="3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</row>
    <row r="510" spans="1:17" ht="15.75" customHeight="1">
      <c r="A510" s="3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</row>
    <row r="511" spans="1:17" ht="15.75" customHeight="1">
      <c r="A511" s="3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</row>
    <row r="512" spans="1:17" ht="15.75" customHeight="1">
      <c r="A512" s="3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</row>
    <row r="513" spans="1:17" ht="15.75" customHeight="1">
      <c r="A513" s="3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</row>
    <row r="514" spans="1:17" ht="15.75" customHeight="1">
      <c r="A514" s="3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</row>
    <row r="515" spans="1:17" ht="15.75" customHeight="1">
      <c r="A515" s="3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</row>
    <row r="516" spans="1:17" ht="15.75" customHeight="1">
      <c r="A516" s="3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</row>
    <row r="517" spans="1:17" ht="15.75" customHeight="1">
      <c r="A517" s="3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</row>
    <row r="518" spans="1:17" ht="15.75" customHeight="1">
      <c r="A518" s="3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</row>
    <row r="519" spans="1:17" ht="15.75" customHeight="1">
      <c r="A519" s="3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</row>
    <row r="520" spans="1:17" ht="15.75" customHeight="1">
      <c r="A520" s="3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</row>
    <row r="521" spans="1:17" ht="15.75" customHeight="1">
      <c r="A521" s="3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</row>
    <row r="522" spans="1:17" ht="15.75" customHeight="1">
      <c r="A522" s="3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</row>
    <row r="523" spans="1:17" ht="15.75" customHeight="1">
      <c r="A523" s="3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</row>
    <row r="524" spans="1:17" ht="15.75" customHeight="1">
      <c r="A524" s="3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</row>
    <row r="525" spans="1:17" ht="15.75" customHeight="1">
      <c r="A525" s="3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</row>
    <row r="526" spans="1:17" ht="15.75" customHeight="1">
      <c r="A526" s="3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</row>
    <row r="527" spans="1:17" ht="15.75" customHeight="1">
      <c r="A527" s="3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</row>
    <row r="528" spans="1:17" ht="15.75" customHeight="1">
      <c r="A528" s="3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</row>
    <row r="529" spans="1:17" ht="15.75" customHeight="1">
      <c r="A529" s="3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</row>
    <row r="530" spans="1:17" ht="15.75" customHeight="1">
      <c r="A530" s="3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</row>
    <row r="531" spans="1:17" ht="15.75" customHeight="1">
      <c r="A531" s="3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</row>
    <row r="532" spans="1:17" ht="15.75" customHeight="1">
      <c r="A532" s="3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</row>
    <row r="533" spans="1:17" ht="15.75" customHeight="1">
      <c r="A533" s="3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</row>
    <row r="534" spans="1:17" ht="15.75" customHeight="1">
      <c r="A534" s="3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</row>
    <row r="535" spans="1:17" ht="15.75" customHeight="1">
      <c r="A535" s="3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</row>
    <row r="536" spans="1:17" ht="15.75" customHeight="1">
      <c r="A536" s="3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</row>
    <row r="537" spans="1:17" ht="15.75" customHeight="1">
      <c r="A537" s="3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</row>
    <row r="538" spans="1:17" ht="15.75" customHeight="1">
      <c r="A538" s="3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</row>
    <row r="539" spans="1:17" ht="15.75" customHeight="1">
      <c r="A539" s="3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</row>
    <row r="540" spans="1:17" ht="15.75" customHeight="1">
      <c r="A540" s="3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</row>
    <row r="541" spans="1:17" ht="15.75" customHeight="1">
      <c r="A541" s="3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</row>
    <row r="542" spans="1:17" ht="15.75" customHeight="1">
      <c r="A542" s="3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</row>
    <row r="543" spans="1:17" ht="15.75" customHeight="1">
      <c r="A543" s="3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</row>
    <row r="544" spans="1:17" ht="15.75" customHeight="1">
      <c r="A544" s="3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</row>
    <row r="545" spans="1:17" ht="15.75" customHeight="1">
      <c r="A545" s="3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</row>
    <row r="546" spans="1:17" ht="15.75" customHeight="1">
      <c r="A546" s="3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</row>
    <row r="547" spans="1:17" ht="15.75" customHeight="1">
      <c r="A547" s="3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</row>
    <row r="548" spans="1:17" ht="15.75" customHeight="1">
      <c r="A548" s="3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</row>
    <row r="549" spans="1:17" ht="15.75" customHeight="1">
      <c r="A549" s="3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</row>
    <row r="550" spans="1:17" ht="15.75" customHeight="1">
      <c r="A550" s="3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</row>
    <row r="551" spans="1:17" ht="15.75" customHeight="1">
      <c r="A551" s="3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</row>
    <row r="552" spans="1:17" ht="15.75" customHeight="1">
      <c r="A552" s="3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</row>
    <row r="553" spans="1:17" ht="15.75" customHeight="1">
      <c r="A553" s="3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</row>
    <row r="554" spans="1:17" ht="15.75" customHeight="1">
      <c r="A554" s="3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</row>
    <row r="555" spans="1:17" ht="15.75" customHeight="1">
      <c r="A555" s="3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</row>
    <row r="556" spans="1:17" ht="15.75" customHeight="1">
      <c r="A556" s="3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</row>
    <row r="557" spans="1:17" ht="15.75" customHeight="1">
      <c r="A557" s="3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</row>
    <row r="558" spans="1:17" ht="15.75" customHeight="1">
      <c r="A558" s="3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</row>
    <row r="559" spans="1:17" ht="15.75" customHeight="1">
      <c r="A559" s="3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</row>
    <row r="560" spans="1:17" ht="15.75" customHeight="1">
      <c r="A560" s="3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</row>
    <row r="561" spans="1:17" ht="15.75" customHeight="1">
      <c r="A561" s="3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</row>
    <row r="562" spans="1:17" ht="15.75" customHeight="1">
      <c r="A562" s="3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</row>
    <row r="563" spans="1:17" ht="15.75" customHeight="1">
      <c r="A563" s="3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</row>
    <row r="564" spans="1:17" ht="15.75" customHeight="1">
      <c r="A564" s="3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</row>
    <row r="565" spans="1:17" ht="15.75" customHeight="1">
      <c r="A565" s="3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</row>
    <row r="566" spans="1:17" ht="15.75" customHeight="1">
      <c r="A566" s="3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</row>
    <row r="567" spans="1:17" ht="15.75" customHeight="1">
      <c r="A567" s="3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</row>
    <row r="568" spans="1:17" ht="15.75" customHeight="1">
      <c r="A568" s="3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</row>
    <row r="569" spans="1:17" ht="15.75" customHeight="1">
      <c r="A569" s="3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</row>
    <row r="570" spans="1:17" ht="15.75" customHeight="1">
      <c r="A570" s="3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</row>
    <row r="571" spans="1:17" ht="15.75" customHeight="1">
      <c r="A571" s="3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</row>
    <row r="572" spans="1:17" ht="15.75" customHeight="1">
      <c r="A572" s="3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</row>
    <row r="573" spans="1:17" ht="15.75" customHeight="1">
      <c r="A573" s="3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</row>
    <row r="574" spans="1:17" ht="15.75" customHeight="1">
      <c r="A574" s="3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</row>
    <row r="575" spans="1:17" ht="15.75" customHeight="1">
      <c r="A575" s="3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</row>
    <row r="576" spans="1:17" ht="15.75" customHeight="1">
      <c r="A576" s="3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</row>
    <row r="577" spans="1:17" ht="15.75" customHeight="1">
      <c r="A577" s="3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</row>
    <row r="578" spans="1:17" ht="15.75" customHeight="1">
      <c r="A578" s="3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</row>
    <row r="579" spans="1:17" ht="15.75" customHeight="1">
      <c r="A579" s="3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</row>
    <row r="580" spans="1:17" ht="15.75" customHeight="1">
      <c r="A580" s="3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</row>
    <row r="581" spans="1:17" ht="15.75" customHeight="1">
      <c r="A581" s="3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</row>
    <row r="582" spans="1:17" ht="15.75" customHeight="1">
      <c r="A582" s="3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</row>
    <row r="583" spans="1:17" ht="15.75" customHeight="1">
      <c r="A583" s="3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</row>
    <row r="584" spans="1:17" ht="15.75" customHeight="1">
      <c r="A584" s="3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</row>
    <row r="585" spans="1:17" ht="15.75" customHeight="1">
      <c r="A585" s="3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</row>
    <row r="586" spans="1:17" ht="15.75" customHeight="1">
      <c r="A586" s="3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</row>
    <row r="587" spans="1:17" ht="15.75" customHeight="1">
      <c r="A587" s="3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</row>
    <row r="588" spans="1:17" ht="15.75" customHeight="1">
      <c r="A588" s="3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</row>
    <row r="589" spans="1:17" ht="15.75" customHeight="1">
      <c r="A589" s="3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</row>
    <row r="590" spans="1:17" ht="15.75" customHeight="1">
      <c r="A590" s="3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</row>
    <row r="591" spans="1:17" ht="15.75" customHeight="1">
      <c r="A591" s="3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</row>
    <row r="592" spans="1:17" ht="15.75" customHeight="1">
      <c r="A592" s="3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</row>
    <row r="593" spans="1:17" ht="15.75" customHeight="1">
      <c r="A593" s="3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</row>
    <row r="594" spans="1:17" ht="15.75" customHeight="1">
      <c r="A594" s="3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</row>
    <row r="595" spans="1:17" ht="15.75" customHeight="1">
      <c r="A595" s="3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</row>
    <row r="596" spans="1:17" ht="15.75" customHeight="1">
      <c r="A596" s="3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</row>
    <row r="597" spans="1:17" ht="15.75" customHeight="1">
      <c r="A597" s="3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</row>
    <row r="598" spans="1:17" ht="15.75" customHeight="1">
      <c r="A598" s="3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</row>
    <row r="599" spans="1:17" ht="15.75" customHeight="1">
      <c r="A599" s="3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</row>
    <row r="600" spans="1:17" ht="15.75" customHeight="1">
      <c r="A600" s="3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</row>
    <row r="601" spans="1:17" ht="15.75" customHeight="1">
      <c r="A601" s="3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</row>
    <row r="602" spans="1:17" ht="15.75" customHeight="1">
      <c r="A602" s="3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</row>
    <row r="603" spans="1:17" ht="15.75" customHeight="1">
      <c r="A603" s="3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</row>
    <row r="604" spans="1:17" ht="15.75" customHeight="1">
      <c r="A604" s="3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</row>
    <row r="605" spans="1:17" ht="15.75" customHeight="1">
      <c r="A605" s="3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</row>
    <row r="606" spans="1:17" ht="15.75" customHeight="1">
      <c r="A606" s="3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</row>
    <row r="607" spans="1:17" ht="15.75" customHeight="1">
      <c r="A607" s="3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</row>
    <row r="608" spans="1:17" ht="15.75" customHeight="1">
      <c r="A608" s="3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</row>
    <row r="609" spans="1:17" ht="15.75" customHeight="1">
      <c r="A609" s="3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</row>
    <row r="610" spans="1:17" ht="15.75" customHeight="1">
      <c r="A610" s="3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</row>
    <row r="611" spans="1:17" ht="15.75" customHeight="1">
      <c r="A611" s="3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</row>
    <row r="612" spans="1:17" ht="15.75" customHeight="1">
      <c r="A612" s="3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</row>
    <row r="613" spans="1:17" ht="15.75" customHeight="1">
      <c r="A613" s="3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</row>
    <row r="614" spans="1:17" ht="15.75" customHeight="1">
      <c r="A614" s="3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</row>
    <row r="615" spans="1:17" ht="15.75" customHeight="1">
      <c r="A615" s="3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</row>
    <row r="616" spans="1:17" ht="15.75" customHeight="1">
      <c r="A616" s="3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</row>
    <row r="617" spans="1:17" ht="15.75" customHeight="1">
      <c r="A617" s="3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</row>
    <row r="618" spans="1:17" ht="15.75" customHeight="1">
      <c r="A618" s="3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</row>
    <row r="619" spans="1:17" ht="15.75" customHeight="1">
      <c r="A619" s="3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</row>
    <row r="620" spans="1:17" ht="15.75" customHeight="1">
      <c r="A620" s="3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</row>
    <row r="621" spans="1:17" ht="15.75" customHeight="1">
      <c r="A621" s="3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</row>
    <row r="622" spans="1:17" ht="15.75" customHeight="1">
      <c r="A622" s="3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</row>
    <row r="623" spans="1:17" ht="15.75" customHeight="1">
      <c r="A623" s="3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</row>
    <row r="624" spans="1:17" ht="15.75" customHeight="1">
      <c r="A624" s="3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</row>
    <row r="625" spans="1:17" ht="15.75" customHeight="1">
      <c r="A625" s="3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</row>
    <row r="626" spans="1:17" ht="15.75" customHeight="1">
      <c r="A626" s="3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</row>
    <row r="627" spans="1:17" ht="15.75" customHeight="1">
      <c r="A627" s="3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</row>
    <row r="628" spans="1:17" ht="15.75" customHeight="1">
      <c r="A628" s="3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</row>
    <row r="629" spans="1:17" ht="15.75" customHeight="1">
      <c r="A629" s="3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</row>
    <row r="630" spans="1:17" ht="15.75" customHeight="1">
      <c r="A630" s="3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</row>
    <row r="631" spans="1:17" ht="15.75" customHeight="1">
      <c r="A631" s="3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</row>
    <row r="632" spans="1:17" ht="15.75" customHeight="1">
      <c r="A632" s="3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</row>
    <row r="633" spans="1:17" ht="15.75" customHeight="1">
      <c r="A633" s="3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</row>
    <row r="634" spans="1:17" ht="15.75" customHeight="1">
      <c r="A634" s="3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</row>
    <row r="635" spans="1:17" ht="15.75" customHeight="1">
      <c r="A635" s="3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</row>
    <row r="636" spans="1:17" ht="15.75" customHeight="1">
      <c r="A636" s="3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</row>
    <row r="637" spans="1:17" ht="15.75" customHeight="1">
      <c r="A637" s="3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</row>
    <row r="638" spans="1:17" ht="15.75" customHeight="1">
      <c r="A638" s="3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</row>
    <row r="639" spans="1:17" ht="15.75" customHeight="1">
      <c r="A639" s="3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</row>
    <row r="640" spans="1:17" ht="15.75" customHeight="1">
      <c r="A640" s="3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</row>
    <row r="641" spans="1:17" ht="15.75" customHeight="1">
      <c r="A641" s="3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</row>
    <row r="642" spans="1:17" ht="15.75" customHeight="1">
      <c r="A642" s="3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</row>
    <row r="643" spans="1:17" ht="15.75" customHeight="1">
      <c r="A643" s="3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</row>
    <row r="644" spans="1:17" ht="15.75" customHeight="1">
      <c r="A644" s="3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</row>
    <row r="645" spans="1:17" ht="15.75" customHeight="1">
      <c r="A645" s="3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</row>
    <row r="646" spans="1:17" ht="15.75" customHeight="1">
      <c r="A646" s="3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</row>
    <row r="647" spans="1:17" ht="15.75" customHeight="1">
      <c r="A647" s="3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</row>
    <row r="648" spans="1:17" ht="15.75" customHeight="1">
      <c r="A648" s="3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</row>
    <row r="649" spans="1:17" ht="15.75" customHeight="1">
      <c r="A649" s="3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</row>
    <row r="650" spans="1:17" ht="15.75" customHeight="1">
      <c r="A650" s="3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</row>
    <row r="651" spans="1:17" ht="15.75" customHeight="1">
      <c r="A651" s="3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</row>
    <row r="652" spans="1:17" ht="15.75" customHeight="1">
      <c r="A652" s="3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</row>
    <row r="653" spans="1:17" ht="15.75" customHeight="1">
      <c r="A653" s="3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</row>
    <row r="654" spans="1:17" ht="15.75" customHeight="1">
      <c r="A654" s="3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</row>
    <row r="655" spans="1:17" ht="15.75" customHeight="1">
      <c r="A655" s="3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</row>
    <row r="656" spans="1:17" ht="15.75" customHeight="1">
      <c r="A656" s="3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</row>
    <row r="657" spans="1:17" ht="15.75" customHeight="1">
      <c r="A657" s="3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</row>
    <row r="658" spans="1:17" ht="15.75" customHeight="1">
      <c r="A658" s="3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</row>
    <row r="659" spans="1:17" ht="15.75" customHeight="1">
      <c r="A659" s="3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</row>
    <row r="660" spans="1:17" ht="15.75" customHeight="1">
      <c r="A660" s="3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</row>
    <row r="661" spans="1:17" ht="15.75" customHeight="1">
      <c r="A661" s="3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</row>
    <row r="662" spans="1:17" ht="15.75" customHeight="1">
      <c r="A662" s="3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</row>
    <row r="663" spans="1:17" ht="15.75" customHeight="1">
      <c r="A663" s="3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</row>
    <row r="664" spans="1:17" ht="15.75" customHeight="1">
      <c r="A664" s="3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</row>
    <row r="665" spans="1:17" ht="15.75" customHeight="1">
      <c r="A665" s="3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</row>
    <row r="666" spans="1:17" ht="15.75" customHeight="1">
      <c r="A666" s="3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</row>
    <row r="667" spans="1:17" ht="15.75" customHeight="1">
      <c r="A667" s="3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</row>
    <row r="668" spans="1:17" ht="15.75" customHeight="1">
      <c r="A668" s="3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</row>
    <row r="669" spans="1:17" ht="15.75" customHeight="1">
      <c r="A669" s="3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</row>
    <row r="670" spans="1:17" ht="15.75" customHeight="1">
      <c r="A670" s="3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</row>
    <row r="671" spans="1:17" ht="15.75" customHeight="1">
      <c r="A671" s="3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</row>
    <row r="672" spans="1:17" ht="15.75" customHeight="1">
      <c r="A672" s="3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</row>
    <row r="673" spans="1:17" ht="15.75" customHeight="1">
      <c r="A673" s="3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</row>
    <row r="674" spans="1:17" ht="15.75" customHeight="1">
      <c r="A674" s="3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</row>
    <row r="675" spans="1:17" ht="15.75" customHeight="1">
      <c r="A675" s="3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</row>
    <row r="676" spans="1:17" ht="15.75" customHeight="1">
      <c r="A676" s="3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</row>
    <row r="677" spans="1:17" ht="15.75" customHeight="1">
      <c r="A677" s="3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</row>
    <row r="678" spans="1:17" ht="15.75" customHeight="1">
      <c r="A678" s="3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</row>
    <row r="679" spans="1:17" ht="15.75" customHeight="1">
      <c r="A679" s="3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</row>
    <row r="680" spans="1:17" ht="15.75" customHeight="1">
      <c r="A680" s="3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</row>
    <row r="681" spans="1:17" ht="15.75" customHeight="1">
      <c r="A681" s="3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</row>
    <row r="682" spans="1:17" ht="15.75" customHeight="1">
      <c r="A682" s="3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</row>
    <row r="683" spans="1:17" ht="15.75" customHeight="1">
      <c r="A683" s="3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</row>
    <row r="684" spans="1:17" ht="15.75" customHeight="1">
      <c r="A684" s="3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</row>
    <row r="685" spans="1:17" ht="15.75" customHeight="1">
      <c r="A685" s="3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</row>
    <row r="686" spans="1:17" ht="15.75" customHeight="1">
      <c r="A686" s="3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</row>
    <row r="687" spans="1:17" ht="15.75" customHeight="1">
      <c r="A687" s="3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</row>
    <row r="688" spans="1:17" ht="15.75" customHeight="1">
      <c r="A688" s="3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</row>
    <row r="689" spans="1:17" ht="15.75" customHeight="1">
      <c r="A689" s="3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</row>
    <row r="690" spans="1:17" ht="15.75" customHeight="1">
      <c r="A690" s="3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</row>
    <row r="691" spans="1:17" ht="15.75" customHeight="1">
      <c r="A691" s="3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</row>
    <row r="692" spans="1:17" ht="15.75" customHeight="1">
      <c r="A692" s="3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</row>
    <row r="693" spans="1:17" ht="15.75" customHeight="1">
      <c r="A693" s="3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</row>
    <row r="694" spans="1:17" ht="15.75" customHeight="1">
      <c r="A694" s="3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</row>
    <row r="695" spans="1:17" ht="15.75" customHeight="1">
      <c r="A695" s="3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</row>
    <row r="696" spans="1:17" ht="15.75" customHeight="1">
      <c r="A696" s="3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</row>
    <row r="697" spans="1:17" ht="15.75" customHeight="1">
      <c r="A697" s="3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</row>
    <row r="698" spans="1:17" ht="15.75" customHeight="1">
      <c r="A698" s="3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</row>
    <row r="699" spans="1:17" ht="15.75" customHeight="1">
      <c r="A699" s="3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</row>
    <row r="700" spans="1:17" ht="15.75" customHeight="1">
      <c r="A700" s="3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</row>
    <row r="701" spans="1:17" ht="15.75" customHeight="1">
      <c r="A701" s="3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</row>
    <row r="702" spans="1:17" ht="15.75" customHeight="1">
      <c r="A702" s="3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</row>
    <row r="703" spans="1:17" ht="15.75" customHeight="1">
      <c r="A703" s="3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</row>
    <row r="704" spans="1:17" ht="15.75" customHeight="1">
      <c r="A704" s="3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</row>
    <row r="705" spans="1:17" ht="15.75" customHeight="1">
      <c r="A705" s="3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</row>
    <row r="706" spans="1:17" ht="15.75" customHeight="1">
      <c r="A706" s="3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</row>
    <row r="707" spans="1:17" ht="15.75" customHeight="1">
      <c r="A707" s="3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</row>
    <row r="708" spans="1:17" ht="15.75" customHeight="1">
      <c r="A708" s="3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</row>
    <row r="709" spans="1:17" ht="15.75" customHeight="1">
      <c r="A709" s="3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</row>
    <row r="710" spans="1:17" ht="15.75" customHeight="1">
      <c r="A710" s="3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</row>
    <row r="711" spans="1:17" ht="15.75" customHeight="1">
      <c r="A711" s="3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</row>
    <row r="712" spans="1:17" ht="15.75" customHeight="1">
      <c r="A712" s="3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</row>
    <row r="713" spans="1:17" ht="15.75" customHeight="1">
      <c r="A713" s="3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</row>
    <row r="714" spans="1:17" ht="15.75" customHeight="1">
      <c r="A714" s="3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</row>
    <row r="715" spans="1:17" ht="15.75" customHeight="1">
      <c r="A715" s="3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</row>
    <row r="716" spans="1:17" ht="15.75" customHeight="1">
      <c r="A716" s="3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</row>
    <row r="717" spans="1:17" ht="15.75" customHeight="1">
      <c r="A717" s="3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</row>
    <row r="718" spans="1:17" ht="15.75" customHeight="1">
      <c r="A718" s="3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</row>
    <row r="719" spans="1:17" ht="15.75" customHeight="1">
      <c r="A719" s="3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</row>
    <row r="720" spans="1:17" ht="15.75" customHeight="1">
      <c r="A720" s="3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</row>
    <row r="721" spans="1:17" ht="15.75" customHeight="1">
      <c r="A721" s="3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</row>
    <row r="722" spans="1:17" ht="15.75" customHeight="1">
      <c r="A722" s="3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</row>
    <row r="723" spans="1:17" ht="15.75" customHeight="1">
      <c r="A723" s="3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</row>
    <row r="724" spans="1:17" ht="15.75" customHeight="1">
      <c r="A724" s="3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</row>
    <row r="725" spans="1:17" ht="15.75" customHeight="1">
      <c r="A725" s="3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</row>
    <row r="726" spans="1:17" ht="15.75" customHeight="1">
      <c r="A726" s="3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</row>
    <row r="727" spans="1:17" ht="15.75" customHeight="1">
      <c r="A727" s="3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</row>
    <row r="728" spans="1:17" ht="15.75" customHeight="1">
      <c r="A728" s="3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</row>
    <row r="729" spans="1:17" ht="15.75" customHeight="1">
      <c r="A729" s="3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</row>
    <row r="730" spans="1:17" ht="15.75" customHeight="1">
      <c r="A730" s="3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</row>
    <row r="731" spans="1:17" ht="15.75" customHeight="1">
      <c r="A731" s="3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</row>
    <row r="732" spans="1:17" ht="15.75" customHeight="1">
      <c r="A732" s="3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</row>
    <row r="733" spans="1:17" ht="15.75" customHeight="1">
      <c r="A733" s="3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</row>
    <row r="734" spans="1:17" ht="15.75" customHeight="1">
      <c r="A734" s="3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</row>
    <row r="735" spans="1:17" ht="15.75" customHeight="1">
      <c r="A735" s="3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</row>
    <row r="736" spans="1:17" ht="15.75" customHeight="1">
      <c r="A736" s="3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</row>
    <row r="737" spans="1:17" ht="15.75" customHeight="1">
      <c r="A737" s="3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</row>
    <row r="738" spans="1:17" ht="15.75" customHeight="1">
      <c r="A738" s="3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</row>
    <row r="739" spans="1:17" ht="15.75" customHeight="1">
      <c r="A739" s="3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</row>
    <row r="740" spans="1:17" ht="15.75" customHeight="1">
      <c r="A740" s="3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</row>
    <row r="741" spans="1:17" ht="15.75" customHeight="1">
      <c r="A741" s="3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</row>
    <row r="742" spans="1:17" ht="15.75" customHeight="1">
      <c r="A742" s="3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</row>
    <row r="743" spans="1:17" ht="15.75" customHeight="1">
      <c r="A743" s="3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</row>
    <row r="744" spans="1:17" ht="15.75" customHeight="1">
      <c r="A744" s="3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</row>
    <row r="745" spans="1:17" ht="15.75" customHeight="1">
      <c r="A745" s="3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</row>
    <row r="746" spans="1:17" ht="15.75" customHeight="1">
      <c r="A746" s="3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</row>
    <row r="747" spans="1:17" ht="15.75" customHeight="1">
      <c r="A747" s="3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</row>
    <row r="748" spans="1:17" ht="15.75" customHeight="1">
      <c r="A748" s="3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</row>
    <row r="749" spans="1:17" ht="15.75" customHeight="1">
      <c r="A749" s="3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</row>
    <row r="750" spans="1:17" ht="15.75" customHeight="1">
      <c r="A750" s="3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</row>
    <row r="751" spans="1:17" ht="15.75" customHeight="1">
      <c r="A751" s="3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</row>
    <row r="752" spans="1:17" ht="15.75" customHeight="1">
      <c r="A752" s="3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</row>
    <row r="753" spans="1:17" ht="15.75" customHeight="1">
      <c r="A753" s="3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</row>
    <row r="754" spans="1:17" ht="15.75" customHeight="1">
      <c r="A754" s="3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</row>
    <row r="755" spans="1:17" ht="15.75" customHeight="1">
      <c r="A755" s="3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</row>
    <row r="756" spans="1:17" ht="15.75" customHeight="1">
      <c r="A756" s="3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</row>
    <row r="757" spans="1:17" ht="15.75" customHeight="1">
      <c r="A757" s="3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</row>
    <row r="758" spans="1:17" ht="15.75" customHeight="1">
      <c r="A758" s="3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</row>
    <row r="759" spans="1:17" ht="15.75" customHeight="1">
      <c r="A759" s="3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</row>
    <row r="760" spans="1:17" ht="15.75" customHeight="1">
      <c r="A760" s="3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</row>
    <row r="761" spans="1:17" ht="15.75" customHeight="1">
      <c r="A761" s="3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</row>
    <row r="762" spans="1:17" ht="15.75" customHeight="1">
      <c r="A762" s="3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</row>
    <row r="763" spans="1:17" ht="15.75" customHeight="1">
      <c r="A763" s="3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</row>
    <row r="764" spans="1:17" ht="15.75" customHeight="1">
      <c r="A764" s="3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</row>
    <row r="765" spans="1:17" ht="15.75" customHeight="1">
      <c r="A765" s="3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</row>
    <row r="766" spans="1:17" ht="15.75" customHeight="1">
      <c r="A766" s="3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</row>
    <row r="767" spans="1:17" ht="15.75" customHeight="1">
      <c r="A767" s="3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</row>
    <row r="768" spans="1:17" ht="15.75" customHeight="1">
      <c r="A768" s="3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</row>
    <row r="769" spans="1:17" ht="15.75" customHeight="1">
      <c r="A769" s="3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</row>
    <row r="770" spans="1:17" ht="15.75" customHeight="1">
      <c r="A770" s="3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</row>
    <row r="771" spans="1:17" ht="15.75" customHeight="1">
      <c r="A771" s="3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</row>
    <row r="772" spans="1:17" ht="15.75" customHeight="1">
      <c r="A772" s="3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</row>
    <row r="773" spans="1:17" ht="15.75" customHeight="1">
      <c r="A773" s="3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</row>
    <row r="774" spans="1:17" ht="15.75" customHeight="1">
      <c r="A774" s="3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</row>
    <row r="775" spans="1:17" ht="15.75" customHeight="1">
      <c r="A775" s="3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</row>
    <row r="776" spans="1:17" ht="15.75" customHeight="1">
      <c r="A776" s="3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</row>
    <row r="777" spans="1:17" ht="15.75" customHeight="1">
      <c r="A777" s="3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</row>
    <row r="778" spans="1:17" ht="15.75" customHeight="1">
      <c r="A778" s="3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</row>
    <row r="779" spans="1:17" ht="15.75" customHeight="1">
      <c r="A779" s="3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</row>
    <row r="780" spans="1:17" ht="15.75" customHeight="1">
      <c r="A780" s="3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</row>
    <row r="781" spans="1:17" ht="15.75" customHeight="1">
      <c r="A781" s="3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</row>
    <row r="782" spans="1:17" ht="15.75" customHeight="1">
      <c r="A782" s="3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</row>
    <row r="783" spans="1:17" ht="15.75" customHeight="1">
      <c r="A783" s="3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</row>
    <row r="784" spans="1:17" ht="15.75" customHeight="1">
      <c r="A784" s="3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</row>
    <row r="785" spans="1:17" ht="15.75" customHeight="1">
      <c r="A785" s="3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</row>
    <row r="786" spans="1:17" ht="15.75" customHeight="1">
      <c r="A786" s="3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</row>
    <row r="787" spans="1:17" ht="15.75" customHeight="1">
      <c r="A787" s="3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</row>
    <row r="788" spans="1:17" ht="15.75" customHeight="1">
      <c r="A788" s="3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</row>
    <row r="789" spans="1:17" ht="15.75" customHeight="1">
      <c r="A789" s="3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</row>
    <row r="790" spans="1:17" ht="15.75" customHeight="1">
      <c r="A790" s="3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</row>
    <row r="791" spans="1:17" ht="15.75" customHeight="1">
      <c r="A791" s="3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</row>
    <row r="792" spans="1:17" ht="15.75" customHeight="1">
      <c r="A792" s="3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</row>
    <row r="793" spans="1:17" ht="15.75" customHeight="1">
      <c r="A793" s="3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</row>
    <row r="794" spans="1:17" ht="15.75" customHeight="1">
      <c r="A794" s="3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</row>
    <row r="795" spans="1:17" ht="15.75" customHeight="1">
      <c r="A795" s="3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</row>
    <row r="796" spans="1:17" ht="15.75" customHeight="1">
      <c r="A796" s="3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</row>
    <row r="797" spans="1:17" ht="15.75" customHeight="1">
      <c r="A797" s="3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</row>
    <row r="798" spans="1:17" ht="15.75" customHeight="1">
      <c r="A798" s="3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</row>
    <row r="799" spans="1:17" ht="15.75" customHeight="1">
      <c r="A799" s="3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</row>
    <row r="800" spans="1:17" ht="15.75" customHeight="1">
      <c r="A800" s="3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</row>
    <row r="801" spans="1:17" ht="15.75" customHeight="1">
      <c r="A801" s="3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</row>
    <row r="802" spans="1:17" ht="15.75" customHeight="1">
      <c r="A802" s="3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</row>
    <row r="803" spans="1:17" ht="15.75" customHeight="1">
      <c r="A803" s="3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</row>
    <row r="804" spans="1:17" ht="15.75" customHeight="1">
      <c r="A804" s="3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</row>
    <row r="805" spans="1:17" ht="15.75" customHeight="1">
      <c r="A805" s="3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</row>
    <row r="806" spans="1:17" ht="15.75" customHeight="1">
      <c r="A806" s="3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</row>
    <row r="807" spans="1:17" ht="15.75" customHeight="1">
      <c r="A807" s="3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</row>
    <row r="808" spans="1:17" ht="15.75" customHeight="1">
      <c r="A808" s="3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</row>
    <row r="809" spans="1:17" ht="15.75" customHeight="1">
      <c r="A809" s="3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</row>
    <row r="810" spans="1:17" ht="15.75" customHeight="1">
      <c r="A810" s="3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</row>
    <row r="811" spans="1:17" ht="15.75" customHeight="1">
      <c r="A811" s="3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</row>
    <row r="812" spans="1:17" ht="15.75" customHeight="1">
      <c r="A812" s="3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</row>
    <row r="813" spans="1:17" ht="15.75" customHeight="1">
      <c r="A813" s="3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</row>
    <row r="814" spans="1:17" ht="15.75" customHeight="1">
      <c r="A814" s="3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</row>
    <row r="815" spans="1:17" ht="15.75" customHeight="1">
      <c r="A815" s="3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</row>
    <row r="816" spans="1:17" ht="15.75" customHeight="1">
      <c r="A816" s="3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</row>
    <row r="817" spans="1:17" ht="15.75" customHeight="1">
      <c r="A817" s="3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</row>
    <row r="818" spans="1:17" ht="15.75" customHeight="1">
      <c r="A818" s="3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</row>
    <row r="819" spans="1:17" ht="15.75" customHeight="1">
      <c r="A819" s="3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</row>
    <row r="820" spans="1:17" ht="15.75" customHeight="1">
      <c r="A820" s="3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</row>
    <row r="821" spans="1:17" ht="15.75" customHeight="1">
      <c r="A821" s="3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</row>
    <row r="822" spans="1:17" ht="15.75" customHeight="1">
      <c r="A822" s="3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</row>
    <row r="823" spans="1:17" ht="15.75" customHeight="1">
      <c r="A823" s="3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</row>
    <row r="824" spans="1:17" ht="15.75" customHeight="1">
      <c r="A824" s="3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</row>
    <row r="825" spans="1:17" ht="15.75" customHeight="1">
      <c r="A825" s="3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</row>
    <row r="826" spans="1:17" ht="15.75" customHeight="1">
      <c r="A826" s="3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</row>
    <row r="827" spans="1:17" ht="15.75" customHeight="1">
      <c r="A827" s="3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</row>
    <row r="828" spans="1:17" ht="15.75" customHeight="1">
      <c r="A828" s="3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</row>
    <row r="829" spans="1:17" ht="15.75" customHeight="1">
      <c r="A829" s="3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</row>
    <row r="830" spans="1:17" ht="15.75" customHeight="1">
      <c r="A830" s="3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</row>
    <row r="831" spans="1:17" ht="15.75" customHeight="1">
      <c r="A831" s="3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</row>
    <row r="832" spans="1:17" ht="15.75" customHeight="1">
      <c r="A832" s="3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</row>
    <row r="833" spans="1:17" ht="15.75" customHeight="1">
      <c r="A833" s="3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</row>
    <row r="834" spans="1:17" ht="15.75" customHeight="1">
      <c r="A834" s="3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</row>
    <row r="835" spans="1:17" ht="15.75" customHeight="1">
      <c r="A835" s="3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</row>
    <row r="836" spans="1:17" ht="15.75" customHeight="1">
      <c r="A836" s="3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</row>
    <row r="837" spans="1:17" ht="15.75" customHeight="1">
      <c r="A837" s="3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</row>
    <row r="838" spans="1:17" ht="15.75" customHeight="1">
      <c r="A838" s="3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</row>
    <row r="839" spans="1:17" ht="15.75" customHeight="1">
      <c r="A839" s="3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</row>
    <row r="840" spans="1:17" ht="15.75" customHeight="1">
      <c r="A840" s="3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</row>
    <row r="841" spans="1:17" ht="15.75" customHeight="1">
      <c r="A841" s="3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</row>
    <row r="842" spans="1:17" ht="15.75" customHeight="1">
      <c r="A842" s="3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</row>
    <row r="843" spans="1:17" ht="15.75" customHeight="1">
      <c r="A843" s="3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</row>
    <row r="844" spans="1:17" ht="15.75" customHeight="1">
      <c r="A844" s="3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</row>
    <row r="845" spans="1:17" ht="15.75" customHeight="1">
      <c r="A845" s="3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</row>
    <row r="846" spans="1:17" ht="15.75" customHeight="1">
      <c r="A846" s="3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</row>
    <row r="847" spans="1:17" ht="15.75" customHeight="1">
      <c r="A847" s="3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</row>
    <row r="848" spans="1:17" ht="15.75" customHeight="1">
      <c r="A848" s="3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</row>
    <row r="849" spans="1:17" ht="15.75" customHeight="1">
      <c r="A849" s="3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</row>
    <row r="850" spans="1:17" ht="15.75" customHeight="1">
      <c r="A850" s="3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</row>
    <row r="851" spans="1:17" ht="15.75" customHeight="1">
      <c r="A851" s="3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</row>
    <row r="852" spans="1:17" ht="15.75" customHeight="1">
      <c r="A852" s="3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</row>
    <row r="853" spans="1:17" ht="15.75" customHeight="1">
      <c r="A853" s="3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</row>
    <row r="854" spans="1:17" ht="15.75" customHeight="1">
      <c r="A854" s="3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</row>
    <row r="855" spans="1:17" ht="15.75" customHeight="1">
      <c r="A855" s="3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</row>
    <row r="856" spans="1:17" ht="15.75" customHeight="1">
      <c r="A856" s="3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</row>
    <row r="857" spans="1:17" ht="15.75" customHeight="1">
      <c r="A857" s="3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</row>
    <row r="858" spans="1:17" ht="15.75" customHeight="1">
      <c r="A858" s="3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</row>
    <row r="859" spans="1:17" ht="15.75" customHeight="1">
      <c r="A859" s="3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</row>
    <row r="860" spans="1:17" ht="15.75" customHeight="1">
      <c r="A860" s="3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</row>
    <row r="861" spans="1:17" ht="15.75" customHeight="1">
      <c r="A861" s="3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</row>
    <row r="862" spans="1:17" ht="15.75" customHeight="1">
      <c r="A862" s="3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</row>
    <row r="863" spans="1:17" ht="15.75" customHeight="1">
      <c r="A863" s="3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</row>
    <row r="864" spans="1:17" ht="15.75" customHeight="1">
      <c r="A864" s="3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</row>
    <row r="865" spans="1:17" ht="15.75" customHeight="1">
      <c r="A865" s="3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</row>
    <row r="866" spans="1:17" ht="15.75" customHeight="1">
      <c r="A866" s="3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</row>
    <row r="867" spans="1:17" ht="15.75" customHeight="1">
      <c r="A867" s="3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</row>
    <row r="868" spans="1:17" ht="15.75" customHeight="1">
      <c r="A868" s="3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</row>
    <row r="869" spans="1:17" ht="15.75" customHeight="1">
      <c r="A869" s="3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</row>
    <row r="870" spans="1:17" ht="15.75" customHeight="1">
      <c r="A870" s="3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</row>
    <row r="871" spans="1:17" ht="15.75" customHeight="1">
      <c r="A871" s="3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</row>
    <row r="872" spans="1:17" ht="15.75" customHeight="1">
      <c r="A872" s="3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</row>
    <row r="873" spans="1:17" ht="15.75" customHeight="1">
      <c r="A873" s="3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</row>
    <row r="874" spans="1:17" ht="15.75" customHeight="1">
      <c r="A874" s="3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</row>
    <row r="875" spans="1:17" ht="15.75" customHeight="1">
      <c r="A875" s="3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</row>
    <row r="876" spans="1:17" ht="15.75" customHeight="1">
      <c r="A876" s="3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</row>
    <row r="877" spans="1:17" ht="15.75" customHeight="1">
      <c r="A877" s="3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</row>
    <row r="878" spans="1:17" ht="15.75" customHeight="1">
      <c r="A878" s="3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</row>
    <row r="879" spans="1:17" ht="15.75" customHeight="1">
      <c r="A879" s="3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</row>
    <row r="880" spans="1:17" ht="15.75" customHeight="1">
      <c r="A880" s="3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</row>
    <row r="881" spans="1:17" ht="15.75" customHeight="1">
      <c r="A881" s="3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</row>
    <row r="882" spans="1:17" ht="15.75" customHeight="1">
      <c r="A882" s="3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</row>
    <row r="883" spans="1:17" ht="15.75" customHeight="1">
      <c r="A883" s="3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</row>
    <row r="884" spans="1:17" ht="15.75" customHeight="1">
      <c r="A884" s="3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</row>
    <row r="885" spans="1:17" ht="15.75" customHeight="1">
      <c r="A885" s="3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</row>
    <row r="886" spans="1:17" ht="15.75" customHeight="1">
      <c r="A886" s="3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</row>
    <row r="887" spans="1:17" ht="15.75" customHeight="1">
      <c r="A887" s="3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</row>
    <row r="888" spans="1:17" ht="15.75" customHeight="1">
      <c r="A888" s="3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</row>
    <row r="889" spans="1:17" ht="15.75" customHeight="1">
      <c r="A889" s="3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</row>
    <row r="890" spans="1:17" ht="15.75" customHeight="1">
      <c r="A890" s="3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</row>
    <row r="891" spans="1:17" ht="15.75" customHeight="1">
      <c r="A891" s="3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</row>
    <row r="892" spans="1:17" ht="15.75" customHeight="1">
      <c r="A892" s="3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</row>
    <row r="893" spans="1:17" ht="15.75" customHeight="1">
      <c r="A893" s="3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</row>
    <row r="894" spans="1:17" ht="15.75" customHeight="1">
      <c r="A894" s="3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</row>
    <row r="895" spans="1:17" ht="15.75" customHeight="1">
      <c r="A895" s="3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</row>
    <row r="896" spans="1:17" ht="15.75" customHeight="1">
      <c r="A896" s="3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</row>
    <row r="897" spans="1:17" ht="15.75" customHeight="1">
      <c r="A897" s="3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</row>
    <row r="898" spans="1:17" ht="15.75" customHeight="1">
      <c r="A898" s="3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</row>
    <row r="899" spans="1:17" ht="15.75" customHeight="1">
      <c r="A899" s="3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</row>
    <row r="900" spans="1:17" ht="15.75" customHeight="1">
      <c r="A900" s="3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</row>
    <row r="901" spans="1:17" ht="15.75" customHeight="1">
      <c r="A901" s="3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</row>
    <row r="902" spans="1:17" ht="15.75" customHeight="1">
      <c r="A902" s="3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</row>
    <row r="903" spans="1:17" ht="15.75" customHeight="1">
      <c r="A903" s="3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</row>
    <row r="904" spans="1:17" ht="15.75" customHeight="1">
      <c r="A904" s="3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</row>
    <row r="905" spans="1:17" ht="15.75" customHeight="1">
      <c r="A905" s="3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</row>
    <row r="906" spans="1:17" ht="15.75" customHeight="1">
      <c r="A906" s="3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</row>
    <row r="907" spans="1:17" ht="15.75" customHeight="1">
      <c r="A907" s="3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</row>
    <row r="908" spans="1:17" ht="15.75" customHeight="1">
      <c r="A908" s="3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</row>
    <row r="909" spans="1:17" ht="15.75" customHeight="1">
      <c r="A909" s="3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</row>
    <row r="910" spans="1:17" ht="15.75" customHeight="1">
      <c r="A910" s="3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</row>
    <row r="911" spans="1:17" ht="15.75" customHeight="1">
      <c r="A911" s="3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</row>
    <row r="912" spans="1:17" ht="15.75" customHeight="1">
      <c r="A912" s="3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</row>
    <row r="913" spans="1:17" ht="15.75" customHeight="1">
      <c r="A913" s="3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</row>
    <row r="914" spans="1:17" ht="15.75" customHeight="1">
      <c r="A914" s="3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</row>
    <row r="915" spans="1:17" ht="15.75" customHeight="1">
      <c r="A915" s="3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</row>
    <row r="916" spans="1:17" ht="15.75" customHeight="1">
      <c r="A916" s="3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</row>
    <row r="917" spans="1:17" ht="15.75" customHeight="1">
      <c r="A917" s="3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</row>
    <row r="918" spans="1:17" ht="15.75" customHeight="1">
      <c r="A918" s="3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</row>
    <row r="919" spans="1:17" ht="15.75" customHeight="1">
      <c r="A919" s="3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</row>
    <row r="920" spans="1:17" ht="15.75" customHeight="1">
      <c r="A920" s="3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</row>
    <row r="921" spans="1:17" ht="15.75" customHeight="1">
      <c r="A921" s="3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</row>
    <row r="922" spans="1:17" ht="15.75" customHeight="1">
      <c r="A922" s="3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</row>
    <row r="923" spans="1:17" ht="15.75" customHeight="1">
      <c r="A923" s="3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</row>
    <row r="924" spans="1:17" ht="15.75" customHeight="1">
      <c r="A924" s="3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</row>
    <row r="925" spans="1:17" ht="15.75" customHeight="1">
      <c r="A925" s="3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</row>
    <row r="926" spans="1:17" ht="15.75" customHeight="1">
      <c r="A926" s="3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</row>
    <row r="927" spans="1:17" ht="15.75" customHeight="1">
      <c r="A927" s="3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</row>
    <row r="928" spans="1:17" ht="15.75" customHeight="1">
      <c r="A928" s="3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</row>
    <row r="929" spans="1:17" ht="15.75" customHeight="1">
      <c r="A929" s="3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</row>
    <row r="930" spans="1:17" ht="15.75" customHeight="1">
      <c r="A930" s="3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</row>
    <row r="931" spans="1:17" ht="15.75" customHeight="1">
      <c r="A931" s="3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</row>
    <row r="932" spans="1:17" ht="15.75" customHeight="1">
      <c r="A932" s="3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</row>
    <row r="933" spans="1:17" ht="15.75" customHeight="1">
      <c r="A933" s="3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</row>
    <row r="934" spans="1:17" ht="15.75" customHeight="1">
      <c r="A934" s="3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</row>
    <row r="935" spans="1:17" ht="15.75" customHeight="1">
      <c r="A935" s="3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</row>
    <row r="936" spans="1:17" ht="15.75" customHeight="1">
      <c r="A936" s="3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</row>
    <row r="937" spans="1:17" ht="15.75" customHeight="1">
      <c r="A937" s="3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</row>
    <row r="938" spans="1:17" ht="15.75" customHeight="1">
      <c r="A938" s="3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</row>
    <row r="939" spans="1:17" ht="15.75" customHeight="1">
      <c r="A939" s="3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</row>
    <row r="940" spans="1:17" ht="15.75" customHeight="1">
      <c r="A940" s="3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</row>
    <row r="941" spans="1:17" ht="15.75" customHeight="1">
      <c r="A941" s="3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</row>
    <row r="942" spans="1:17" ht="15.75" customHeight="1">
      <c r="A942" s="3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</row>
    <row r="943" spans="1:17" ht="15.75" customHeight="1">
      <c r="A943" s="3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</row>
    <row r="944" spans="1:17" ht="15.75" customHeight="1">
      <c r="A944" s="3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</row>
    <row r="945" spans="1:17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</row>
    <row r="946" spans="1:17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</row>
    <row r="947" spans="1:1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</row>
    <row r="948" spans="1:17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</row>
    <row r="949" spans="1:17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</row>
    <row r="950" spans="1:17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</row>
    <row r="951" spans="1:17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</row>
    <row r="952" spans="1:17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</row>
    <row r="953" spans="1:17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</row>
    <row r="954" spans="1:17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</row>
    <row r="955" spans="1:17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</row>
    <row r="956" spans="1:17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</row>
    <row r="957" spans="1:1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</row>
    <row r="958" spans="1:17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</row>
    <row r="959" spans="1:17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</row>
    <row r="960" spans="1:17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</row>
    <row r="961" spans="1:17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</row>
    <row r="962" spans="1:17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</row>
    <row r="963" spans="1:17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</row>
    <row r="964" spans="1:17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</row>
    <row r="965" spans="1:17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</row>
    <row r="966" spans="1:17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</row>
    <row r="967" spans="1:1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</row>
    <row r="968" spans="1:17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</row>
    <row r="969" spans="1:17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</row>
    <row r="970" spans="1:17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</row>
    <row r="971" spans="1:17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</row>
    <row r="972" spans="1:17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</row>
    <row r="973" spans="1:17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</row>
    <row r="974" spans="1:17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</row>
    <row r="975" spans="1:17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</row>
    <row r="976" spans="1:17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</row>
    <row r="977" spans="1:1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</row>
    <row r="978" spans="1:17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</row>
    <row r="979" spans="1:17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</row>
    <row r="980" spans="1:17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</row>
    <row r="981" spans="1:17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</row>
    <row r="982" spans="1:17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</row>
    <row r="983" spans="1:17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</row>
    <row r="984" spans="1:17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</row>
    <row r="985" spans="1:17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</row>
    <row r="986" spans="1:17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</row>
    <row r="987" spans="1:1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</row>
    <row r="988" spans="1:17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</row>
    <row r="989" spans="1:17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</row>
    <row r="990" spans="1:17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</row>
    <row r="991" spans="1:17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</row>
  </sheetData>
  <mergeCells count="33">
    <mergeCell ref="C94:F94"/>
    <mergeCell ref="C95:F95"/>
    <mergeCell ref="C89:F89"/>
    <mergeCell ref="H89:Q89"/>
    <mergeCell ref="C90:F90"/>
    <mergeCell ref="C91:F91"/>
    <mergeCell ref="C92:F92"/>
    <mergeCell ref="C93:F93"/>
    <mergeCell ref="C27:G27"/>
    <mergeCell ref="C28:G28"/>
    <mergeCell ref="C29:G29"/>
    <mergeCell ref="C30:G30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2">
    <dataValidation type="list" allowBlank="1" showErrorMessage="1" sqref="A35:A36">
      <formula1>#REF!</formula1>
    </dataValidation>
    <dataValidation type="list" allowBlank="1" showErrorMessage="1" sqref="A37 A39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workbookViewId="0"/>
  </sheetViews>
  <sheetFormatPr baseColWidth="10" defaultColWidth="12.5703125" defaultRowHeight="15" customHeight="1"/>
  <cols>
    <col min="1" max="2" width="21.140625" customWidth="1"/>
    <col min="3" max="3" width="44.85546875" customWidth="1"/>
    <col min="4" max="4" width="31.5703125" customWidth="1"/>
    <col min="5" max="5" width="23.42578125" customWidth="1"/>
    <col min="6" max="6" width="20.5703125" customWidth="1"/>
    <col min="7" max="7" width="19" customWidth="1"/>
    <col min="8" max="8" width="18.42578125" customWidth="1"/>
    <col min="9" max="9" width="26.85546875" customWidth="1"/>
    <col min="10" max="10" width="22.42578125" customWidth="1"/>
    <col min="11" max="11" width="26.140625" customWidth="1"/>
    <col min="12" max="12" width="23.7109375" customWidth="1"/>
    <col min="13" max="13" width="18.5703125" customWidth="1"/>
    <col min="14" max="14" width="17.140625" customWidth="1"/>
    <col min="15" max="15" width="22.42578125" customWidth="1"/>
    <col min="16" max="16" width="16.28515625" customWidth="1"/>
    <col min="17" max="17" width="22.5703125" customWidth="1"/>
    <col min="18" max="18" width="19.28515625" customWidth="1"/>
  </cols>
  <sheetData>
    <row r="1" spans="1:18" ht="15.75" customHeight="1">
      <c r="A1" s="41"/>
      <c r="B1" s="41"/>
      <c r="C1" s="42"/>
      <c r="D1" s="43"/>
      <c r="E1" s="43"/>
      <c r="F1" s="43"/>
      <c r="G1" s="43"/>
      <c r="H1" s="43"/>
      <c r="I1" s="42"/>
      <c r="J1" s="44"/>
      <c r="K1" s="44"/>
      <c r="L1" s="42"/>
      <c r="M1" s="42"/>
      <c r="N1" s="44"/>
      <c r="O1" s="44"/>
      <c r="P1" s="45"/>
      <c r="Q1" s="42"/>
      <c r="R1" s="42"/>
    </row>
    <row r="2" spans="1:18" ht="15.75" customHeight="1">
      <c r="A2" s="41"/>
      <c r="B2" s="41"/>
      <c r="C2" s="42"/>
      <c r="D2" s="43"/>
      <c r="E2" s="43"/>
      <c r="F2" s="43"/>
      <c r="G2" s="43"/>
      <c r="H2" s="43"/>
      <c r="I2" s="42"/>
      <c r="J2" s="44"/>
      <c r="K2" s="44"/>
      <c r="L2" s="42"/>
      <c r="M2" s="42"/>
      <c r="N2" s="44"/>
      <c r="O2" s="44"/>
      <c r="P2" s="45"/>
      <c r="Q2" s="42"/>
      <c r="R2" s="42"/>
    </row>
    <row r="3" spans="1:18" ht="15.75" customHeight="1">
      <c r="A3" s="41"/>
      <c r="B3" s="41"/>
      <c r="C3" s="42"/>
      <c r="D3" s="43"/>
      <c r="E3" s="43"/>
      <c r="F3" s="43"/>
      <c r="G3" s="43"/>
      <c r="H3" s="43"/>
      <c r="I3" s="42"/>
      <c r="J3" s="44"/>
      <c r="K3" s="44"/>
      <c r="L3" s="42"/>
      <c r="M3" s="42"/>
      <c r="N3" s="44"/>
      <c r="O3" s="44"/>
      <c r="P3" s="45"/>
      <c r="Q3" s="42"/>
      <c r="R3" s="42"/>
    </row>
    <row r="4" spans="1:18" ht="15.75" customHeight="1">
      <c r="A4" s="41"/>
      <c r="B4" s="41"/>
      <c r="C4" s="42"/>
      <c r="D4" s="154" t="s">
        <v>0</v>
      </c>
      <c r="E4" s="136"/>
      <c r="F4" s="136"/>
      <c r="G4" s="136"/>
      <c r="H4" s="137"/>
      <c r="I4" s="42"/>
      <c r="J4" s="44"/>
      <c r="K4" s="44"/>
      <c r="L4" s="42"/>
      <c r="M4" s="42"/>
      <c r="N4" s="44"/>
      <c r="O4" s="44"/>
      <c r="P4" s="45"/>
      <c r="Q4" s="42"/>
      <c r="R4" s="42"/>
    </row>
    <row r="5" spans="1:18" ht="15.75" customHeight="1">
      <c r="A5" s="41"/>
      <c r="B5" s="41"/>
      <c r="C5" s="42"/>
      <c r="D5" s="154" t="s">
        <v>1</v>
      </c>
      <c r="E5" s="136"/>
      <c r="F5" s="136"/>
      <c r="G5" s="136"/>
      <c r="H5" s="137"/>
      <c r="I5" s="42"/>
      <c r="J5" s="44"/>
      <c r="K5" s="44"/>
      <c r="L5" s="42"/>
      <c r="M5" s="42"/>
      <c r="N5" s="44"/>
      <c r="O5" s="44"/>
      <c r="P5" s="45"/>
      <c r="Q5" s="42"/>
      <c r="R5" s="42"/>
    </row>
    <row r="6" spans="1:18" ht="15.75" customHeight="1">
      <c r="A6" s="41"/>
      <c r="B6" s="41"/>
      <c r="C6" s="42"/>
      <c r="D6" s="154" t="s">
        <v>2</v>
      </c>
      <c r="E6" s="136"/>
      <c r="F6" s="136"/>
      <c r="G6" s="136"/>
      <c r="H6" s="137"/>
      <c r="I6" s="42"/>
      <c r="J6" s="44"/>
      <c r="K6" s="44"/>
      <c r="L6" s="42"/>
      <c r="M6" s="42"/>
      <c r="N6" s="44"/>
      <c r="O6" s="44"/>
      <c r="P6" s="45"/>
      <c r="Q6" s="42"/>
      <c r="R6" s="42"/>
    </row>
    <row r="7" spans="1:18" ht="15.75" customHeight="1">
      <c r="A7" s="41"/>
      <c r="B7" s="41"/>
      <c r="C7" s="42"/>
      <c r="D7" s="154"/>
      <c r="E7" s="136"/>
      <c r="F7" s="136"/>
      <c r="G7" s="136"/>
      <c r="H7" s="137"/>
      <c r="I7" s="42"/>
      <c r="J7" s="44"/>
      <c r="K7" s="44"/>
      <c r="L7" s="42"/>
      <c r="M7" s="42"/>
      <c r="N7" s="44"/>
      <c r="O7" s="44"/>
      <c r="P7" s="45"/>
      <c r="Q7" s="42"/>
      <c r="R7" s="42"/>
    </row>
    <row r="8" spans="1:18" ht="15.75" customHeight="1">
      <c r="A8" s="41"/>
      <c r="B8" s="41"/>
      <c r="C8" s="42"/>
      <c r="D8" s="46"/>
      <c r="E8" s="46"/>
      <c r="F8" s="46"/>
      <c r="G8" s="46"/>
      <c r="H8" s="46"/>
      <c r="I8" s="42"/>
      <c r="J8" s="44"/>
      <c r="K8" s="44"/>
      <c r="L8" s="42"/>
      <c r="M8" s="42"/>
      <c r="N8" s="44"/>
      <c r="O8" s="44"/>
      <c r="P8" s="45"/>
      <c r="Q8" s="42"/>
      <c r="R8" s="42"/>
    </row>
    <row r="9" spans="1:18" ht="15.75" customHeight="1">
      <c r="A9" s="41"/>
      <c r="B9" s="41"/>
      <c r="C9" s="42"/>
      <c r="D9" s="43"/>
      <c r="E9" s="43"/>
      <c r="F9" s="43"/>
      <c r="G9" s="43"/>
      <c r="H9" s="43"/>
      <c r="I9" s="42"/>
      <c r="J9" s="44"/>
      <c r="K9" s="44"/>
      <c r="L9" s="42"/>
      <c r="M9" s="42"/>
      <c r="N9" s="44"/>
      <c r="O9" s="44"/>
      <c r="P9" s="45"/>
      <c r="Q9" s="42"/>
      <c r="R9" s="42"/>
    </row>
    <row r="10" spans="1:18" ht="15.75" customHeight="1">
      <c r="A10" s="41"/>
      <c r="B10" s="41"/>
      <c r="C10" s="42"/>
      <c r="D10" s="43"/>
      <c r="E10" s="43"/>
      <c r="F10" s="43"/>
      <c r="G10" s="43"/>
      <c r="H10" s="43"/>
      <c r="I10" s="42"/>
      <c r="J10" s="44"/>
      <c r="K10" s="44"/>
      <c r="L10" s="42"/>
      <c r="M10" s="42"/>
      <c r="N10" s="44"/>
      <c r="O10" s="44"/>
      <c r="P10" s="45"/>
      <c r="Q10" s="42"/>
      <c r="R10" s="42"/>
    </row>
    <row r="11" spans="1:18" ht="15.75" customHeight="1">
      <c r="A11" s="41"/>
      <c r="B11" s="41"/>
      <c r="C11" s="42"/>
      <c r="D11" s="43"/>
      <c r="E11" s="43"/>
      <c r="F11" s="43"/>
      <c r="G11" s="43"/>
      <c r="H11" s="43"/>
      <c r="I11" s="42"/>
      <c r="J11" s="44"/>
      <c r="K11" s="44"/>
      <c r="L11" s="42"/>
      <c r="M11" s="42"/>
      <c r="N11" s="44"/>
      <c r="O11" s="44"/>
      <c r="P11" s="45"/>
      <c r="Q11" s="42"/>
      <c r="R11" s="42"/>
    </row>
    <row r="12" spans="1:18" ht="15.75" customHeight="1">
      <c r="A12" s="41"/>
      <c r="B12" s="41"/>
      <c r="C12" s="47"/>
      <c r="D12" s="47"/>
      <c r="E12" s="47"/>
      <c r="F12" s="47"/>
      <c r="G12" s="47"/>
      <c r="H12" s="47"/>
      <c r="I12" s="47"/>
      <c r="J12" s="48"/>
      <c r="K12" s="48"/>
      <c r="L12" s="47"/>
      <c r="M12" s="47"/>
      <c r="N12" s="48"/>
      <c r="O12" s="48"/>
      <c r="P12" s="49"/>
      <c r="Q12" s="47"/>
      <c r="R12" s="47"/>
    </row>
    <row r="13" spans="1:18" ht="15.75" customHeight="1">
      <c r="A13" s="41"/>
      <c r="B13" s="41"/>
      <c r="C13" s="50" t="s">
        <v>3</v>
      </c>
      <c r="D13" s="155" t="s">
        <v>4</v>
      </c>
      <c r="E13" s="139"/>
      <c r="F13" s="139"/>
      <c r="G13" s="139"/>
      <c r="H13" s="140"/>
      <c r="I13" s="51"/>
      <c r="J13" s="48"/>
      <c r="K13" s="48"/>
      <c r="L13" s="47"/>
      <c r="M13" s="47"/>
      <c r="N13" s="48"/>
      <c r="O13" s="48"/>
      <c r="P13" s="49"/>
      <c r="Q13" s="47"/>
      <c r="R13" s="47"/>
    </row>
    <row r="14" spans="1:18" ht="15.75" customHeight="1">
      <c r="A14" s="41"/>
      <c r="B14" s="41"/>
      <c r="C14" s="50" t="s">
        <v>5</v>
      </c>
      <c r="D14" s="156" t="s">
        <v>6</v>
      </c>
      <c r="E14" s="139"/>
      <c r="F14" s="139"/>
      <c r="G14" s="139"/>
      <c r="H14" s="140"/>
      <c r="I14" s="52" t="s">
        <v>7</v>
      </c>
      <c r="J14" s="48"/>
      <c r="K14" s="48"/>
      <c r="M14" s="47"/>
      <c r="N14" s="48"/>
      <c r="O14" s="48"/>
      <c r="P14" s="49"/>
      <c r="Q14" s="47"/>
      <c r="R14" s="47"/>
    </row>
    <row r="15" spans="1:18" ht="15.75" customHeight="1">
      <c r="A15" s="41"/>
      <c r="B15" s="41"/>
      <c r="C15" s="50" t="s">
        <v>8</v>
      </c>
      <c r="D15" s="156" t="s">
        <v>9</v>
      </c>
      <c r="E15" s="139"/>
      <c r="F15" s="139"/>
      <c r="G15" s="139"/>
      <c r="H15" s="140"/>
      <c r="I15" s="52" t="s">
        <v>7</v>
      </c>
      <c r="J15" s="48"/>
      <c r="K15" s="48"/>
      <c r="L15" s="47"/>
      <c r="N15" s="48"/>
      <c r="O15" s="48"/>
      <c r="P15" s="49"/>
      <c r="Q15" s="47"/>
      <c r="R15" s="47"/>
    </row>
    <row r="16" spans="1:18" ht="15.75" customHeight="1">
      <c r="A16" s="41"/>
      <c r="B16" s="41"/>
      <c r="C16" s="50" t="s">
        <v>10</v>
      </c>
      <c r="D16" s="156" t="s">
        <v>11</v>
      </c>
      <c r="E16" s="139"/>
      <c r="F16" s="139"/>
      <c r="G16" s="139"/>
      <c r="H16" s="140"/>
      <c r="I16" s="51"/>
      <c r="J16" s="48"/>
      <c r="K16" s="48"/>
      <c r="M16" s="47"/>
      <c r="N16" s="48"/>
      <c r="O16" s="48"/>
      <c r="P16" s="49"/>
      <c r="Q16" s="47"/>
      <c r="R16" s="47"/>
    </row>
    <row r="17" spans="1:18" ht="15.75" customHeight="1">
      <c r="A17" s="41"/>
      <c r="B17" s="41"/>
      <c r="C17" s="50" t="s">
        <v>12</v>
      </c>
      <c r="D17" s="159" t="s">
        <v>13</v>
      </c>
      <c r="E17" s="139"/>
      <c r="F17" s="139"/>
      <c r="G17" s="139"/>
      <c r="H17" s="140"/>
      <c r="I17" s="52" t="s">
        <v>7</v>
      </c>
      <c r="J17" s="48"/>
      <c r="K17" s="48"/>
      <c r="L17" s="47"/>
      <c r="M17" s="47"/>
      <c r="N17" s="48"/>
      <c r="O17" s="48"/>
      <c r="P17" s="49"/>
      <c r="Q17" s="47"/>
      <c r="R17" s="47"/>
    </row>
    <row r="18" spans="1:18" ht="15.75" customHeight="1">
      <c r="A18" s="41"/>
      <c r="B18" s="41"/>
      <c r="C18" s="50" t="s">
        <v>14</v>
      </c>
      <c r="D18" s="159" t="s">
        <v>15</v>
      </c>
      <c r="E18" s="139"/>
      <c r="F18" s="139"/>
      <c r="G18" s="139"/>
      <c r="H18" s="140"/>
      <c r="I18" s="52" t="s">
        <v>7</v>
      </c>
      <c r="J18" s="48"/>
      <c r="K18" s="48"/>
      <c r="L18" s="47"/>
      <c r="M18" s="47"/>
      <c r="N18" s="48"/>
      <c r="O18" s="48"/>
      <c r="P18" s="49"/>
      <c r="Q18" s="47"/>
      <c r="R18" s="47"/>
    </row>
    <row r="19" spans="1:18" ht="15.75" hidden="1" customHeight="1">
      <c r="A19" s="41"/>
      <c r="B19" s="41"/>
      <c r="C19" s="50" t="s">
        <v>16</v>
      </c>
      <c r="D19" s="159"/>
      <c r="E19" s="139"/>
      <c r="F19" s="139"/>
      <c r="G19" s="139"/>
      <c r="H19" s="140"/>
      <c r="I19" s="51"/>
      <c r="J19" s="48"/>
      <c r="K19" s="48"/>
      <c r="L19" s="47"/>
      <c r="M19" s="47"/>
      <c r="N19" s="48"/>
      <c r="O19" s="48"/>
      <c r="P19" s="49"/>
      <c r="Q19" s="47"/>
      <c r="R19" s="47"/>
    </row>
    <row r="20" spans="1:18" ht="15.75" customHeight="1">
      <c r="A20" s="41"/>
      <c r="B20" s="41"/>
      <c r="C20" s="50" t="s">
        <v>16</v>
      </c>
      <c r="D20" s="159" t="s">
        <v>17</v>
      </c>
      <c r="E20" s="139"/>
      <c r="F20" s="139"/>
      <c r="G20" s="139"/>
      <c r="H20" s="140"/>
      <c r="I20" s="52" t="s">
        <v>7</v>
      </c>
      <c r="J20" s="48"/>
      <c r="K20" s="48"/>
      <c r="L20" s="47"/>
      <c r="M20" s="47"/>
      <c r="N20" s="48"/>
      <c r="O20" s="48"/>
      <c r="P20" s="49"/>
      <c r="Q20" s="47"/>
      <c r="R20" s="47"/>
    </row>
    <row r="21" spans="1:18" ht="15.75" customHeight="1">
      <c r="A21" s="41"/>
      <c r="B21" s="157" t="s">
        <v>18</v>
      </c>
      <c r="C21" s="50" t="s">
        <v>19</v>
      </c>
      <c r="D21" s="159" t="s">
        <v>20</v>
      </c>
      <c r="E21" s="139"/>
      <c r="F21" s="139"/>
      <c r="G21" s="139"/>
      <c r="H21" s="140"/>
      <c r="I21" s="52" t="s">
        <v>7</v>
      </c>
      <c r="K21" s="48"/>
      <c r="L21" s="47"/>
      <c r="M21" s="47"/>
      <c r="N21" s="48"/>
      <c r="O21" s="48"/>
      <c r="P21" s="49"/>
      <c r="Q21" s="47"/>
      <c r="R21" s="47"/>
    </row>
    <row r="22" spans="1:18" ht="15.75" customHeight="1">
      <c r="A22" s="41"/>
      <c r="B22" s="143"/>
      <c r="C22" s="50" t="s">
        <v>21</v>
      </c>
      <c r="D22" s="159" t="s">
        <v>22</v>
      </c>
      <c r="E22" s="139"/>
      <c r="F22" s="139"/>
      <c r="G22" s="139"/>
      <c r="H22" s="140"/>
      <c r="I22" s="52" t="s">
        <v>7</v>
      </c>
      <c r="J22" s="48"/>
      <c r="K22" s="48"/>
      <c r="L22" s="47"/>
      <c r="M22" s="47"/>
      <c r="N22" s="48"/>
      <c r="O22" s="48"/>
      <c r="P22" s="49"/>
      <c r="Q22" s="47"/>
      <c r="R22" s="47"/>
    </row>
    <row r="23" spans="1:18" ht="38.25" customHeight="1">
      <c r="A23" s="41"/>
      <c r="B23" s="158" t="s">
        <v>23</v>
      </c>
      <c r="C23" s="50" t="s">
        <v>24</v>
      </c>
      <c r="D23" s="160" t="s">
        <v>13</v>
      </c>
      <c r="E23" s="139"/>
      <c r="F23" s="139"/>
      <c r="G23" s="139"/>
      <c r="H23" s="140"/>
      <c r="I23" s="52" t="s">
        <v>7</v>
      </c>
      <c r="J23" s="48"/>
      <c r="K23" s="48"/>
      <c r="L23" s="47"/>
      <c r="M23" s="47"/>
      <c r="N23" s="48"/>
      <c r="O23" s="48"/>
      <c r="P23" s="49"/>
      <c r="Q23" s="47"/>
      <c r="R23" s="47"/>
    </row>
    <row r="24" spans="1:18" ht="67.5" customHeight="1">
      <c r="A24" s="41"/>
      <c r="B24" s="143"/>
      <c r="C24" s="50" t="s">
        <v>25</v>
      </c>
      <c r="D24" s="161" t="s">
        <v>26</v>
      </c>
      <c r="E24" s="139"/>
      <c r="F24" s="139"/>
      <c r="G24" s="139"/>
      <c r="H24" s="140"/>
      <c r="I24" s="52" t="s">
        <v>7</v>
      </c>
      <c r="J24" s="48"/>
      <c r="K24" s="48"/>
      <c r="L24" s="47"/>
      <c r="M24" s="47"/>
      <c r="N24" s="48"/>
      <c r="O24" s="48"/>
      <c r="P24" s="49"/>
      <c r="Q24" s="47"/>
      <c r="R24" s="47"/>
    </row>
    <row r="25" spans="1:18" ht="31.5" customHeight="1">
      <c r="A25" s="41"/>
      <c r="B25" s="158" t="s">
        <v>27</v>
      </c>
      <c r="C25" s="50" t="s">
        <v>28</v>
      </c>
      <c r="D25" s="160" t="s">
        <v>29</v>
      </c>
      <c r="E25" s="139"/>
      <c r="F25" s="139"/>
      <c r="G25" s="139"/>
      <c r="H25" s="140"/>
      <c r="I25" s="52" t="s">
        <v>7</v>
      </c>
      <c r="J25" s="48"/>
      <c r="K25" s="48"/>
      <c r="L25" s="47"/>
      <c r="M25" s="47"/>
      <c r="N25" s="48"/>
      <c r="O25" s="48"/>
      <c r="P25" s="49"/>
      <c r="Q25" s="47"/>
      <c r="R25" s="47"/>
    </row>
    <row r="26" spans="1:18" ht="33" customHeight="1">
      <c r="A26" s="41"/>
      <c r="B26" s="145"/>
      <c r="C26" s="50" t="s">
        <v>30</v>
      </c>
      <c r="D26" s="161" t="s">
        <v>31</v>
      </c>
      <c r="E26" s="139"/>
      <c r="F26" s="139"/>
      <c r="G26" s="139"/>
      <c r="H26" s="140"/>
      <c r="I26" s="52" t="s">
        <v>7</v>
      </c>
      <c r="J26" s="48"/>
      <c r="K26" s="48"/>
      <c r="L26" s="47"/>
      <c r="M26" s="47"/>
      <c r="N26" s="48"/>
      <c r="O26" s="48"/>
      <c r="P26" s="49"/>
      <c r="Q26" s="47"/>
      <c r="R26" s="47"/>
    </row>
    <row r="27" spans="1:18" ht="40.5" customHeight="1">
      <c r="A27" s="41"/>
      <c r="B27" s="145"/>
      <c r="C27" s="50" t="s">
        <v>32</v>
      </c>
      <c r="D27" s="161" t="s">
        <v>33</v>
      </c>
      <c r="E27" s="139"/>
      <c r="F27" s="139"/>
      <c r="G27" s="139"/>
      <c r="H27" s="140"/>
      <c r="I27" s="52" t="s">
        <v>7</v>
      </c>
      <c r="J27" s="48"/>
      <c r="K27" s="48"/>
      <c r="L27" s="47"/>
      <c r="M27" s="47"/>
      <c r="N27" s="48"/>
      <c r="O27" s="48"/>
      <c r="P27" s="49"/>
      <c r="Q27" s="47"/>
      <c r="R27" s="47"/>
    </row>
    <row r="28" spans="1:18" ht="38.25" customHeight="1">
      <c r="A28" s="41"/>
      <c r="B28" s="143"/>
      <c r="C28" s="50" t="s">
        <v>34</v>
      </c>
      <c r="D28" s="162" t="s">
        <v>35</v>
      </c>
      <c r="E28" s="139"/>
      <c r="F28" s="139"/>
      <c r="G28" s="139"/>
      <c r="H28" s="140"/>
      <c r="I28" s="47"/>
      <c r="J28" s="48"/>
      <c r="K28" s="48"/>
      <c r="L28" s="47"/>
      <c r="M28" s="47"/>
      <c r="N28" s="48"/>
      <c r="O28" s="53"/>
      <c r="P28" s="49"/>
      <c r="Q28" s="47"/>
      <c r="R28" s="47"/>
    </row>
    <row r="29" spans="1:18" ht="15.75" customHeight="1">
      <c r="A29" s="41"/>
      <c r="B29" s="41"/>
      <c r="C29" s="163"/>
      <c r="D29" s="150"/>
      <c r="E29" s="150"/>
      <c r="F29" s="150"/>
      <c r="G29" s="150"/>
      <c r="H29" s="150"/>
      <c r="I29" s="150"/>
      <c r="J29" s="48"/>
      <c r="K29" s="48"/>
      <c r="L29" s="47"/>
      <c r="M29" s="47"/>
      <c r="N29" s="48"/>
      <c r="O29" s="53"/>
      <c r="P29" s="49"/>
      <c r="Q29" s="47"/>
      <c r="R29" s="47"/>
    </row>
    <row r="30" spans="1:18" ht="15.75" customHeight="1">
      <c r="A30" s="41"/>
      <c r="B30" s="41"/>
      <c r="C30" s="54" t="s">
        <v>38</v>
      </c>
      <c r="D30" s="164"/>
      <c r="E30" s="139"/>
      <c r="F30" s="139"/>
      <c r="G30" s="139"/>
      <c r="H30" s="140"/>
      <c r="I30" s="51"/>
      <c r="J30" s="48"/>
      <c r="K30" s="48"/>
      <c r="L30" s="47"/>
      <c r="M30" s="47"/>
      <c r="N30" s="48"/>
      <c r="O30" s="48"/>
      <c r="P30" s="49"/>
      <c r="Q30" s="47"/>
      <c r="R30" s="47"/>
    </row>
    <row r="31" spans="1:18" ht="15.75" customHeight="1">
      <c r="A31" s="41"/>
      <c r="B31" s="41"/>
      <c r="C31" s="47"/>
      <c r="D31" s="55"/>
      <c r="E31" s="55"/>
      <c r="F31" s="55"/>
      <c r="G31" s="55"/>
      <c r="H31" s="55"/>
      <c r="I31" s="56"/>
      <c r="J31" s="56"/>
      <c r="K31" s="56"/>
      <c r="L31" s="56"/>
      <c r="M31" s="56"/>
      <c r="N31" s="56"/>
      <c r="O31" s="56"/>
      <c r="P31" s="56"/>
      <c r="Q31" s="56"/>
      <c r="R31" s="56"/>
    </row>
    <row r="32" spans="1:18" ht="15.75" customHeight="1">
      <c r="A32" s="57"/>
      <c r="B32" s="58" t="s">
        <v>39</v>
      </c>
      <c r="C32" s="14" t="s">
        <v>40</v>
      </c>
      <c r="D32" s="59" t="s">
        <v>41</v>
      </c>
      <c r="E32" s="59" t="s">
        <v>42</v>
      </c>
      <c r="F32" s="59" t="s">
        <v>43</v>
      </c>
      <c r="G32" s="59" t="s">
        <v>44</v>
      </c>
      <c r="H32" s="59" t="s">
        <v>45</v>
      </c>
      <c r="I32" s="59" t="s">
        <v>46</v>
      </c>
      <c r="J32" s="59" t="s">
        <v>47</v>
      </c>
      <c r="K32" s="59" t="s">
        <v>48</v>
      </c>
      <c r="L32" s="59" t="s">
        <v>49</v>
      </c>
      <c r="M32" s="59" t="s">
        <v>50</v>
      </c>
      <c r="N32" s="59" t="s">
        <v>51</v>
      </c>
      <c r="O32" s="59" t="s">
        <v>52</v>
      </c>
      <c r="P32" s="60" t="s">
        <v>53</v>
      </c>
      <c r="Q32" s="54" t="s">
        <v>54</v>
      </c>
      <c r="R32" s="54" t="s">
        <v>55</v>
      </c>
    </row>
    <row r="33" spans="1:18" ht="15.75" customHeight="1">
      <c r="A33" s="61"/>
      <c r="B33" s="62"/>
      <c r="C33" s="63" t="s">
        <v>56</v>
      </c>
      <c r="D33" s="64" t="s">
        <v>57</v>
      </c>
      <c r="E33" s="64" t="s">
        <v>58</v>
      </c>
      <c r="F33" s="64" t="s">
        <v>59</v>
      </c>
      <c r="G33" s="64" t="s">
        <v>60</v>
      </c>
      <c r="H33" s="64" t="s">
        <v>61</v>
      </c>
      <c r="I33" s="64" t="s">
        <v>62</v>
      </c>
      <c r="J33" s="64" t="s">
        <v>63</v>
      </c>
      <c r="K33" s="64" t="s">
        <v>64</v>
      </c>
      <c r="L33" s="64" t="s">
        <v>65</v>
      </c>
      <c r="M33" s="64" t="s">
        <v>66</v>
      </c>
      <c r="N33" s="64">
        <v>1384.25</v>
      </c>
      <c r="O33" s="31">
        <f>SUMIF(A33:A45,"FIN",O33:O45)+SUMIF(A33:A45,"FIN/PROPÓSITO",O33:O45)</f>
        <v>1140</v>
      </c>
      <c r="P33" s="65" t="s">
        <v>167</v>
      </c>
      <c r="Q33" s="66" t="s">
        <v>67</v>
      </c>
      <c r="R33" s="66" t="s">
        <v>68</v>
      </c>
    </row>
    <row r="34" spans="1:18" ht="15.75" customHeight="1">
      <c r="A34" s="61"/>
      <c r="B34" s="67" t="s">
        <v>7</v>
      </c>
      <c r="C34" s="68" t="s">
        <v>69</v>
      </c>
      <c r="D34" s="64" t="s">
        <v>70</v>
      </c>
      <c r="E34" s="64" t="s">
        <v>71</v>
      </c>
      <c r="F34" s="64" t="s">
        <v>72</v>
      </c>
      <c r="G34" s="64" t="s">
        <v>60</v>
      </c>
      <c r="H34" s="64" t="s">
        <v>61</v>
      </c>
      <c r="I34" s="64" t="s">
        <v>73</v>
      </c>
      <c r="J34" s="64" t="s">
        <v>74</v>
      </c>
      <c r="K34" s="64" t="s">
        <v>75</v>
      </c>
      <c r="L34" s="64" t="s">
        <v>65</v>
      </c>
      <c r="M34" s="64" t="s">
        <v>66</v>
      </c>
      <c r="N34" s="64">
        <v>115207</v>
      </c>
      <c r="O34" s="64">
        <f>SUMIF(A34:A46,"PROPÓSITO",O34:O46)+SUMIF(A34:A46,"FIN/PROPÓSITO",O34:O46)</f>
        <v>110873</v>
      </c>
      <c r="P34" s="65" t="s">
        <v>168</v>
      </c>
      <c r="Q34" s="69" t="s">
        <v>76</v>
      </c>
      <c r="R34" s="69" t="s">
        <v>77</v>
      </c>
    </row>
    <row r="35" spans="1:18" ht="15.75" customHeight="1">
      <c r="A35" s="70" t="s">
        <v>56</v>
      </c>
      <c r="B35" s="71" t="s">
        <v>78</v>
      </c>
      <c r="C35" s="68" t="s">
        <v>79</v>
      </c>
      <c r="D35" s="64" t="s">
        <v>80</v>
      </c>
      <c r="E35" s="64" t="s">
        <v>81</v>
      </c>
      <c r="F35" s="64" t="s">
        <v>82</v>
      </c>
      <c r="G35" s="64" t="s">
        <v>60</v>
      </c>
      <c r="H35" s="64" t="s">
        <v>61</v>
      </c>
      <c r="I35" s="72" t="s">
        <v>83</v>
      </c>
      <c r="J35" s="72">
        <v>50</v>
      </c>
      <c r="K35" s="64">
        <f t="shared" ref="K35:K44" si="0">IF(M35="Porcentaje",J35,4)</f>
        <v>50</v>
      </c>
      <c r="L35" s="64" t="s">
        <v>84</v>
      </c>
      <c r="M35" s="64" t="s">
        <v>66</v>
      </c>
      <c r="N35" s="64">
        <v>64</v>
      </c>
      <c r="O35" s="64">
        <v>50</v>
      </c>
      <c r="P35" s="65" t="s">
        <v>169</v>
      </c>
      <c r="Q35" s="66" t="s">
        <v>85</v>
      </c>
      <c r="R35" s="66" t="s">
        <v>86</v>
      </c>
    </row>
    <row r="36" spans="1:18" ht="15.75" customHeight="1">
      <c r="A36" s="73" t="s">
        <v>69</v>
      </c>
      <c r="B36" s="74"/>
      <c r="C36" s="75" t="s">
        <v>87</v>
      </c>
      <c r="D36" s="64" t="s">
        <v>88</v>
      </c>
      <c r="E36" s="64" t="s">
        <v>89</v>
      </c>
      <c r="F36" s="64" t="s">
        <v>90</v>
      </c>
      <c r="G36" s="64" t="s">
        <v>60</v>
      </c>
      <c r="H36" s="64" t="s">
        <v>91</v>
      </c>
      <c r="I36" s="64" t="s">
        <v>92</v>
      </c>
      <c r="J36" s="72">
        <f>O36</f>
        <v>1500</v>
      </c>
      <c r="K36" s="64">
        <f t="shared" si="0"/>
        <v>1500</v>
      </c>
      <c r="L36" s="64" t="s">
        <v>84</v>
      </c>
      <c r="M36" s="64" t="s">
        <v>66</v>
      </c>
      <c r="N36" s="64">
        <v>1799</v>
      </c>
      <c r="O36" s="64">
        <v>1500</v>
      </c>
      <c r="P36" s="65" t="s">
        <v>170</v>
      </c>
      <c r="Q36" s="66" t="s">
        <v>93</v>
      </c>
      <c r="R36" s="66" t="s">
        <v>94</v>
      </c>
    </row>
    <row r="37" spans="1:18" ht="15.75" customHeight="1">
      <c r="A37" s="73" t="s">
        <v>56</v>
      </c>
      <c r="B37" s="76" t="s">
        <v>95</v>
      </c>
      <c r="C37" s="75" t="s">
        <v>96</v>
      </c>
      <c r="D37" s="64" t="s">
        <v>97</v>
      </c>
      <c r="E37" s="64" t="s">
        <v>98</v>
      </c>
      <c r="F37" s="64" t="s">
        <v>99</v>
      </c>
      <c r="G37" s="64" t="s">
        <v>100</v>
      </c>
      <c r="H37" s="64" t="s">
        <v>61</v>
      </c>
      <c r="I37" s="72" t="s">
        <v>101</v>
      </c>
      <c r="J37" s="72">
        <f>O37*4</f>
        <v>960</v>
      </c>
      <c r="K37" s="64">
        <f t="shared" si="0"/>
        <v>4</v>
      </c>
      <c r="L37" s="64" t="s">
        <v>102</v>
      </c>
      <c r="M37" s="64" t="s">
        <v>103</v>
      </c>
      <c r="N37" s="64">
        <v>270</v>
      </c>
      <c r="O37" s="64">
        <v>240</v>
      </c>
      <c r="P37" s="77">
        <v>208.3</v>
      </c>
      <c r="Q37" s="66" t="s">
        <v>104</v>
      </c>
      <c r="R37" s="66" t="s">
        <v>105</v>
      </c>
    </row>
    <row r="38" spans="1:18" ht="15.75" customHeight="1">
      <c r="A38" s="73" t="s">
        <v>69</v>
      </c>
      <c r="B38" s="74"/>
      <c r="C38" s="68" t="s">
        <v>106</v>
      </c>
      <c r="D38" s="64" t="s">
        <v>107</v>
      </c>
      <c r="E38" s="64" t="s">
        <v>108</v>
      </c>
      <c r="F38" s="64" t="s">
        <v>109</v>
      </c>
      <c r="G38" s="64" t="s">
        <v>100</v>
      </c>
      <c r="H38" s="64" t="s">
        <v>91</v>
      </c>
      <c r="I38" s="64" t="s">
        <v>110</v>
      </c>
      <c r="J38" s="72">
        <f t="shared" ref="J38:J44" si="1">O38</f>
        <v>25</v>
      </c>
      <c r="K38" s="64">
        <f t="shared" si="0"/>
        <v>25</v>
      </c>
      <c r="L38" s="64" t="s">
        <v>84</v>
      </c>
      <c r="M38" s="64" t="s">
        <v>66</v>
      </c>
      <c r="N38" s="64">
        <v>22</v>
      </c>
      <c r="O38" s="64">
        <v>25</v>
      </c>
      <c r="P38" s="65" t="s">
        <v>171</v>
      </c>
      <c r="Q38" s="66" t="s">
        <v>111</v>
      </c>
      <c r="R38" s="66" t="s">
        <v>112</v>
      </c>
    </row>
    <row r="39" spans="1:18" ht="15.75" customHeight="1">
      <c r="A39" s="78" t="s">
        <v>69</v>
      </c>
      <c r="B39" s="76" t="s">
        <v>113</v>
      </c>
      <c r="C39" s="68" t="s">
        <v>114</v>
      </c>
      <c r="D39" s="64" t="s">
        <v>115</v>
      </c>
      <c r="E39" s="64" t="s">
        <v>116</v>
      </c>
      <c r="F39" s="64" t="s">
        <v>117</v>
      </c>
      <c r="G39" s="64" t="s">
        <v>60</v>
      </c>
      <c r="H39" s="64" t="s">
        <v>61</v>
      </c>
      <c r="I39" s="64" t="s">
        <v>118</v>
      </c>
      <c r="J39" s="72">
        <f t="shared" si="1"/>
        <v>109348</v>
      </c>
      <c r="K39" s="64">
        <f t="shared" si="0"/>
        <v>109348</v>
      </c>
      <c r="L39" s="64" t="s">
        <v>84</v>
      </c>
      <c r="M39" s="64" t="s">
        <v>66</v>
      </c>
      <c r="N39" s="64">
        <v>113386</v>
      </c>
      <c r="O39" s="64">
        <v>109348</v>
      </c>
      <c r="P39" s="65" t="s">
        <v>172</v>
      </c>
      <c r="Q39" s="66" t="s">
        <v>119</v>
      </c>
      <c r="R39" s="66" t="s">
        <v>120</v>
      </c>
    </row>
    <row r="40" spans="1:18" ht="114" customHeight="1">
      <c r="A40" s="61"/>
      <c r="B40" s="57"/>
      <c r="C40" s="68" t="s">
        <v>121</v>
      </c>
      <c r="D40" s="64" t="s">
        <v>122</v>
      </c>
      <c r="E40" s="64" t="s">
        <v>123</v>
      </c>
      <c r="F40" s="64" t="s">
        <v>124</v>
      </c>
      <c r="G40" s="64" t="s">
        <v>60</v>
      </c>
      <c r="H40" s="64" t="s">
        <v>91</v>
      </c>
      <c r="I40" s="64" t="s">
        <v>125</v>
      </c>
      <c r="J40" s="72">
        <f t="shared" si="1"/>
        <v>2200</v>
      </c>
      <c r="K40" s="64">
        <f t="shared" si="0"/>
        <v>2200</v>
      </c>
      <c r="L40" s="64" t="s">
        <v>84</v>
      </c>
      <c r="M40" s="64" t="s">
        <v>66</v>
      </c>
      <c r="N40" s="64">
        <v>2954</v>
      </c>
      <c r="O40" s="64">
        <v>2200</v>
      </c>
      <c r="P40" s="65" t="s">
        <v>173</v>
      </c>
      <c r="Q40" s="66" t="s">
        <v>126</v>
      </c>
      <c r="R40" s="66" t="s">
        <v>127</v>
      </c>
    </row>
    <row r="41" spans="1:18" ht="15.75" customHeight="1">
      <c r="A41" s="61"/>
      <c r="B41" s="57"/>
      <c r="C41" s="68" t="s">
        <v>128</v>
      </c>
      <c r="D41" s="64" t="s">
        <v>129</v>
      </c>
      <c r="E41" s="64" t="s">
        <v>130</v>
      </c>
      <c r="F41" s="64" t="s">
        <v>131</v>
      </c>
      <c r="G41" s="64" t="s">
        <v>60</v>
      </c>
      <c r="H41" s="64" t="s">
        <v>91</v>
      </c>
      <c r="I41" s="64" t="s">
        <v>132</v>
      </c>
      <c r="J41" s="72">
        <f t="shared" si="1"/>
        <v>1098</v>
      </c>
      <c r="K41" s="64">
        <f t="shared" si="0"/>
        <v>1098</v>
      </c>
      <c r="L41" s="64" t="s">
        <v>84</v>
      </c>
      <c r="M41" s="64" t="s">
        <v>66</v>
      </c>
      <c r="N41" s="64">
        <v>1578</v>
      </c>
      <c r="O41" s="64">
        <v>1098</v>
      </c>
      <c r="P41" s="65" t="s">
        <v>174</v>
      </c>
      <c r="Q41" s="66" t="s">
        <v>133</v>
      </c>
      <c r="R41" s="66" t="s">
        <v>134</v>
      </c>
    </row>
    <row r="42" spans="1:18" ht="15.75" customHeight="1">
      <c r="A42" s="61"/>
      <c r="B42" s="57"/>
      <c r="C42" s="68" t="s">
        <v>135</v>
      </c>
      <c r="D42" s="64" t="s">
        <v>136</v>
      </c>
      <c r="E42" s="64" t="s">
        <v>137</v>
      </c>
      <c r="F42" s="64" t="s">
        <v>138</v>
      </c>
      <c r="G42" s="64" t="s">
        <v>60</v>
      </c>
      <c r="H42" s="64" t="s">
        <v>91</v>
      </c>
      <c r="I42" s="64" t="s">
        <v>139</v>
      </c>
      <c r="J42" s="72">
        <f t="shared" si="1"/>
        <v>104000</v>
      </c>
      <c r="K42" s="64">
        <f t="shared" si="0"/>
        <v>104000</v>
      </c>
      <c r="L42" s="64" t="s">
        <v>84</v>
      </c>
      <c r="M42" s="64" t="s">
        <v>66</v>
      </c>
      <c r="N42" s="64">
        <v>106218</v>
      </c>
      <c r="O42" s="64">
        <v>104000</v>
      </c>
      <c r="P42" s="65" t="s">
        <v>175</v>
      </c>
      <c r="Q42" s="66" t="s">
        <v>140</v>
      </c>
      <c r="R42" s="66" t="s">
        <v>141</v>
      </c>
    </row>
    <row r="43" spans="1:18" ht="133.5" customHeight="1">
      <c r="A43" s="61"/>
      <c r="B43" s="57"/>
      <c r="C43" s="68" t="s">
        <v>142</v>
      </c>
      <c r="D43" s="64" t="s">
        <v>143</v>
      </c>
      <c r="E43" s="64" t="s">
        <v>144</v>
      </c>
      <c r="F43" s="64" t="s">
        <v>145</v>
      </c>
      <c r="G43" s="64" t="s">
        <v>60</v>
      </c>
      <c r="H43" s="64" t="s">
        <v>91</v>
      </c>
      <c r="I43" s="64" t="s">
        <v>146</v>
      </c>
      <c r="J43" s="72">
        <f t="shared" si="1"/>
        <v>1200</v>
      </c>
      <c r="K43" s="64">
        <f t="shared" si="0"/>
        <v>1200</v>
      </c>
      <c r="L43" s="64" t="s">
        <v>84</v>
      </c>
      <c r="M43" s="64" t="s">
        <v>66</v>
      </c>
      <c r="N43" s="64">
        <v>1586</v>
      </c>
      <c r="O43" s="64">
        <v>1200</v>
      </c>
      <c r="P43" s="65" t="s">
        <v>176</v>
      </c>
      <c r="Q43" s="66" t="s">
        <v>140</v>
      </c>
      <c r="R43" s="66" t="s">
        <v>147</v>
      </c>
    </row>
    <row r="44" spans="1:18" ht="15.75" customHeight="1">
      <c r="A44" s="70" t="s">
        <v>56</v>
      </c>
      <c r="B44" s="57"/>
      <c r="C44" s="68" t="s">
        <v>148</v>
      </c>
      <c r="D44" s="64" t="s">
        <v>149</v>
      </c>
      <c r="E44" s="64" t="s">
        <v>150</v>
      </c>
      <c r="F44" s="64" t="s">
        <v>151</v>
      </c>
      <c r="G44" s="64" t="s">
        <v>60</v>
      </c>
      <c r="H44" s="64" t="s">
        <v>91</v>
      </c>
      <c r="I44" s="64" t="s">
        <v>152</v>
      </c>
      <c r="J44" s="72">
        <f t="shared" si="1"/>
        <v>850</v>
      </c>
      <c r="K44" s="64">
        <f t="shared" si="0"/>
        <v>850</v>
      </c>
      <c r="L44" s="64" t="s">
        <v>84</v>
      </c>
      <c r="M44" s="64" t="s">
        <v>66</v>
      </c>
      <c r="N44" s="64">
        <v>1050</v>
      </c>
      <c r="O44" s="64">
        <v>850</v>
      </c>
      <c r="P44" s="65" t="s">
        <v>177</v>
      </c>
      <c r="Q44" s="66" t="s">
        <v>153</v>
      </c>
      <c r="R44" s="66" t="s">
        <v>154</v>
      </c>
    </row>
    <row r="45" spans="1:18" ht="15.75" customHeight="1">
      <c r="A45" s="41"/>
      <c r="B45" s="41"/>
      <c r="C45" s="79" t="s">
        <v>155</v>
      </c>
      <c r="D45" s="165" t="s">
        <v>156</v>
      </c>
      <c r="E45" s="139"/>
      <c r="F45" s="140"/>
      <c r="G45" s="80"/>
      <c r="H45" s="80"/>
      <c r="I45" s="80"/>
      <c r="J45" s="34"/>
      <c r="K45" s="34"/>
      <c r="L45" s="80"/>
      <c r="M45" s="80"/>
      <c r="N45" s="81"/>
      <c r="O45" s="80"/>
      <c r="P45" s="81"/>
      <c r="Q45" s="80"/>
      <c r="R45" s="80"/>
    </row>
    <row r="46" spans="1:18" ht="15.75" customHeight="1">
      <c r="A46" s="41"/>
      <c r="B46" s="41"/>
      <c r="C46" s="50" t="s">
        <v>157</v>
      </c>
      <c r="D46" s="166" t="s">
        <v>158</v>
      </c>
      <c r="E46" s="139"/>
      <c r="F46" s="140"/>
      <c r="G46" s="80"/>
      <c r="H46" s="80"/>
      <c r="I46" s="80"/>
      <c r="J46" s="34"/>
      <c r="K46" s="34"/>
      <c r="L46" s="80"/>
      <c r="M46" s="80"/>
      <c r="N46" s="81"/>
      <c r="O46" s="80"/>
      <c r="P46" s="81"/>
      <c r="Q46" s="80"/>
      <c r="R46" s="80"/>
    </row>
    <row r="47" spans="1:18" ht="15.75" customHeight="1">
      <c r="A47" s="41"/>
      <c r="B47" s="41"/>
      <c r="C47" s="50" t="s">
        <v>159</v>
      </c>
      <c r="D47" s="165" t="s">
        <v>160</v>
      </c>
      <c r="E47" s="139"/>
      <c r="F47" s="140"/>
      <c r="G47" s="82"/>
      <c r="H47" s="82"/>
      <c r="P47" s="83"/>
    </row>
    <row r="48" spans="1:18" ht="15.75" customHeight="1">
      <c r="A48" s="41"/>
      <c r="B48" s="41"/>
      <c r="C48" s="50" t="s">
        <v>161</v>
      </c>
      <c r="D48" s="165" t="s">
        <v>4</v>
      </c>
      <c r="E48" s="139"/>
      <c r="F48" s="140"/>
      <c r="G48" s="82"/>
      <c r="H48" s="82"/>
      <c r="P48" s="83"/>
    </row>
    <row r="49" spans="1:16" ht="15.75" customHeight="1">
      <c r="A49" s="41"/>
      <c r="B49" s="41"/>
      <c r="C49" s="50" t="s">
        <v>162</v>
      </c>
      <c r="D49" s="165" t="s">
        <v>163</v>
      </c>
      <c r="E49" s="139"/>
      <c r="F49" s="140"/>
      <c r="G49" s="82"/>
      <c r="H49" s="82"/>
      <c r="P49" s="83"/>
    </row>
    <row r="50" spans="1:16" ht="15.75" customHeight="1">
      <c r="A50" s="41"/>
      <c r="B50" s="41"/>
      <c r="C50" s="50" t="s">
        <v>164</v>
      </c>
      <c r="D50" s="165" t="s">
        <v>11</v>
      </c>
      <c r="E50" s="139"/>
      <c r="F50" s="140"/>
      <c r="G50" s="82"/>
      <c r="H50" s="82"/>
      <c r="P50" s="83"/>
    </row>
    <row r="51" spans="1:16" ht="15.75" customHeight="1">
      <c r="A51" s="41"/>
      <c r="B51" s="41"/>
      <c r="C51" s="50" t="s">
        <v>165</v>
      </c>
      <c r="D51" s="165" t="s">
        <v>166</v>
      </c>
      <c r="E51" s="139"/>
      <c r="F51" s="140"/>
      <c r="G51" s="82"/>
      <c r="H51" s="82"/>
      <c r="P51" s="83"/>
    </row>
    <row r="52" spans="1:16" ht="15.75" customHeight="1">
      <c r="A52" s="41"/>
      <c r="B52" s="41"/>
      <c r="D52" s="82"/>
      <c r="E52" s="82"/>
      <c r="F52" s="82"/>
      <c r="G52" s="82"/>
      <c r="H52" s="82"/>
      <c r="P52" s="83"/>
    </row>
    <row r="53" spans="1:16" ht="15.75" customHeight="1">
      <c r="A53" s="41"/>
      <c r="B53" s="41"/>
      <c r="D53" s="82"/>
      <c r="E53" s="82"/>
      <c r="F53" s="82"/>
      <c r="G53" s="82"/>
      <c r="H53" s="82"/>
      <c r="P53" s="83"/>
    </row>
    <row r="54" spans="1:16" ht="15.75" customHeight="1">
      <c r="A54" s="41"/>
      <c r="B54" s="41"/>
      <c r="D54" s="82"/>
      <c r="E54" s="82"/>
      <c r="F54" s="82"/>
      <c r="G54" s="82"/>
      <c r="H54" s="82"/>
      <c r="P54" s="83"/>
    </row>
    <row r="55" spans="1:16" ht="15.75" customHeight="1">
      <c r="A55" s="41"/>
      <c r="B55" s="41"/>
      <c r="D55" s="82"/>
      <c r="E55" s="82"/>
      <c r="F55" s="82"/>
      <c r="G55" s="82"/>
      <c r="H55" s="82"/>
      <c r="P55" s="83"/>
    </row>
    <row r="56" spans="1:16" ht="15.75" customHeight="1">
      <c r="A56" s="41"/>
      <c r="B56" s="41"/>
      <c r="D56" s="82"/>
      <c r="E56" s="82"/>
      <c r="F56" s="82"/>
      <c r="G56" s="82"/>
      <c r="H56" s="82"/>
      <c r="P56" s="83"/>
    </row>
    <row r="57" spans="1:16" ht="15.75" customHeight="1">
      <c r="A57" s="41"/>
      <c r="B57" s="41"/>
      <c r="D57" s="82"/>
      <c r="E57" s="82"/>
      <c r="F57" s="82"/>
      <c r="G57" s="82"/>
      <c r="H57" s="82"/>
      <c r="P57" s="83"/>
    </row>
    <row r="58" spans="1:16" ht="15.75" customHeight="1">
      <c r="A58" s="41"/>
      <c r="B58" s="41"/>
      <c r="D58" s="82"/>
      <c r="E58" s="82"/>
      <c r="F58" s="82"/>
      <c r="G58" s="82"/>
      <c r="H58" s="82"/>
      <c r="P58" s="83"/>
    </row>
    <row r="59" spans="1:16" ht="15.75" customHeight="1">
      <c r="A59" s="41"/>
      <c r="B59" s="41"/>
      <c r="D59" s="82"/>
      <c r="E59" s="82"/>
      <c r="F59" s="82"/>
      <c r="G59" s="82"/>
      <c r="H59" s="82"/>
      <c r="P59" s="83"/>
    </row>
    <row r="60" spans="1:16" ht="15.75" customHeight="1">
      <c r="A60" s="41"/>
      <c r="B60" s="41"/>
      <c r="D60" s="82"/>
      <c r="E60" s="82"/>
      <c r="F60" s="82"/>
      <c r="G60" s="82"/>
      <c r="H60" s="82"/>
      <c r="P60" s="83"/>
    </row>
    <row r="61" spans="1:16" ht="15.75" customHeight="1">
      <c r="A61" s="41"/>
      <c r="B61" s="41"/>
      <c r="D61" s="82"/>
      <c r="E61" s="82"/>
      <c r="F61" s="82"/>
      <c r="G61" s="82"/>
      <c r="H61" s="82"/>
      <c r="P61" s="83"/>
    </row>
    <row r="62" spans="1:16" ht="15.75" customHeight="1">
      <c r="A62" s="41"/>
      <c r="B62" s="41"/>
      <c r="D62" s="82"/>
      <c r="E62" s="82"/>
      <c r="F62" s="82"/>
      <c r="G62" s="82"/>
      <c r="H62" s="82"/>
      <c r="P62" s="83"/>
    </row>
    <row r="63" spans="1:16" ht="15.75" customHeight="1">
      <c r="D63" s="82"/>
      <c r="E63" s="82"/>
      <c r="F63" s="82"/>
      <c r="G63" s="82"/>
      <c r="H63" s="82"/>
      <c r="P63" s="83"/>
    </row>
    <row r="64" spans="1:16" ht="15.75" customHeight="1">
      <c r="D64" s="82"/>
      <c r="E64" s="82"/>
      <c r="F64" s="82"/>
      <c r="G64" s="82"/>
      <c r="H64" s="82"/>
      <c r="P64" s="83"/>
    </row>
    <row r="65" spans="4:16" ht="15.75" customHeight="1">
      <c r="D65" s="82"/>
      <c r="E65" s="82"/>
      <c r="F65" s="82"/>
      <c r="G65" s="82"/>
      <c r="H65" s="82"/>
      <c r="P65" s="83"/>
    </row>
    <row r="66" spans="4:16" ht="15.75" customHeight="1">
      <c r="D66" s="82"/>
      <c r="E66" s="82"/>
      <c r="F66" s="82"/>
      <c r="G66" s="82"/>
      <c r="H66" s="82"/>
      <c r="P66" s="83"/>
    </row>
    <row r="67" spans="4:16" ht="15.75" customHeight="1">
      <c r="D67" s="82"/>
      <c r="E67" s="82"/>
      <c r="F67" s="82"/>
      <c r="G67" s="82"/>
      <c r="H67" s="82"/>
      <c r="P67" s="83"/>
    </row>
    <row r="68" spans="4:16" ht="15.75" customHeight="1">
      <c r="D68" s="82"/>
      <c r="E68" s="82"/>
      <c r="F68" s="82"/>
      <c r="G68" s="82"/>
      <c r="H68" s="82"/>
      <c r="P68" s="83"/>
    </row>
    <row r="69" spans="4:16" ht="15.75" customHeight="1">
      <c r="D69" s="82"/>
      <c r="E69" s="82"/>
      <c r="F69" s="82"/>
      <c r="G69" s="82"/>
      <c r="H69" s="82"/>
      <c r="P69" s="83"/>
    </row>
    <row r="70" spans="4:16" ht="15.75" customHeight="1">
      <c r="D70" s="82"/>
      <c r="E70" s="82"/>
      <c r="F70" s="82"/>
      <c r="G70" s="82"/>
      <c r="H70" s="82"/>
      <c r="P70" s="83"/>
    </row>
    <row r="71" spans="4:16" ht="15.75" customHeight="1">
      <c r="D71" s="82"/>
      <c r="E71" s="82"/>
      <c r="F71" s="82"/>
      <c r="G71" s="82"/>
      <c r="H71" s="82"/>
      <c r="P71" s="83"/>
    </row>
    <row r="72" spans="4:16" ht="15.75" customHeight="1">
      <c r="D72" s="82"/>
      <c r="E72" s="82"/>
      <c r="F72" s="82"/>
      <c r="G72" s="82"/>
      <c r="H72" s="82"/>
      <c r="P72" s="83"/>
    </row>
    <row r="73" spans="4:16" ht="15.75" customHeight="1">
      <c r="D73" s="82"/>
      <c r="E73" s="82"/>
      <c r="F73" s="82"/>
      <c r="G73" s="82"/>
      <c r="H73" s="82"/>
      <c r="P73" s="83"/>
    </row>
    <row r="74" spans="4:16" ht="15.75" customHeight="1">
      <c r="D74" s="82"/>
      <c r="E74" s="82"/>
      <c r="F74" s="82"/>
      <c r="G74" s="82"/>
      <c r="H74" s="82"/>
      <c r="P74" s="83"/>
    </row>
    <row r="75" spans="4:16" ht="15.75" customHeight="1">
      <c r="D75" s="82"/>
      <c r="E75" s="82"/>
      <c r="F75" s="82"/>
      <c r="G75" s="82"/>
      <c r="H75" s="82"/>
      <c r="P75" s="83"/>
    </row>
    <row r="76" spans="4:16" ht="15.75" customHeight="1">
      <c r="D76" s="82"/>
      <c r="E76" s="82"/>
      <c r="F76" s="82"/>
      <c r="G76" s="82"/>
      <c r="H76" s="82"/>
      <c r="P76" s="83"/>
    </row>
    <row r="77" spans="4:16" ht="15.75" customHeight="1">
      <c r="D77" s="82"/>
      <c r="E77" s="82"/>
      <c r="F77" s="82"/>
      <c r="G77" s="82"/>
      <c r="H77" s="82"/>
      <c r="P77" s="83"/>
    </row>
    <row r="78" spans="4:16" ht="15.75" customHeight="1">
      <c r="D78" s="82"/>
      <c r="E78" s="82"/>
      <c r="F78" s="82"/>
      <c r="G78" s="82"/>
      <c r="H78" s="82"/>
      <c r="P78" s="83"/>
    </row>
    <row r="79" spans="4:16" ht="15.75" customHeight="1">
      <c r="D79" s="82"/>
      <c r="E79" s="82"/>
      <c r="F79" s="82"/>
      <c r="G79" s="82"/>
      <c r="H79" s="82"/>
      <c r="P79" s="83"/>
    </row>
    <row r="80" spans="4:16" ht="15.75" customHeight="1">
      <c r="D80" s="82"/>
      <c r="E80" s="82"/>
      <c r="F80" s="82"/>
      <c r="G80" s="82"/>
      <c r="H80" s="82"/>
      <c r="P80" s="83"/>
    </row>
    <row r="81" spans="1:18" ht="15.75" customHeight="1">
      <c r="D81" s="82"/>
      <c r="E81" s="82"/>
      <c r="F81" s="82"/>
      <c r="G81" s="82"/>
      <c r="H81" s="82"/>
      <c r="P81" s="83"/>
    </row>
    <row r="82" spans="1:18" ht="15.75" customHeight="1">
      <c r="D82" s="82"/>
      <c r="E82" s="82"/>
      <c r="F82" s="82"/>
      <c r="G82" s="82"/>
      <c r="H82" s="82"/>
      <c r="P82" s="83"/>
    </row>
    <row r="83" spans="1:18" ht="15.75" customHeight="1">
      <c r="D83" s="82"/>
      <c r="E83" s="82"/>
      <c r="F83" s="82"/>
      <c r="G83" s="82"/>
      <c r="H83" s="82"/>
      <c r="P83" s="83"/>
    </row>
    <row r="84" spans="1:18" ht="15.75" customHeight="1">
      <c r="D84" s="82"/>
      <c r="E84" s="82"/>
      <c r="F84" s="82"/>
      <c r="G84" s="82"/>
      <c r="H84" s="82"/>
      <c r="P84" s="83"/>
    </row>
    <row r="85" spans="1:18" ht="15.75" customHeight="1">
      <c r="D85" s="82"/>
      <c r="E85" s="82"/>
      <c r="F85" s="82"/>
      <c r="G85" s="82"/>
      <c r="H85" s="82"/>
      <c r="P85" s="83"/>
    </row>
    <row r="86" spans="1:18" ht="15.75" customHeight="1">
      <c r="D86" s="82"/>
      <c r="E86" s="82"/>
      <c r="F86" s="82"/>
      <c r="G86" s="82"/>
      <c r="H86" s="82"/>
      <c r="P86" s="83"/>
    </row>
    <row r="87" spans="1:18" ht="15.75" customHeight="1">
      <c r="D87" s="82"/>
      <c r="E87" s="82"/>
      <c r="F87" s="82"/>
      <c r="G87" s="82"/>
      <c r="H87" s="82"/>
      <c r="P87" s="83"/>
    </row>
    <row r="88" spans="1:18" ht="15.75" customHeight="1">
      <c r="D88" s="82"/>
      <c r="E88" s="82"/>
      <c r="F88" s="82"/>
      <c r="G88" s="82"/>
      <c r="H88" s="82"/>
      <c r="P88" s="83"/>
    </row>
    <row r="89" spans="1:18" ht="15.75" customHeight="1">
      <c r="D89" s="82"/>
      <c r="E89" s="82"/>
      <c r="F89" s="82"/>
      <c r="G89" s="82"/>
      <c r="H89" s="82"/>
      <c r="P89" s="83"/>
    </row>
    <row r="90" spans="1:18" ht="15.75" customHeight="1">
      <c r="D90" s="82"/>
      <c r="E90" s="82"/>
      <c r="F90" s="82"/>
      <c r="G90" s="82"/>
      <c r="H90" s="82"/>
      <c r="P90" s="83"/>
    </row>
    <row r="91" spans="1:18" ht="15.75" customHeight="1">
      <c r="D91" s="82"/>
      <c r="E91" s="82"/>
      <c r="F91" s="82"/>
      <c r="G91" s="82"/>
      <c r="H91" s="82"/>
      <c r="P91" s="83"/>
    </row>
    <row r="92" spans="1:18" ht="15.75" customHeight="1">
      <c r="A92" s="84"/>
      <c r="B92" s="84"/>
      <c r="C92" s="84"/>
      <c r="D92" s="82"/>
      <c r="E92" s="82"/>
      <c r="F92" s="82"/>
      <c r="G92" s="82"/>
      <c r="H92" s="82"/>
      <c r="I92" s="84"/>
      <c r="J92" s="84"/>
      <c r="K92" s="84"/>
      <c r="L92" s="84"/>
      <c r="M92" s="84"/>
      <c r="N92" s="84"/>
      <c r="O92" s="84"/>
      <c r="P92" s="85"/>
      <c r="Q92" s="84"/>
      <c r="R92" s="84"/>
    </row>
    <row r="93" spans="1:18" ht="15.75" customHeight="1">
      <c r="A93" s="84"/>
      <c r="B93" s="84"/>
      <c r="C93" s="84"/>
      <c r="D93" s="82"/>
      <c r="E93" s="82"/>
      <c r="F93" s="82"/>
      <c r="G93" s="82"/>
      <c r="H93" s="82"/>
      <c r="I93" s="84"/>
      <c r="J93" s="84"/>
      <c r="K93" s="84"/>
      <c r="L93" s="84"/>
      <c r="M93" s="84"/>
      <c r="N93" s="84"/>
      <c r="O93" s="84"/>
      <c r="P93" s="85"/>
      <c r="Q93" s="84"/>
      <c r="R93" s="84"/>
    </row>
    <row r="94" spans="1:18" ht="15.75" customHeight="1">
      <c r="A94" s="84"/>
      <c r="B94" s="84"/>
      <c r="C94" s="84"/>
      <c r="D94" s="82"/>
      <c r="E94" s="82"/>
      <c r="F94" s="82"/>
      <c r="G94" s="82"/>
      <c r="H94" s="82"/>
      <c r="I94" s="84"/>
      <c r="J94" s="84"/>
      <c r="K94" s="84"/>
      <c r="L94" s="84"/>
      <c r="M94" s="84"/>
      <c r="N94" s="84"/>
      <c r="O94" s="84"/>
      <c r="P94" s="85"/>
      <c r="Q94" s="84"/>
      <c r="R94" s="84"/>
    </row>
    <row r="95" spans="1:18" ht="15.75" customHeight="1">
      <c r="A95" s="84"/>
      <c r="B95" s="84"/>
      <c r="C95" s="84"/>
      <c r="D95" s="82"/>
      <c r="E95" s="82"/>
      <c r="F95" s="82"/>
      <c r="G95" s="82"/>
      <c r="H95" s="82"/>
      <c r="I95" s="84"/>
      <c r="J95" s="84"/>
      <c r="K95" s="84"/>
      <c r="L95" s="84"/>
      <c r="M95" s="84"/>
      <c r="N95" s="84"/>
      <c r="O95" s="84"/>
      <c r="P95" s="85"/>
      <c r="Q95" s="84"/>
      <c r="R95" s="84"/>
    </row>
    <row r="96" spans="1:18" ht="15.75" customHeight="1">
      <c r="A96" s="84"/>
      <c r="B96" s="84"/>
      <c r="C96" s="84"/>
      <c r="D96" s="82"/>
      <c r="E96" s="82"/>
      <c r="F96" s="82"/>
      <c r="G96" s="82"/>
      <c r="H96" s="82"/>
      <c r="I96" s="84"/>
      <c r="J96" s="84"/>
      <c r="K96" s="84"/>
      <c r="L96" s="84"/>
      <c r="M96" s="84"/>
      <c r="N96" s="84"/>
      <c r="O96" s="84"/>
      <c r="P96" s="85"/>
      <c r="Q96" s="84"/>
      <c r="R96" s="84"/>
    </row>
    <row r="97" spans="1:18" ht="15.75" customHeight="1">
      <c r="A97" s="84"/>
      <c r="B97" s="84"/>
      <c r="C97" s="84"/>
      <c r="D97" s="82"/>
      <c r="E97" s="82"/>
      <c r="F97" s="82"/>
      <c r="G97" s="82"/>
      <c r="H97" s="82"/>
      <c r="I97" s="84"/>
      <c r="J97" s="84"/>
      <c r="K97" s="84"/>
      <c r="L97" s="84"/>
      <c r="M97" s="84"/>
      <c r="N97" s="84"/>
      <c r="O97" s="84"/>
      <c r="P97" s="85"/>
      <c r="Q97" s="84"/>
      <c r="R97" s="84"/>
    </row>
    <row r="98" spans="1:18" ht="15.75" customHeight="1">
      <c r="A98" s="86"/>
      <c r="B98" s="86"/>
      <c r="C98" s="86"/>
      <c r="D98" s="167"/>
      <c r="E98" s="150"/>
      <c r="F98" s="150"/>
      <c r="G98" s="150"/>
      <c r="H98" s="87"/>
      <c r="I98" s="169"/>
      <c r="J98" s="150"/>
      <c r="K98" s="150"/>
      <c r="L98" s="150"/>
      <c r="M98" s="150"/>
      <c r="N98" s="150"/>
      <c r="O98" s="150"/>
      <c r="P98" s="150"/>
      <c r="Q98" s="150"/>
      <c r="R98" s="150"/>
    </row>
    <row r="99" spans="1:18" ht="15.75" customHeight="1">
      <c r="A99" s="86"/>
      <c r="B99" s="86"/>
      <c r="C99" s="86"/>
      <c r="D99" s="167"/>
      <c r="E99" s="150"/>
      <c r="F99" s="150"/>
      <c r="G99" s="150"/>
      <c r="H99" s="87"/>
      <c r="I99" s="88"/>
      <c r="J99" s="89"/>
      <c r="K99" s="89"/>
      <c r="L99" s="89"/>
      <c r="M99" s="89"/>
      <c r="N99" s="89"/>
      <c r="O99" s="89"/>
      <c r="P99" s="90"/>
      <c r="Q99" s="89"/>
      <c r="R99" s="89"/>
    </row>
    <row r="100" spans="1:18" ht="15.75" customHeight="1">
      <c r="A100" s="86"/>
      <c r="B100" s="86"/>
      <c r="C100" s="86"/>
      <c r="D100" s="167"/>
      <c r="E100" s="150"/>
      <c r="F100" s="150"/>
      <c r="G100" s="150"/>
      <c r="H100" s="87"/>
      <c r="I100" s="91"/>
      <c r="J100" s="91"/>
      <c r="K100" s="91"/>
      <c r="L100" s="91"/>
      <c r="M100" s="91"/>
      <c r="N100" s="91"/>
      <c r="O100" s="91"/>
      <c r="P100" s="92"/>
      <c r="Q100" s="91"/>
      <c r="R100" s="91"/>
    </row>
    <row r="101" spans="1:18" ht="15.75" customHeight="1">
      <c r="A101" s="86"/>
      <c r="B101" s="86"/>
      <c r="C101" s="86"/>
      <c r="D101" s="169"/>
      <c r="E101" s="150"/>
      <c r="F101" s="150"/>
      <c r="G101" s="150"/>
      <c r="H101" s="82"/>
      <c r="I101" s="91"/>
      <c r="J101" s="91"/>
      <c r="K101" s="91"/>
      <c r="L101" s="91"/>
      <c r="M101" s="91"/>
      <c r="N101" s="91"/>
      <c r="O101" s="91"/>
      <c r="P101" s="92"/>
      <c r="Q101" s="91"/>
      <c r="R101" s="91"/>
    </row>
    <row r="102" spans="1:18" ht="15.75" customHeight="1">
      <c r="A102" s="86"/>
      <c r="B102" s="86"/>
      <c r="C102" s="86"/>
      <c r="D102" s="170"/>
      <c r="E102" s="150"/>
      <c r="F102" s="150"/>
      <c r="G102" s="150"/>
      <c r="H102" s="87"/>
      <c r="I102" s="91"/>
      <c r="J102" s="91"/>
      <c r="K102" s="91"/>
      <c r="L102" s="91"/>
      <c r="M102" s="91"/>
      <c r="N102" s="91"/>
      <c r="O102" s="91"/>
      <c r="P102" s="92"/>
      <c r="Q102" s="91"/>
      <c r="R102" s="91"/>
    </row>
    <row r="103" spans="1:18" ht="15.75" customHeight="1">
      <c r="A103" s="86"/>
      <c r="B103" s="86"/>
      <c r="C103" s="86"/>
      <c r="D103" s="167"/>
      <c r="E103" s="150"/>
      <c r="F103" s="150"/>
      <c r="G103" s="150"/>
      <c r="H103" s="82"/>
      <c r="I103" s="91"/>
      <c r="J103" s="91"/>
      <c r="K103" s="91"/>
      <c r="L103" s="91"/>
      <c r="M103" s="91"/>
      <c r="N103" s="91"/>
      <c r="O103" s="91"/>
      <c r="P103" s="92"/>
      <c r="Q103" s="91"/>
      <c r="R103" s="91"/>
    </row>
    <row r="104" spans="1:18" ht="15.75" customHeight="1">
      <c r="A104" s="86"/>
      <c r="B104" s="86"/>
      <c r="C104" s="86"/>
      <c r="D104" s="168"/>
      <c r="E104" s="150"/>
      <c r="F104" s="150"/>
      <c r="G104" s="150"/>
      <c r="H104" s="82"/>
      <c r="I104" s="91"/>
      <c r="J104" s="91"/>
      <c r="K104" s="91"/>
      <c r="L104" s="91"/>
      <c r="M104" s="91"/>
      <c r="N104" s="91"/>
      <c r="O104" s="91"/>
      <c r="P104" s="92"/>
      <c r="Q104" s="91"/>
      <c r="R104" s="91"/>
    </row>
    <row r="105" spans="1:18" ht="15.75" customHeight="1">
      <c r="A105" s="91"/>
      <c r="B105" s="91"/>
      <c r="C105" s="91"/>
      <c r="D105" s="82"/>
      <c r="E105" s="82"/>
      <c r="F105" s="82"/>
      <c r="G105" s="82"/>
      <c r="H105" s="82"/>
      <c r="I105" s="91"/>
      <c r="J105" s="91"/>
      <c r="K105" s="91"/>
      <c r="L105" s="91"/>
      <c r="M105" s="91"/>
      <c r="N105" s="91"/>
      <c r="O105" s="91"/>
      <c r="P105" s="92"/>
      <c r="Q105" s="91"/>
      <c r="R105" s="91"/>
    </row>
    <row r="106" spans="1:18" ht="15.75" customHeight="1">
      <c r="A106" s="91"/>
      <c r="B106" s="91"/>
      <c r="C106" s="91"/>
      <c r="D106" s="82"/>
      <c r="E106" s="82"/>
      <c r="F106" s="82"/>
      <c r="G106" s="82"/>
      <c r="H106" s="82"/>
      <c r="I106" s="91"/>
      <c r="J106" s="91"/>
      <c r="K106" s="91"/>
      <c r="L106" s="91"/>
      <c r="M106" s="91"/>
      <c r="N106" s="91"/>
      <c r="O106" s="91"/>
      <c r="P106" s="92"/>
      <c r="Q106" s="91"/>
      <c r="R106" s="91"/>
    </row>
    <row r="107" spans="1:18" ht="15.75" customHeight="1">
      <c r="D107" s="82"/>
      <c r="E107" s="82"/>
      <c r="F107" s="82"/>
      <c r="G107" s="82"/>
      <c r="H107" s="82"/>
      <c r="P107" s="83"/>
    </row>
    <row r="108" spans="1:18" ht="15.75" customHeight="1">
      <c r="D108" s="82"/>
      <c r="E108" s="82"/>
      <c r="F108" s="82"/>
      <c r="G108" s="82"/>
      <c r="H108" s="82"/>
      <c r="P108" s="83"/>
    </row>
    <row r="109" spans="1:18" ht="15.75" customHeight="1">
      <c r="D109" s="82"/>
      <c r="E109" s="82"/>
      <c r="F109" s="82"/>
      <c r="G109" s="82"/>
      <c r="H109" s="82"/>
      <c r="P109" s="83"/>
    </row>
    <row r="110" spans="1:18" ht="15.75" customHeight="1">
      <c r="D110" s="82"/>
      <c r="E110" s="82"/>
      <c r="F110" s="82"/>
      <c r="G110" s="82"/>
      <c r="H110" s="82"/>
      <c r="P110" s="83"/>
    </row>
    <row r="111" spans="1:18" ht="15.75" customHeight="1">
      <c r="D111" s="82"/>
      <c r="E111" s="82"/>
      <c r="F111" s="82"/>
      <c r="G111" s="82"/>
      <c r="H111" s="82"/>
      <c r="P111" s="83"/>
    </row>
    <row r="112" spans="1:18" ht="15.75" customHeight="1">
      <c r="D112" s="82"/>
      <c r="E112" s="82"/>
      <c r="F112" s="82"/>
      <c r="G112" s="82"/>
      <c r="H112" s="82"/>
      <c r="P112" s="83"/>
    </row>
    <row r="113" spans="4:16" ht="15.75" customHeight="1">
      <c r="D113" s="82"/>
      <c r="E113" s="82"/>
      <c r="F113" s="82"/>
      <c r="G113" s="82"/>
      <c r="H113" s="82"/>
      <c r="P113" s="83"/>
    </row>
    <row r="114" spans="4:16" ht="15.75" customHeight="1">
      <c r="D114" s="82"/>
      <c r="E114" s="82"/>
      <c r="F114" s="82"/>
      <c r="G114" s="82"/>
      <c r="H114" s="82"/>
      <c r="P114" s="83"/>
    </row>
    <row r="115" spans="4:16" ht="15.75" customHeight="1">
      <c r="D115" s="82"/>
      <c r="E115" s="82"/>
      <c r="F115" s="82"/>
      <c r="G115" s="82"/>
      <c r="H115" s="82"/>
      <c r="P115" s="83"/>
    </row>
    <row r="116" spans="4:16" ht="15.75" customHeight="1">
      <c r="D116" s="82"/>
      <c r="E116" s="82"/>
      <c r="F116" s="82"/>
      <c r="G116" s="82"/>
      <c r="H116" s="82"/>
      <c r="P116" s="83"/>
    </row>
    <row r="117" spans="4:16" ht="15.75" customHeight="1">
      <c r="D117" s="82"/>
      <c r="E117" s="82"/>
      <c r="F117" s="82"/>
      <c r="G117" s="82"/>
      <c r="H117" s="82"/>
      <c r="P117" s="83"/>
    </row>
    <row r="118" spans="4:16" ht="15.75" customHeight="1">
      <c r="D118" s="82"/>
      <c r="E118" s="82"/>
      <c r="F118" s="82"/>
      <c r="G118" s="82"/>
      <c r="H118" s="82"/>
      <c r="P118" s="83"/>
    </row>
    <row r="119" spans="4:16" ht="15.75" customHeight="1">
      <c r="D119" s="82"/>
      <c r="E119" s="82"/>
      <c r="F119" s="82"/>
      <c r="G119" s="82"/>
      <c r="H119" s="82"/>
      <c r="P119" s="83"/>
    </row>
    <row r="120" spans="4:16" ht="15.75" customHeight="1">
      <c r="D120" s="82"/>
      <c r="E120" s="82"/>
      <c r="F120" s="82"/>
      <c r="G120" s="82"/>
      <c r="H120" s="82"/>
      <c r="P120" s="83"/>
    </row>
    <row r="121" spans="4:16" ht="15.75" customHeight="1">
      <c r="D121" s="82"/>
      <c r="E121" s="82"/>
      <c r="F121" s="82"/>
      <c r="G121" s="82"/>
      <c r="H121" s="82"/>
      <c r="P121" s="83"/>
    </row>
    <row r="122" spans="4:16" ht="15.75" customHeight="1">
      <c r="D122" s="82"/>
      <c r="E122" s="82"/>
      <c r="F122" s="82"/>
      <c r="G122" s="82"/>
      <c r="H122" s="82"/>
      <c r="P122" s="83"/>
    </row>
    <row r="123" spans="4:16" ht="15.75" customHeight="1">
      <c r="D123" s="82"/>
      <c r="E123" s="82"/>
      <c r="F123" s="82"/>
      <c r="G123" s="82"/>
      <c r="H123" s="82"/>
      <c r="P123" s="83"/>
    </row>
    <row r="124" spans="4:16" ht="15.75" customHeight="1">
      <c r="D124" s="82"/>
      <c r="E124" s="82"/>
      <c r="F124" s="82"/>
      <c r="G124" s="82"/>
      <c r="H124" s="82"/>
      <c r="P124" s="83"/>
    </row>
    <row r="125" spans="4:16" ht="15.75" customHeight="1">
      <c r="D125" s="82"/>
      <c r="E125" s="82"/>
      <c r="F125" s="82"/>
      <c r="G125" s="82"/>
      <c r="H125" s="82"/>
      <c r="P125" s="83"/>
    </row>
    <row r="126" spans="4:16" ht="15.75" customHeight="1">
      <c r="D126" s="82"/>
      <c r="E126" s="82"/>
      <c r="F126" s="82"/>
      <c r="G126" s="82"/>
      <c r="H126" s="82"/>
      <c r="P126" s="83"/>
    </row>
    <row r="127" spans="4:16" ht="15.75" customHeight="1">
      <c r="D127" s="82"/>
      <c r="E127" s="82"/>
      <c r="F127" s="82"/>
      <c r="G127" s="82"/>
      <c r="H127" s="82"/>
      <c r="P127" s="83"/>
    </row>
    <row r="128" spans="4:16" ht="15.75" customHeight="1">
      <c r="D128" s="82"/>
      <c r="E128" s="82"/>
      <c r="F128" s="82"/>
      <c r="G128" s="82"/>
      <c r="H128" s="82"/>
      <c r="P128" s="83"/>
    </row>
    <row r="129" spans="4:16" ht="15.75" customHeight="1">
      <c r="D129" s="82"/>
      <c r="E129" s="82"/>
      <c r="F129" s="82"/>
      <c r="G129" s="82"/>
      <c r="H129" s="82"/>
      <c r="P129" s="83"/>
    </row>
    <row r="130" spans="4:16" ht="15.75" customHeight="1">
      <c r="D130" s="82"/>
      <c r="E130" s="82"/>
      <c r="F130" s="82"/>
      <c r="G130" s="82"/>
      <c r="H130" s="82"/>
      <c r="P130" s="83"/>
    </row>
    <row r="131" spans="4:16" ht="15.75" customHeight="1">
      <c r="D131" s="82"/>
      <c r="E131" s="82"/>
      <c r="F131" s="82"/>
      <c r="G131" s="82"/>
      <c r="H131" s="82"/>
      <c r="P131" s="83"/>
    </row>
    <row r="132" spans="4:16" ht="15.75" customHeight="1">
      <c r="D132" s="82"/>
      <c r="E132" s="82"/>
      <c r="F132" s="82"/>
      <c r="G132" s="82"/>
      <c r="H132" s="82"/>
      <c r="P132" s="83"/>
    </row>
    <row r="133" spans="4:16" ht="15.75" customHeight="1">
      <c r="D133" s="82"/>
      <c r="E133" s="82"/>
      <c r="F133" s="82"/>
      <c r="G133" s="82"/>
      <c r="H133" s="82"/>
      <c r="P133" s="83"/>
    </row>
    <row r="134" spans="4:16" ht="15.75" customHeight="1">
      <c r="D134" s="82"/>
      <c r="E134" s="82"/>
      <c r="F134" s="82"/>
      <c r="G134" s="82"/>
      <c r="H134" s="82"/>
      <c r="P134" s="83"/>
    </row>
    <row r="135" spans="4:16" ht="15.75" customHeight="1">
      <c r="D135" s="82"/>
      <c r="E135" s="82"/>
      <c r="F135" s="82"/>
      <c r="G135" s="82"/>
      <c r="H135" s="82"/>
      <c r="P135" s="83"/>
    </row>
    <row r="136" spans="4:16" ht="15.75" customHeight="1">
      <c r="D136" s="82"/>
      <c r="E136" s="82"/>
      <c r="F136" s="82"/>
      <c r="G136" s="82"/>
      <c r="H136" s="82"/>
      <c r="P136" s="83"/>
    </row>
    <row r="137" spans="4:16" ht="15.75" customHeight="1">
      <c r="D137" s="82"/>
      <c r="E137" s="82"/>
      <c r="F137" s="82"/>
      <c r="G137" s="82"/>
      <c r="H137" s="82"/>
      <c r="P137" s="83"/>
    </row>
    <row r="138" spans="4:16" ht="15.75" customHeight="1">
      <c r="D138" s="82"/>
      <c r="E138" s="82"/>
      <c r="F138" s="82"/>
      <c r="G138" s="82"/>
      <c r="H138" s="82"/>
      <c r="P138" s="83"/>
    </row>
    <row r="139" spans="4:16" ht="15.75" customHeight="1">
      <c r="D139" s="82"/>
      <c r="E139" s="82"/>
      <c r="F139" s="82"/>
      <c r="G139" s="82"/>
      <c r="H139" s="82"/>
      <c r="P139" s="83"/>
    </row>
    <row r="140" spans="4:16" ht="15.75" customHeight="1">
      <c r="D140" s="82"/>
      <c r="E140" s="82"/>
      <c r="F140" s="82"/>
      <c r="G140" s="82"/>
      <c r="H140" s="82"/>
      <c r="P140" s="83"/>
    </row>
    <row r="141" spans="4:16" ht="15.75" customHeight="1">
      <c r="D141" s="82"/>
      <c r="E141" s="82"/>
      <c r="F141" s="82"/>
      <c r="G141" s="82"/>
      <c r="H141" s="82"/>
      <c r="P141" s="83"/>
    </row>
    <row r="142" spans="4:16" ht="15.75" customHeight="1">
      <c r="D142" s="82"/>
      <c r="E142" s="82"/>
      <c r="F142" s="82"/>
      <c r="G142" s="82"/>
      <c r="H142" s="82"/>
      <c r="P142" s="83"/>
    </row>
    <row r="143" spans="4:16" ht="15.75" customHeight="1">
      <c r="D143" s="82"/>
      <c r="E143" s="82"/>
      <c r="F143" s="82"/>
      <c r="G143" s="82"/>
      <c r="H143" s="82"/>
      <c r="P143" s="83"/>
    </row>
    <row r="144" spans="4:16" ht="15.75" customHeight="1">
      <c r="D144" s="82"/>
      <c r="E144" s="82"/>
      <c r="F144" s="82"/>
      <c r="G144" s="82"/>
      <c r="H144" s="82"/>
      <c r="P144" s="83"/>
    </row>
    <row r="145" spans="4:16" ht="15.75" customHeight="1">
      <c r="D145" s="82"/>
      <c r="E145" s="82"/>
      <c r="F145" s="82"/>
      <c r="G145" s="82"/>
      <c r="H145" s="82"/>
      <c r="P145" s="83"/>
    </row>
    <row r="146" spans="4:16" ht="15.75" customHeight="1">
      <c r="D146" s="82"/>
      <c r="E146" s="82"/>
      <c r="F146" s="82"/>
      <c r="G146" s="82"/>
      <c r="H146" s="82"/>
      <c r="P146" s="83"/>
    </row>
    <row r="147" spans="4:16" ht="15.75" customHeight="1">
      <c r="D147" s="82"/>
      <c r="E147" s="82"/>
      <c r="F147" s="82"/>
      <c r="G147" s="82"/>
      <c r="H147" s="82"/>
      <c r="P147" s="83"/>
    </row>
    <row r="148" spans="4:16" ht="15.75" customHeight="1">
      <c r="D148" s="82"/>
      <c r="E148" s="82"/>
      <c r="F148" s="82"/>
      <c r="G148" s="82"/>
      <c r="H148" s="82"/>
      <c r="P148" s="83"/>
    </row>
    <row r="149" spans="4:16" ht="15.75" customHeight="1">
      <c r="D149" s="82"/>
      <c r="E149" s="82"/>
      <c r="F149" s="82"/>
      <c r="G149" s="82"/>
      <c r="H149" s="82"/>
      <c r="P149" s="83"/>
    </row>
    <row r="150" spans="4:16" ht="15.75" customHeight="1">
      <c r="D150" s="82"/>
      <c r="E150" s="82"/>
      <c r="F150" s="82"/>
      <c r="G150" s="82"/>
      <c r="H150" s="82"/>
      <c r="P150" s="83"/>
    </row>
    <row r="151" spans="4:16" ht="15.75" customHeight="1">
      <c r="D151" s="82"/>
      <c r="E151" s="82"/>
      <c r="F151" s="82"/>
      <c r="G151" s="82"/>
      <c r="H151" s="82"/>
      <c r="P151" s="83"/>
    </row>
    <row r="152" spans="4:16" ht="15.75" customHeight="1">
      <c r="D152" s="82"/>
      <c r="E152" s="82"/>
      <c r="F152" s="82"/>
      <c r="G152" s="82"/>
      <c r="H152" s="82"/>
      <c r="P152" s="83"/>
    </row>
    <row r="153" spans="4:16" ht="15.75" customHeight="1">
      <c r="D153" s="82"/>
      <c r="E153" s="82"/>
      <c r="F153" s="82"/>
      <c r="G153" s="82"/>
      <c r="H153" s="82"/>
      <c r="P153" s="83"/>
    </row>
    <row r="154" spans="4:16" ht="15.75" customHeight="1">
      <c r="D154" s="82"/>
      <c r="E154" s="82"/>
      <c r="F154" s="82"/>
      <c r="G154" s="82"/>
      <c r="H154" s="82"/>
      <c r="P154" s="83"/>
    </row>
    <row r="155" spans="4:16" ht="15.75" customHeight="1">
      <c r="D155" s="82"/>
      <c r="E155" s="82"/>
      <c r="F155" s="82"/>
      <c r="G155" s="82"/>
      <c r="H155" s="82"/>
      <c r="P155" s="83"/>
    </row>
    <row r="156" spans="4:16" ht="15.75" customHeight="1">
      <c r="D156" s="82"/>
      <c r="E156" s="82"/>
      <c r="F156" s="82"/>
      <c r="G156" s="82"/>
      <c r="H156" s="82"/>
      <c r="P156" s="83"/>
    </row>
    <row r="157" spans="4:16" ht="15.75" customHeight="1">
      <c r="D157" s="82"/>
      <c r="E157" s="82"/>
      <c r="F157" s="82"/>
      <c r="G157" s="82"/>
      <c r="H157" s="82"/>
      <c r="P157" s="83"/>
    </row>
    <row r="158" spans="4:16" ht="15.75" customHeight="1">
      <c r="D158" s="82"/>
      <c r="E158" s="82"/>
      <c r="F158" s="82"/>
      <c r="G158" s="82"/>
      <c r="H158" s="82"/>
      <c r="P158" s="83"/>
    </row>
    <row r="159" spans="4:16" ht="15.75" customHeight="1">
      <c r="D159" s="82"/>
      <c r="E159" s="82"/>
      <c r="F159" s="82"/>
      <c r="G159" s="82"/>
      <c r="H159" s="82"/>
      <c r="P159" s="83"/>
    </row>
    <row r="160" spans="4:16" ht="15.75" customHeight="1">
      <c r="D160" s="82"/>
      <c r="E160" s="82"/>
      <c r="F160" s="82"/>
      <c r="G160" s="82"/>
      <c r="H160" s="82"/>
      <c r="P160" s="83"/>
    </row>
    <row r="161" spans="4:16" ht="15.75" customHeight="1">
      <c r="D161" s="82"/>
      <c r="E161" s="82"/>
      <c r="F161" s="82"/>
      <c r="G161" s="82"/>
      <c r="H161" s="82"/>
      <c r="P161" s="83"/>
    </row>
    <row r="162" spans="4:16" ht="15.75" customHeight="1">
      <c r="D162" s="82"/>
      <c r="E162" s="82"/>
      <c r="F162" s="82"/>
      <c r="G162" s="82"/>
      <c r="H162" s="82"/>
      <c r="P162" s="83"/>
    </row>
    <row r="163" spans="4:16" ht="15.75" customHeight="1">
      <c r="D163" s="82"/>
      <c r="E163" s="82"/>
      <c r="F163" s="82"/>
      <c r="G163" s="82"/>
      <c r="H163" s="82"/>
      <c r="P163" s="83"/>
    </row>
    <row r="164" spans="4:16" ht="15.75" customHeight="1">
      <c r="D164" s="82"/>
      <c r="E164" s="82"/>
      <c r="F164" s="82"/>
      <c r="G164" s="82"/>
      <c r="H164" s="82"/>
      <c r="P164" s="83"/>
    </row>
    <row r="165" spans="4:16" ht="15.75" customHeight="1">
      <c r="D165" s="82"/>
      <c r="E165" s="82"/>
      <c r="F165" s="82"/>
      <c r="G165" s="82"/>
      <c r="H165" s="82"/>
      <c r="P165" s="83"/>
    </row>
    <row r="166" spans="4:16" ht="15.75" customHeight="1">
      <c r="D166" s="82"/>
      <c r="E166" s="82"/>
      <c r="F166" s="82"/>
      <c r="G166" s="82"/>
      <c r="H166" s="82"/>
      <c r="P166" s="83"/>
    </row>
    <row r="167" spans="4:16" ht="15.75" customHeight="1">
      <c r="D167" s="82"/>
      <c r="E167" s="82"/>
      <c r="F167" s="82"/>
      <c r="G167" s="82"/>
      <c r="H167" s="82"/>
      <c r="P167" s="83"/>
    </row>
    <row r="168" spans="4:16" ht="15.75" customHeight="1">
      <c r="D168" s="82"/>
      <c r="E168" s="82"/>
      <c r="F168" s="82"/>
      <c r="G168" s="82"/>
      <c r="H168" s="82"/>
      <c r="P168" s="83"/>
    </row>
    <row r="169" spans="4:16" ht="15.75" customHeight="1">
      <c r="D169" s="82"/>
      <c r="E169" s="82"/>
      <c r="F169" s="82"/>
      <c r="G169" s="82"/>
      <c r="H169" s="82"/>
      <c r="P169" s="83"/>
    </row>
    <row r="170" spans="4:16" ht="15.75" customHeight="1">
      <c r="D170" s="82"/>
      <c r="E170" s="82"/>
      <c r="F170" s="82"/>
      <c r="G170" s="82"/>
      <c r="H170" s="82"/>
      <c r="P170" s="83"/>
    </row>
    <row r="171" spans="4:16" ht="15.75" customHeight="1">
      <c r="D171" s="82"/>
      <c r="E171" s="82"/>
      <c r="F171" s="82"/>
      <c r="G171" s="82"/>
      <c r="H171" s="82"/>
      <c r="P171" s="83"/>
    </row>
    <row r="172" spans="4:16" ht="15.75" customHeight="1">
      <c r="D172" s="82"/>
      <c r="E172" s="82"/>
      <c r="F172" s="82"/>
      <c r="G172" s="82"/>
      <c r="H172" s="82"/>
      <c r="P172" s="83"/>
    </row>
    <row r="173" spans="4:16" ht="15.75" customHeight="1">
      <c r="D173" s="82"/>
      <c r="E173" s="82"/>
      <c r="F173" s="82"/>
      <c r="G173" s="82"/>
      <c r="H173" s="82"/>
      <c r="P173" s="83"/>
    </row>
    <row r="174" spans="4:16" ht="15.75" customHeight="1">
      <c r="D174" s="82"/>
      <c r="E174" s="82"/>
      <c r="F174" s="82"/>
      <c r="G174" s="82"/>
      <c r="H174" s="82"/>
      <c r="P174" s="83"/>
    </row>
    <row r="175" spans="4:16" ht="15.75" customHeight="1">
      <c r="D175" s="82"/>
      <c r="E175" s="82"/>
      <c r="F175" s="82"/>
      <c r="G175" s="82"/>
      <c r="H175" s="82"/>
      <c r="P175" s="83"/>
    </row>
    <row r="176" spans="4:16" ht="15.75" customHeight="1">
      <c r="D176" s="82"/>
      <c r="E176" s="82"/>
      <c r="F176" s="82"/>
      <c r="G176" s="82"/>
      <c r="H176" s="82"/>
      <c r="P176" s="83"/>
    </row>
    <row r="177" spans="4:16" ht="15.75" customHeight="1">
      <c r="D177" s="82"/>
      <c r="E177" s="82"/>
      <c r="F177" s="82"/>
      <c r="G177" s="82"/>
      <c r="H177" s="82"/>
      <c r="P177" s="83"/>
    </row>
    <row r="178" spans="4:16" ht="15.75" customHeight="1">
      <c r="D178" s="82"/>
      <c r="E178" s="82"/>
      <c r="F178" s="82"/>
      <c r="G178" s="82"/>
      <c r="H178" s="82"/>
      <c r="P178" s="83"/>
    </row>
    <row r="179" spans="4:16" ht="15.75" customHeight="1">
      <c r="D179" s="82"/>
      <c r="E179" s="82"/>
      <c r="F179" s="82"/>
      <c r="G179" s="82"/>
      <c r="H179" s="82"/>
      <c r="P179" s="83"/>
    </row>
    <row r="180" spans="4:16" ht="15.75" customHeight="1">
      <c r="D180" s="82"/>
      <c r="E180" s="82"/>
      <c r="F180" s="82"/>
      <c r="G180" s="82"/>
      <c r="H180" s="82"/>
      <c r="P180" s="83"/>
    </row>
    <row r="181" spans="4:16" ht="15.75" customHeight="1">
      <c r="D181" s="82"/>
      <c r="E181" s="82"/>
      <c r="F181" s="82"/>
      <c r="G181" s="82"/>
      <c r="H181" s="82"/>
      <c r="P181" s="83"/>
    </row>
    <row r="182" spans="4:16" ht="15.75" customHeight="1">
      <c r="D182" s="82"/>
      <c r="E182" s="82"/>
      <c r="F182" s="82"/>
      <c r="G182" s="82"/>
      <c r="H182" s="82"/>
      <c r="P182" s="83"/>
    </row>
    <row r="183" spans="4:16" ht="15.75" customHeight="1">
      <c r="D183" s="82"/>
      <c r="E183" s="82"/>
      <c r="F183" s="82"/>
      <c r="G183" s="82"/>
      <c r="H183" s="82"/>
      <c r="P183" s="83"/>
    </row>
    <row r="184" spans="4:16" ht="15.75" customHeight="1">
      <c r="D184" s="82"/>
      <c r="E184" s="82"/>
      <c r="F184" s="82"/>
      <c r="G184" s="82"/>
      <c r="H184" s="82"/>
      <c r="P184" s="83"/>
    </row>
    <row r="185" spans="4:16" ht="15.75" customHeight="1">
      <c r="D185" s="82"/>
      <c r="E185" s="82"/>
      <c r="F185" s="82"/>
      <c r="G185" s="82"/>
      <c r="H185" s="82"/>
      <c r="P185" s="83"/>
    </row>
    <row r="186" spans="4:16" ht="15.75" customHeight="1">
      <c r="D186" s="82"/>
      <c r="E186" s="82"/>
      <c r="F186" s="82"/>
      <c r="G186" s="82"/>
      <c r="H186" s="82"/>
      <c r="P186" s="83"/>
    </row>
    <row r="187" spans="4:16" ht="15.75" customHeight="1">
      <c r="D187" s="82"/>
      <c r="E187" s="82"/>
      <c r="F187" s="82"/>
      <c r="G187" s="82"/>
      <c r="H187" s="82"/>
      <c r="P187" s="83"/>
    </row>
    <row r="188" spans="4:16" ht="15.75" customHeight="1">
      <c r="D188" s="82"/>
      <c r="E188" s="82"/>
      <c r="F188" s="82"/>
      <c r="G188" s="82"/>
      <c r="H188" s="82"/>
      <c r="P188" s="83"/>
    </row>
    <row r="189" spans="4:16" ht="15.75" customHeight="1">
      <c r="D189" s="82"/>
      <c r="E189" s="82"/>
      <c r="F189" s="82"/>
      <c r="G189" s="82"/>
      <c r="H189" s="82"/>
      <c r="P189" s="83"/>
    </row>
    <row r="190" spans="4:16" ht="15.75" customHeight="1">
      <c r="D190" s="82"/>
      <c r="E190" s="82"/>
      <c r="F190" s="82"/>
      <c r="G190" s="82"/>
      <c r="H190" s="82"/>
      <c r="P190" s="83"/>
    </row>
    <row r="191" spans="4:16" ht="15.75" customHeight="1">
      <c r="D191" s="82"/>
      <c r="E191" s="82"/>
      <c r="F191" s="82"/>
      <c r="G191" s="82"/>
      <c r="H191" s="82"/>
      <c r="P191" s="83"/>
    </row>
    <row r="192" spans="4:16" ht="15.75" customHeight="1">
      <c r="D192" s="82"/>
      <c r="E192" s="82"/>
      <c r="F192" s="82"/>
      <c r="G192" s="82"/>
      <c r="H192" s="82"/>
      <c r="P192" s="83"/>
    </row>
    <row r="193" spans="4:16" ht="15.75" customHeight="1">
      <c r="D193" s="82"/>
      <c r="E193" s="82"/>
      <c r="F193" s="82"/>
      <c r="G193" s="82"/>
      <c r="H193" s="82"/>
      <c r="P193" s="83"/>
    </row>
    <row r="194" spans="4:16" ht="15.75" customHeight="1">
      <c r="D194" s="82"/>
      <c r="E194" s="82"/>
      <c r="F194" s="82"/>
      <c r="G194" s="82"/>
      <c r="H194" s="82"/>
      <c r="P194" s="83"/>
    </row>
    <row r="195" spans="4:16" ht="15.75" customHeight="1">
      <c r="D195" s="82"/>
      <c r="E195" s="82"/>
      <c r="F195" s="82"/>
      <c r="G195" s="82"/>
      <c r="H195" s="82"/>
      <c r="P195" s="83"/>
    </row>
    <row r="196" spans="4:16" ht="15.75" customHeight="1">
      <c r="D196" s="82"/>
      <c r="E196" s="82"/>
      <c r="F196" s="82"/>
      <c r="G196" s="82"/>
      <c r="H196" s="82"/>
      <c r="P196" s="83"/>
    </row>
    <row r="197" spans="4:16" ht="15.75" customHeight="1">
      <c r="D197" s="82"/>
      <c r="E197" s="82"/>
      <c r="F197" s="82"/>
      <c r="G197" s="82"/>
      <c r="H197" s="82"/>
      <c r="P197" s="83"/>
    </row>
    <row r="198" spans="4:16" ht="15.75" customHeight="1">
      <c r="D198" s="82"/>
      <c r="E198" s="82"/>
      <c r="F198" s="82"/>
      <c r="G198" s="82"/>
      <c r="H198" s="82"/>
      <c r="P198" s="83"/>
    </row>
    <row r="199" spans="4:16" ht="15.75" customHeight="1">
      <c r="D199" s="82"/>
      <c r="E199" s="82"/>
      <c r="F199" s="82"/>
      <c r="G199" s="82"/>
      <c r="H199" s="82"/>
      <c r="P199" s="83"/>
    </row>
    <row r="200" spans="4:16" ht="15.75" customHeight="1">
      <c r="D200" s="82"/>
      <c r="E200" s="82"/>
      <c r="F200" s="82"/>
      <c r="G200" s="82"/>
      <c r="H200" s="82"/>
      <c r="P200" s="83"/>
    </row>
    <row r="201" spans="4:16" ht="15.75" customHeight="1">
      <c r="D201" s="82"/>
      <c r="E201" s="82"/>
      <c r="F201" s="82"/>
      <c r="G201" s="82"/>
      <c r="H201" s="82"/>
      <c r="P201" s="83"/>
    </row>
    <row r="202" spans="4:16" ht="15.75" customHeight="1">
      <c r="D202" s="82"/>
      <c r="E202" s="82"/>
      <c r="F202" s="82"/>
      <c r="G202" s="82"/>
      <c r="H202" s="82"/>
      <c r="P202" s="83"/>
    </row>
    <row r="203" spans="4:16" ht="15.75" customHeight="1">
      <c r="D203" s="82"/>
      <c r="E203" s="82"/>
      <c r="F203" s="82"/>
      <c r="G203" s="82"/>
      <c r="H203" s="82"/>
      <c r="P203" s="83"/>
    </row>
    <row r="204" spans="4:16" ht="15.75" customHeight="1">
      <c r="D204" s="82"/>
      <c r="E204" s="82"/>
      <c r="F204" s="82"/>
      <c r="G204" s="82"/>
      <c r="H204" s="82"/>
      <c r="P204" s="83"/>
    </row>
    <row r="205" spans="4:16" ht="15.75" customHeight="1">
      <c r="D205" s="82"/>
      <c r="E205" s="82"/>
      <c r="F205" s="82"/>
      <c r="G205" s="82"/>
      <c r="H205" s="82"/>
      <c r="P205" s="83"/>
    </row>
    <row r="206" spans="4:16" ht="15.75" customHeight="1">
      <c r="D206" s="82"/>
      <c r="E206" s="82"/>
      <c r="F206" s="82"/>
      <c r="G206" s="82"/>
      <c r="H206" s="82"/>
      <c r="P206" s="83"/>
    </row>
    <row r="207" spans="4:16" ht="15.75" customHeight="1">
      <c r="D207" s="82"/>
      <c r="E207" s="82"/>
      <c r="F207" s="82"/>
      <c r="G207" s="82"/>
      <c r="H207" s="82"/>
      <c r="P207" s="83"/>
    </row>
    <row r="208" spans="4:16" ht="15.75" customHeight="1">
      <c r="D208" s="82"/>
      <c r="E208" s="82"/>
      <c r="F208" s="82"/>
      <c r="G208" s="82"/>
      <c r="H208" s="82"/>
      <c r="P208" s="83"/>
    </row>
    <row r="209" spans="4:16" ht="15.75" customHeight="1">
      <c r="D209" s="82"/>
      <c r="E209" s="82"/>
      <c r="F209" s="82"/>
      <c r="G209" s="82"/>
      <c r="H209" s="82"/>
      <c r="P209" s="83"/>
    </row>
    <row r="210" spans="4:16" ht="15.75" customHeight="1">
      <c r="D210" s="82"/>
      <c r="E210" s="82"/>
      <c r="F210" s="82"/>
      <c r="G210" s="82"/>
      <c r="H210" s="82"/>
      <c r="P210" s="83"/>
    </row>
    <row r="211" spans="4:16" ht="15.75" customHeight="1">
      <c r="D211" s="82"/>
      <c r="E211" s="82"/>
      <c r="F211" s="82"/>
      <c r="G211" s="82"/>
      <c r="H211" s="82"/>
      <c r="P211" s="83"/>
    </row>
    <row r="212" spans="4:16" ht="15.75" customHeight="1">
      <c r="D212" s="82"/>
      <c r="E212" s="82"/>
      <c r="F212" s="82"/>
      <c r="G212" s="82"/>
      <c r="H212" s="82"/>
      <c r="P212" s="83"/>
    </row>
    <row r="213" spans="4:16" ht="15.75" customHeight="1">
      <c r="D213" s="82"/>
      <c r="E213" s="82"/>
      <c r="F213" s="82"/>
      <c r="G213" s="82"/>
      <c r="H213" s="82"/>
      <c r="P213" s="83"/>
    </row>
    <row r="214" spans="4:16" ht="15.75" customHeight="1">
      <c r="D214" s="82"/>
      <c r="E214" s="82"/>
      <c r="F214" s="82"/>
      <c r="G214" s="82"/>
      <c r="H214" s="82"/>
      <c r="P214" s="83"/>
    </row>
    <row r="215" spans="4:16" ht="15.75" customHeight="1">
      <c r="D215" s="82"/>
      <c r="E215" s="82"/>
      <c r="F215" s="82"/>
      <c r="G215" s="82"/>
      <c r="H215" s="82"/>
      <c r="P215" s="83"/>
    </row>
    <row r="216" spans="4:16" ht="15.75" customHeight="1">
      <c r="D216" s="82"/>
      <c r="E216" s="82"/>
      <c r="F216" s="82"/>
      <c r="G216" s="82"/>
      <c r="H216" s="82"/>
      <c r="P216" s="83"/>
    </row>
    <row r="217" spans="4:16" ht="15.75" customHeight="1">
      <c r="D217" s="82"/>
      <c r="E217" s="82"/>
      <c r="F217" s="82"/>
      <c r="G217" s="82"/>
      <c r="H217" s="82"/>
      <c r="P217" s="83"/>
    </row>
    <row r="218" spans="4:16" ht="15.75" customHeight="1">
      <c r="D218" s="82"/>
      <c r="E218" s="82"/>
      <c r="F218" s="82"/>
      <c r="G218" s="82"/>
      <c r="H218" s="82"/>
      <c r="P218" s="83"/>
    </row>
    <row r="219" spans="4:16" ht="15.75" customHeight="1">
      <c r="D219" s="82"/>
      <c r="E219" s="82"/>
      <c r="F219" s="82"/>
      <c r="G219" s="82"/>
      <c r="H219" s="82"/>
      <c r="P219" s="83"/>
    </row>
    <row r="220" spans="4:16" ht="15.75" customHeight="1">
      <c r="D220" s="82"/>
      <c r="E220" s="82"/>
      <c r="F220" s="82"/>
      <c r="G220" s="82"/>
      <c r="H220" s="82"/>
      <c r="P220" s="83"/>
    </row>
    <row r="221" spans="4:16" ht="15.75" customHeight="1">
      <c r="D221" s="82"/>
      <c r="E221" s="82"/>
      <c r="F221" s="82"/>
      <c r="G221" s="82"/>
      <c r="H221" s="82"/>
      <c r="P221" s="83"/>
    </row>
    <row r="222" spans="4:16" ht="15.75" customHeight="1">
      <c r="D222" s="82"/>
      <c r="E222" s="82"/>
      <c r="F222" s="82"/>
      <c r="G222" s="82"/>
      <c r="H222" s="82"/>
      <c r="P222" s="83"/>
    </row>
    <row r="223" spans="4:16" ht="15.75" customHeight="1">
      <c r="D223" s="82"/>
      <c r="E223" s="82"/>
      <c r="F223" s="82"/>
      <c r="G223" s="82"/>
      <c r="H223" s="82"/>
      <c r="P223" s="83"/>
    </row>
    <row r="224" spans="4:16" ht="15.75" customHeight="1">
      <c r="D224" s="82"/>
      <c r="E224" s="82"/>
      <c r="F224" s="82"/>
      <c r="G224" s="82"/>
      <c r="H224" s="82"/>
      <c r="P224" s="83"/>
    </row>
    <row r="225" spans="4:16" ht="15.75" customHeight="1">
      <c r="D225" s="82"/>
      <c r="E225" s="82"/>
      <c r="F225" s="82"/>
      <c r="G225" s="82"/>
      <c r="H225" s="82"/>
      <c r="P225" s="83"/>
    </row>
    <row r="226" spans="4:16" ht="15.75" customHeight="1">
      <c r="D226" s="82"/>
      <c r="E226" s="82"/>
      <c r="F226" s="82"/>
      <c r="G226" s="82"/>
      <c r="H226" s="82"/>
      <c r="P226" s="83"/>
    </row>
    <row r="227" spans="4:16" ht="15.75" customHeight="1">
      <c r="D227" s="82"/>
      <c r="E227" s="82"/>
      <c r="F227" s="82"/>
      <c r="G227" s="82"/>
      <c r="H227" s="82"/>
      <c r="P227" s="83"/>
    </row>
    <row r="228" spans="4:16" ht="15.75" customHeight="1">
      <c r="D228" s="82"/>
      <c r="E228" s="82"/>
      <c r="F228" s="82"/>
      <c r="G228" s="82"/>
      <c r="H228" s="82"/>
      <c r="P228" s="83"/>
    </row>
    <row r="229" spans="4:16" ht="15.75" customHeight="1">
      <c r="D229" s="82"/>
      <c r="E229" s="82"/>
      <c r="F229" s="82"/>
      <c r="G229" s="82"/>
      <c r="H229" s="82"/>
      <c r="P229" s="83"/>
    </row>
    <row r="230" spans="4:16" ht="15.75" customHeight="1">
      <c r="D230" s="82"/>
      <c r="E230" s="82"/>
      <c r="F230" s="82"/>
      <c r="G230" s="82"/>
      <c r="H230" s="82"/>
      <c r="P230" s="83"/>
    </row>
    <row r="231" spans="4:16" ht="15.75" customHeight="1">
      <c r="D231" s="82"/>
      <c r="E231" s="82"/>
      <c r="F231" s="82"/>
      <c r="G231" s="82"/>
      <c r="H231" s="82"/>
      <c r="P231" s="83"/>
    </row>
    <row r="232" spans="4:16" ht="15.75" customHeight="1">
      <c r="D232" s="82"/>
      <c r="E232" s="82"/>
      <c r="F232" s="82"/>
      <c r="G232" s="82"/>
      <c r="H232" s="82"/>
      <c r="P232" s="83"/>
    </row>
    <row r="233" spans="4:16" ht="15.75" customHeight="1">
      <c r="D233" s="82"/>
      <c r="E233" s="82"/>
      <c r="F233" s="82"/>
      <c r="G233" s="82"/>
      <c r="H233" s="82"/>
      <c r="P233" s="83"/>
    </row>
    <row r="234" spans="4:16" ht="15.75" customHeight="1">
      <c r="D234" s="82"/>
      <c r="E234" s="82"/>
      <c r="F234" s="82"/>
      <c r="G234" s="82"/>
      <c r="H234" s="82"/>
      <c r="P234" s="83"/>
    </row>
    <row r="235" spans="4:16" ht="15.75" customHeight="1">
      <c r="D235" s="82"/>
      <c r="E235" s="82"/>
      <c r="F235" s="82"/>
      <c r="G235" s="82"/>
      <c r="H235" s="82"/>
      <c r="P235" s="83"/>
    </row>
    <row r="236" spans="4:16" ht="15.75" customHeight="1">
      <c r="D236" s="82"/>
      <c r="E236" s="82"/>
      <c r="F236" s="82"/>
      <c r="G236" s="82"/>
      <c r="H236" s="82"/>
      <c r="P236" s="83"/>
    </row>
    <row r="237" spans="4:16" ht="15.75" customHeight="1">
      <c r="D237" s="82"/>
      <c r="E237" s="82"/>
      <c r="F237" s="82"/>
      <c r="G237" s="82"/>
      <c r="H237" s="82"/>
      <c r="P237" s="83"/>
    </row>
    <row r="238" spans="4:16" ht="15.75" customHeight="1">
      <c r="D238" s="82"/>
      <c r="E238" s="82"/>
      <c r="F238" s="82"/>
      <c r="G238" s="82"/>
      <c r="H238" s="82"/>
      <c r="P238" s="83"/>
    </row>
    <row r="239" spans="4:16" ht="15.75" customHeight="1">
      <c r="D239" s="82"/>
      <c r="E239" s="82"/>
      <c r="F239" s="82"/>
      <c r="G239" s="82"/>
      <c r="H239" s="82"/>
      <c r="P239" s="83"/>
    </row>
    <row r="240" spans="4:16" ht="15.75" customHeight="1">
      <c r="D240" s="82"/>
      <c r="E240" s="82"/>
      <c r="F240" s="82"/>
      <c r="G240" s="82"/>
      <c r="H240" s="82"/>
      <c r="P240" s="83"/>
    </row>
    <row r="241" spans="4:16" ht="15.75" customHeight="1">
      <c r="D241" s="82"/>
      <c r="E241" s="82"/>
      <c r="F241" s="82"/>
      <c r="G241" s="82"/>
      <c r="H241" s="82"/>
      <c r="P241" s="83"/>
    </row>
    <row r="242" spans="4:16" ht="15.75" customHeight="1">
      <c r="D242" s="82"/>
      <c r="E242" s="82"/>
      <c r="F242" s="82"/>
      <c r="G242" s="82"/>
      <c r="H242" s="82"/>
      <c r="P242" s="83"/>
    </row>
    <row r="243" spans="4:16" ht="15.75" customHeight="1">
      <c r="D243" s="82"/>
      <c r="E243" s="82"/>
      <c r="F243" s="82"/>
      <c r="G243" s="82"/>
      <c r="H243" s="82"/>
      <c r="P243" s="83"/>
    </row>
    <row r="244" spans="4:16" ht="15.75" customHeight="1">
      <c r="D244" s="82"/>
      <c r="E244" s="82"/>
      <c r="F244" s="82"/>
      <c r="G244" s="82"/>
      <c r="H244" s="82"/>
      <c r="P244" s="83"/>
    </row>
    <row r="245" spans="4:16" ht="15.75" customHeight="1">
      <c r="D245" s="82"/>
      <c r="E245" s="82"/>
      <c r="F245" s="82"/>
      <c r="G245" s="82"/>
      <c r="H245" s="82"/>
      <c r="P245" s="83"/>
    </row>
    <row r="246" spans="4:16" ht="15.75" customHeight="1">
      <c r="D246" s="82"/>
      <c r="E246" s="82"/>
      <c r="F246" s="82"/>
      <c r="G246" s="82"/>
      <c r="H246" s="82"/>
      <c r="P246" s="83"/>
    </row>
    <row r="247" spans="4:16" ht="15.75" customHeight="1">
      <c r="D247" s="82"/>
      <c r="E247" s="82"/>
      <c r="F247" s="82"/>
      <c r="G247" s="82"/>
      <c r="H247" s="82"/>
      <c r="P247" s="83"/>
    </row>
    <row r="248" spans="4:16" ht="15.75" customHeight="1">
      <c r="D248" s="82"/>
      <c r="E248" s="82"/>
      <c r="F248" s="82"/>
      <c r="G248" s="82"/>
      <c r="H248" s="82"/>
      <c r="P248" s="83"/>
    </row>
    <row r="249" spans="4:16" ht="15.75" customHeight="1">
      <c r="D249" s="82"/>
      <c r="E249" s="82"/>
      <c r="F249" s="82"/>
      <c r="G249" s="82"/>
      <c r="H249" s="82"/>
      <c r="P249" s="83"/>
    </row>
    <row r="250" spans="4:16" ht="15.75" customHeight="1">
      <c r="D250" s="82"/>
      <c r="E250" s="82"/>
      <c r="F250" s="82"/>
      <c r="G250" s="82"/>
      <c r="H250" s="82"/>
      <c r="P250" s="83"/>
    </row>
    <row r="251" spans="4:16" ht="15.75" customHeight="1">
      <c r="D251" s="82"/>
      <c r="E251" s="82"/>
      <c r="F251" s="82"/>
      <c r="G251" s="82"/>
      <c r="H251" s="82"/>
      <c r="P251" s="83"/>
    </row>
    <row r="252" spans="4:16" ht="15.75" customHeight="1">
      <c r="P252" s="83"/>
    </row>
    <row r="253" spans="4:16" ht="15.75" customHeight="1">
      <c r="P253" s="83"/>
    </row>
    <row r="254" spans="4:16" ht="15.75" customHeight="1">
      <c r="P254" s="83"/>
    </row>
    <row r="255" spans="4:16" ht="15.75" customHeight="1">
      <c r="P255" s="83"/>
    </row>
    <row r="256" spans="4:16" ht="15.75" customHeight="1">
      <c r="P256" s="83"/>
    </row>
    <row r="257" spans="16:16" ht="15.75" customHeight="1">
      <c r="P257" s="83"/>
    </row>
    <row r="258" spans="16:16" ht="15.75" customHeight="1">
      <c r="P258" s="83"/>
    </row>
    <row r="259" spans="16:16" ht="15.75" customHeight="1">
      <c r="P259" s="83"/>
    </row>
    <row r="260" spans="16:16" ht="15.75" customHeight="1">
      <c r="P260" s="83"/>
    </row>
    <row r="261" spans="16:16" ht="15.75" customHeight="1">
      <c r="P261" s="83"/>
    </row>
    <row r="262" spans="16:16" ht="15.75" customHeight="1">
      <c r="P262" s="83"/>
    </row>
    <row r="263" spans="16:16" ht="15.75" customHeight="1">
      <c r="P263" s="83"/>
    </row>
    <row r="264" spans="16:16" ht="15.75" customHeight="1">
      <c r="P264" s="83"/>
    </row>
    <row r="265" spans="16:16" ht="15.75" customHeight="1">
      <c r="P265" s="83"/>
    </row>
    <row r="266" spans="16:16" ht="15.75" customHeight="1">
      <c r="P266" s="83"/>
    </row>
    <row r="267" spans="16:16" ht="15.75" customHeight="1">
      <c r="P267" s="83"/>
    </row>
    <row r="268" spans="16:16" ht="15.75" customHeight="1">
      <c r="P268" s="83"/>
    </row>
    <row r="269" spans="16:16" ht="15.75" customHeight="1">
      <c r="P269" s="83"/>
    </row>
    <row r="270" spans="16:16" ht="15.75" customHeight="1">
      <c r="P270" s="83"/>
    </row>
    <row r="271" spans="16:16" ht="15.75" customHeight="1">
      <c r="P271" s="83"/>
    </row>
    <row r="272" spans="16:16" ht="15.75" customHeight="1">
      <c r="P272" s="83"/>
    </row>
    <row r="273" spans="16:16" ht="15.75" customHeight="1">
      <c r="P273" s="83"/>
    </row>
    <row r="274" spans="16:16" ht="15.75" customHeight="1">
      <c r="P274" s="83"/>
    </row>
    <row r="275" spans="16:16" ht="15.75" customHeight="1">
      <c r="P275" s="83"/>
    </row>
    <row r="276" spans="16:16" ht="15.75" customHeight="1">
      <c r="P276" s="83"/>
    </row>
    <row r="277" spans="16:16" ht="15.75" customHeight="1">
      <c r="P277" s="83"/>
    </row>
    <row r="278" spans="16:16" ht="15.75" customHeight="1">
      <c r="P278" s="83"/>
    </row>
    <row r="279" spans="16:16" ht="15.75" customHeight="1">
      <c r="P279" s="83"/>
    </row>
    <row r="280" spans="16:16" ht="15.75" customHeight="1">
      <c r="P280" s="83"/>
    </row>
    <row r="281" spans="16:16" ht="15.75" customHeight="1">
      <c r="P281" s="83"/>
    </row>
    <row r="282" spans="16:16" ht="15.75" customHeight="1">
      <c r="P282" s="83"/>
    </row>
    <row r="283" spans="16:16" ht="15.75" customHeight="1">
      <c r="P283" s="83"/>
    </row>
    <row r="284" spans="16:16" ht="15.75" customHeight="1">
      <c r="P284" s="83"/>
    </row>
    <row r="285" spans="16:16" ht="15.75" customHeight="1">
      <c r="P285" s="83"/>
    </row>
    <row r="286" spans="16:16" ht="15.75" customHeight="1">
      <c r="P286" s="83"/>
    </row>
    <row r="287" spans="16:16" ht="15.75" customHeight="1">
      <c r="P287" s="83"/>
    </row>
    <row r="288" spans="16:16" ht="15.75" customHeight="1">
      <c r="P288" s="83"/>
    </row>
    <row r="289" spans="16:16" ht="15.75" customHeight="1">
      <c r="P289" s="83"/>
    </row>
    <row r="290" spans="16:16" ht="15.75" customHeight="1">
      <c r="P290" s="83"/>
    </row>
    <row r="291" spans="16:16" ht="15.75" customHeight="1">
      <c r="P291" s="83"/>
    </row>
    <row r="292" spans="16:16" ht="15.75" customHeight="1">
      <c r="P292" s="83"/>
    </row>
    <row r="293" spans="16:16" ht="15.75" customHeight="1">
      <c r="P293" s="83"/>
    </row>
    <row r="294" spans="16:16" ht="15.75" customHeight="1">
      <c r="P294" s="83"/>
    </row>
    <row r="295" spans="16:16" ht="15.75" customHeight="1">
      <c r="P295" s="83"/>
    </row>
    <row r="296" spans="16:16" ht="15.75" customHeight="1">
      <c r="P296" s="83"/>
    </row>
    <row r="297" spans="16:16" ht="15.75" customHeight="1">
      <c r="P297" s="83"/>
    </row>
    <row r="298" spans="16:16" ht="15.75" customHeight="1">
      <c r="P298" s="83"/>
    </row>
    <row r="299" spans="16:16" ht="15.75" customHeight="1">
      <c r="P299" s="83"/>
    </row>
    <row r="300" spans="16:16" ht="15.75" customHeight="1">
      <c r="P300" s="83"/>
    </row>
    <row r="301" spans="16:16" ht="15.75" customHeight="1">
      <c r="P301" s="83"/>
    </row>
    <row r="302" spans="16:16" ht="15.75" customHeight="1">
      <c r="P302" s="83"/>
    </row>
    <row r="303" spans="16:16" ht="15.75" customHeight="1">
      <c r="P303" s="83"/>
    </row>
    <row r="304" spans="16:16" ht="15.75" customHeight="1">
      <c r="P304" s="83"/>
    </row>
    <row r="305" spans="16:16" ht="15.75" customHeight="1">
      <c r="P305" s="83"/>
    </row>
    <row r="306" spans="16:16" ht="15.75" customHeight="1">
      <c r="P306" s="83"/>
    </row>
    <row r="307" spans="16:16" ht="15.75" customHeight="1">
      <c r="P307" s="83"/>
    </row>
    <row r="308" spans="16:16" ht="15.75" customHeight="1">
      <c r="P308" s="83"/>
    </row>
    <row r="309" spans="16:16" ht="15.75" customHeight="1">
      <c r="P309" s="83"/>
    </row>
    <row r="310" spans="16:16" ht="15.75" customHeight="1">
      <c r="P310" s="83"/>
    </row>
    <row r="311" spans="16:16" ht="15.75" customHeight="1">
      <c r="P311" s="83"/>
    </row>
    <row r="312" spans="16:16" ht="15.75" customHeight="1">
      <c r="P312" s="83"/>
    </row>
    <row r="313" spans="16:16" ht="15.75" customHeight="1">
      <c r="P313" s="83"/>
    </row>
    <row r="314" spans="16:16" ht="15.75" customHeight="1">
      <c r="P314" s="83"/>
    </row>
    <row r="315" spans="16:16" ht="15.75" customHeight="1">
      <c r="P315" s="83"/>
    </row>
    <row r="316" spans="16:16" ht="15.75" customHeight="1">
      <c r="P316" s="83"/>
    </row>
    <row r="317" spans="16:16" ht="15.75" customHeight="1">
      <c r="P317" s="83"/>
    </row>
    <row r="318" spans="16:16" ht="15.75" customHeight="1">
      <c r="P318" s="83"/>
    </row>
    <row r="319" spans="16:16" ht="15.75" customHeight="1">
      <c r="P319" s="83"/>
    </row>
    <row r="320" spans="16:16" ht="15.75" customHeight="1">
      <c r="P320" s="83"/>
    </row>
    <row r="321" spans="16:16" ht="15.75" customHeight="1">
      <c r="P321" s="83"/>
    </row>
    <row r="322" spans="16:16" ht="15.75" customHeight="1">
      <c r="P322" s="83"/>
    </row>
    <row r="323" spans="16:16" ht="15.75" customHeight="1">
      <c r="P323" s="83"/>
    </row>
    <row r="324" spans="16:16" ht="15.75" customHeight="1">
      <c r="P324" s="83"/>
    </row>
    <row r="325" spans="16:16" ht="15.75" customHeight="1">
      <c r="P325" s="83"/>
    </row>
    <row r="326" spans="16:16" ht="15.75" customHeight="1">
      <c r="P326" s="83"/>
    </row>
    <row r="327" spans="16:16" ht="15.75" customHeight="1">
      <c r="P327" s="83"/>
    </row>
    <row r="328" spans="16:16" ht="15.75" customHeight="1">
      <c r="P328" s="83"/>
    </row>
    <row r="329" spans="16:16" ht="15.75" customHeight="1">
      <c r="P329" s="83"/>
    </row>
    <row r="330" spans="16:16" ht="15.75" customHeight="1">
      <c r="P330" s="83"/>
    </row>
    <row r="331" spans="16:16" ht="15.75" customHeight="1">
      <c r="P331" s="83"/>
    </row>
    <row r="332" spans="16:16" ht="15.75" customHeight="1">
      <c r="P332" s="83"/>
    </row>
    <row r="333" spans="16:16" ht="15.75" customHeight="1">
      <c r="P333" s="83"/>
    </row>
    <row r="334" spans="16:16" ht="15.75" customHeight="1">
      <c r="P334" s="83"/>
    </row>
    <row r="335" spans="16:16" ht="15.75" customHeight="1">
      <c r="P335" s="83"/>
    </row>
    <row r="336" spans="16:16" ht="15.75" customHeight="1">
      <c r="P336" s="83"/>
    </row>
    <row r="337" spans="16:16" ht="15.75" customHeight="1">
      <c r="P337" s="83"/>
    </row>
    <row r="338" spans="16:16" ht="15.75" customHeight="1">
      <c r="P338" s="83"/>
    </row>
    <row r="339" spans="16:16" ht="15.75" customHeight="1">
      <c r="P339" s="83"/>
    </row>
    <row r="340" spans="16:16" ht="15.75" customHeight="1">
      <c r="P340" s="83"/>
    </row>
    <row r="341" spans="16:16" ht="15.75" customHeight="1">
      <c r="P341" s="83"/>
    </row>
    <row r="342" spans="16:16" ht="15.75" customHeight="1">
      <c r="P342" s="83"/>
    </row>
    <row r="343" spans="16:16" ht="15.75" customHeight="1">
      <c r="P343" s="83"/>
    </row>
    <row r="344" spans="16:16" ht="15.75" customHeight="1">
      <c r="P344" s="83"/>
    </row>
    <row r="345" spans="16:16" ht="15.75" customHeight="1">
      <c r="P345" s="83"/>
    </row>
    <row r="346" spans="16:16" ht="15.75" customHeight="1">
      <c r="P346" s="83"/>
    </row>
    <row r="347" spans="16:16" ht="15.75" customHeight="1">
      <c r="P347" s="83"/>
    </row>
    <row r="348" spans="16:16" ht="15.75" customHeight="1">
      <c r="P348" s="83"/>
    </row>
    <row r="349" spans="16:16" ht="15.75" customHeight="1">
      <c r="P349" s="83"/>
    </row>
    <row r="350" spans="16:16" ht="15.75" customHeight="1">
      <c r="P350" s="83"/>
    </row>
    <row r="351" spans="16:16" ht="15.75" customHeight="1">
      <c r="P351" s="83"/>
    </row>
    <row r="352" spans="16:16" ht="15.75" customHeight="1">
      <c r="P352" s="83"/>
    </row>
    <row r="353" spans="16:16" ht="15.75" customHeight="1">
      <c r="P353" s="83"/>
    </row>
    <row r="354" spans="16:16" ht="15.75" customHeight="1">
      <c r="P354" s="83"/>
    </row>
    <row r="355" spans="16:16" ht="15.75" customHeight="1">
      <c r="P355" s="83"/>
    </row>
    <row r="356" spans="16:16" ht="15.75" customHeight="1">
      <c r="P356" s="83"/>
    </row>
    <row r="357" spans="16:16" ht="15.75" customHeight="1">
      <c r="P357" s="83"/>
    </row>
    <row r="358" spans="16:16" ht="15.75" customHeight="1">
      <c r="P358" s="83"/>
    </row>
    <row r="359" spans="16:16" ht="15.75" customHeight="1">
      <c r="P359" s="83"/>
    </row>
    <row r="360" spans="16:16" ht="15.75" customHeight="1">
      <c r="P360" s="83"/>
    </row>
    <row r="361" spans="16:16" ht="15.75" customHeight="1">
      <c r="P361" s="83"/>
    </row>
    <row r="362" spans="16:16" ht="15.75" customHeight="1">
      <c r="P362" s="83"/>
    </row>
    <row r="363" spans="16:16" ht="15.75" customHeight="1">
      <c r="P363" s="83"/>
    </row>
    <row r="364" spans="16:16" ht="15.75" customHeight="1">
      <c r="P364" s="83"/>
    </row>
    <row r="365" spans="16:16" ht="15.75" customHeight="1">
      <c r="P365" s="83"/>
    </row>
    <row r="366" spans="16:16" ht="15.75" customHeight="1">
      <c r="P366" s="83"/>
    </row>
    <row r="367" spans="16:16" ht="15.75" customHeight="1">
      <c r="P367" s="83"/>
    </row>
    <row r="368" spans="16:16" ht="15.75" customHeight="1">
      <c r="P368" s="83"/>
    </row>
    <row r="369" spans="16:16" ht="15.75" customHeight="1">
      <c r="P369" s="83"/>
    </row>
    <row r="370" spans="16:16" ht="15.75" customHeight="1">
      <c r="P370" s="83"/>
    </row>
    <row r="371" spans="16:16" ht="15.75" customHeight="1">
      <c r="P371" s="83"/>
    </row>
    <row r="372" spans="16:16" ht="15.75" customHeight="1">
      <c r="P372" s="83"/>
    </row>
    <row r="373" spans="16:16" ht="15.75" customHeight="1">
      <c r="P373" s="83"/>
    </row>
    <row r="374" spans="16:16" ht="15.75" customHeight="1">
      <c r="P374" s="83"/>
    </row>
    <row r="375" spans="16:16" ht="15.75" customHeight="1">
      <c r="P375" s="83"/>
    </row>
    <row r="376" spans="16:16" ht="15.75" customHeight="1">
      <c r="P376" s="83"/>
    </row>
    <row r="377" spans="16:16" ht="15.75" customHeight="1">
      <c r="P377" s="83"/>
    </row>
    <row r="378" spans="16:16" ht="15.75" customHeight="1">
      <c r="P378" s="83"/>
    </row>
    <row r="379" spans="16:16" ht="15.75" customHeight="1">
      <c r="P379" s="83"/>
    </row>
    <row r="380" spans="16:16" ht="15.75" customHeight="1">
      <c r="P380" s="83"/>
    </row>
    <row r="381" spans="16:16" ht="15.75" customHeight="1">
      <c r="P381" s="83"/>
    </row>
    <row r="382" spans="16:16" ht="15.75" customHeight="1">
      <c r="P382" s="83"/>
    </row>
    <row r="383" spans="16:16" ht="15.75" customHeight="1">
      <c r="P383" s="83"/>
    </row>
    <row r="384" spans="16:16" ht="15.75" customHeight="1">
      <c r="P384" s="83"/>
    </row>
    <row r="385" spans="16:16" ht="15.75" customHeight="1">
      <c r="P385" s="83"/>
    </row>
    <row r="386" spans="16:16" ht="15.75" customHeight="1">
      <c r="P386" s="83"/>
    </row>
    <row r="387" spans="16:16" ht="15.75" customHeight="1">
      <c r="P387" s="83"/>
    </row>
    <row r="388" spans="16:16" ht="15.75" customHeight="1">
      <c r="P388" s="83"/>
    </row>
    <row r="389" spans="16:16" ht="15.75" customHeight="1">
      <c r="P389" s="83"/>
    </row>
    <row r="390" spans="16:16" ht="15.75" customHeight="1">
      <c r="P390" s="83"/>
    </row>
    <row r="391" spans="16:16" ht="15.75" customHeight="1">
      <c r="P391" s="83"/>
    </row>
    <row r="392" spans="16:16" ht="15.75" customHeight="1">
      <c r="P392" s="83"/>
    </row>
    <row r="393" spans="16:16" ht="15.75" customHeight="1">
      <c r="P393" s="83"/>
    </row>
    <row r="394" spans="16:16" ht="15.75" customHeight="1">
      <c r="P394" s="83"/>
    </row>
    <row r="395" spans="16:16" ht="15.75" customHeight="1">
      <c r="P395" s="83"/>
    </row>
    <row r="396" spans="16:16" ht="15.75" customHeight="1">
      <c r="P396" s="83"/>
    </row>
    <row r="397" spans="16:16" ht="15.75" customHeight="1">
      <c r="P397" s="83"/>
    </row>
    <row r="398" spans="16:16" ht="15.75" customHeight="1">
      <c r="P398" s="83"/>
    </row>
    <row r="399" spans="16:16" ht="15.75" customHeight="1">
      <c r="P399" s="83"/>
    </row>
    <row r="400" spans="16:16" ht="15.75" customHeight="1">
      <c r="P400" s="83"/>
    </row>
    <row r="401" spans="16:16" ht="15.75" customHeight="1">
      <c r="P401" s="83"/>
    </row>
    <row r="402" spans="16:16" ht="15.75" customHeight="1">
      <c r="P402" s="83"/>
    </row>
    <row r="403" spans="16:16" ht="15.75" customHeight="1">
      <c r="P403" s="83"/>
    </row>
    <row r="404" spans="16:16" ht="15.75" customHeight="1">
      <c r="P404" s="83"/>
    </row>
    <row r="405" spans="16:16" ht="15.75" customHeight="1">
      <c r="P405" s="83"/>
    </row>
    <row r="406" spans="16:16" ht="15.75" customHeight="1">
      <c r="P406" s="83"/>
    </row>
    <row r="407" spans="16:16" ht="15.75" customHeight="1">
      <c r="P407" s="83"/>
    </row>
    <row r="408" spans="16:16" ht="15.75" customHeight="1">
      <c r="P408" s="83"/>
    </row>
    <row r="409" spans="16:16" ht="15.75" customHeight="1">
      <c r="P409" s="83"/>
    </row>
    <row r="410" spans="16:16" ht="15.75" customHeight="1">
      <c r="P410" s="83"/>
    </row>
    <row r="411" spans="16:16" ht="15.75" customHeight="1">
      <c r="P411" s="83"/>
    </row>
    <row r="412" spans="16:16" ht="15.75" customHeight="1">
      <c r="P412" s="83"/>
    </row>
    <row r="413" spans="16:16" ht="15.75" customHeight="1">
      <c r="P413" s="83"/>
    </row>
    <row r="414" spans="16:16" ht="15.75" customHeight="1">
      <c r="P414" s="83"/>
    </row>
    <row r="415" spans="16:16" ht="15.75" customHeight="1">
      <c r="P415" s="83"/>
    </row>
    <row r="416" spans="16:16" ht="15.75" customHeight="1">
      <c r="P416" s="83"/>
    </row>
    <row r="417" spans="16:16" ht="15.75" customHeight="1">
      <c r="P417" s="83"/>
    </row>
    <row r="418" spans="16:16" ht="15.75" customHeight="1">
      <c r="P418" s="83"/>
    </row>
    <row r="419" spans="16:16" ht="15.75" customHeight="1">
      <c r="P419" s="83"/>
    </row>
    <row r="420" spans="16:16" ht="15.75" customHeight="1">
      <c r="P420" s="83"/>
    </row>
    <row r="421" spans="16:16" ht="15.75" customHeight="1">
      <c r="P421" s="83"/>
    </row>
    <row r="422" spans="16:16" ht="15.75" customHeight="1">
      <c r="P422" s="83"/>
    </row>
    <row r="423" spans="16:16" ht="15.75" customHeight="1">
      <c r="P423" s="83"/>
    </row>
    <row r="424" spans="16:16" ht="15.75" customHeight="1">
      <c r="P424" s="83"/>
    </row>
    <row r="425" spans="16:16" ht="15.75" customHeight="1">
      <c r="P425" s="83"/>
    </row>
    <row r="426" spans="16:16" ht="15.75" customHeight="1">
      <c r="P426" s="83"/>
    </row>
    <row r="427" spans="16:16" ht="15.75" customHeight="1">
      <c r="P427" s="83"/>
    </row>
    <row r="428" spans="16:16" ht="15.75" customHeight="1">
      <c r="P428" s="83"/>
    </row>
    <row r="429" spans="16:16" ht="15.75" customHeight="1">
      <c r="P429" s="83"/>
    </row>
    <row r="430" spans="16:16" ht="15.75" customHeight="1">
      <c r="P430" s="83"/>
    </row>
    <row r="431" spans="16:16" ht="15.75" customHeight="1">
      <c r="P431" s="83"/>
    </row>
    <row r="432" spans="16:16" ht="15.75" customHeight="1">
      <c r="P432" s="83"/>
    </row>
    <row r="433" spans="16:16" ht="15.75" customHeight="1">
      <c r="P433" s="83"/>
    </row>
    <row r="434" spans="16:16" ht="15.75" customHeight="1">
      <c r="P434" s="83"/>
    </row>
    <row r="435" spans="16:16" ht="15.75" customHeight="1">
      <c r="P435" s="83"/>
    </row>
    <row r="436" spans="16:16" ht="15.75" customHeight="1">
      <c r="P436" s="83"/>
    </row>
    <row r="437" spans="16:16" ht="15.75" customHeight="1">
      <c r="P437" s="83"/>
    </row>
    <row r="438" spans="16:16" ht="15.75" customHeight="1">
      <c r="P438" s="83"/>
    </row>
    <row r="439" spans="16:16" ht="15.75" customHeight="1">
      <c r="P439" s="83"/>
    </row>
    <row r="440" spans="16:16" ht="15.75" customHeight="1">
      <c r="P440" s="83"/>
    </row>
    <row r="441" spans="16:16" ht="15.75" customHeight="1">
      <c r="P441" s="83"/>
    </row>
    <row r="442" spans="16:16" ht="15.75" customHeight="1">
      <c r="P442" s="83"/>
    </row>
    <row r="443" spans="16:16" ht="15.75" customHeight="1">
      <c r="P443" s="83"/>
    </row>
    <row r="444" spans="16:16" ht="15.75" customHeight="1">
      <c r="P444" s="83"/>
    </row>
    <row r="445" spans="16:16" ht="15.75" customHeight="1">
      <c r="P445" s="83"/>
    </row>
    <row r="446" spans="16:16" ht="15.75" customHeight="1">
      <c r="P446" s="83"/>
    </row>
    <row r="447" spans="16:16" ht="15.75" customHeight="1">
      <c r="P447" s="83"/>
    </row>
    <row r="448" spans="16:16" ht="15.75" customHeight="1">
      <c r="P448" s="83"/>
    </row>
    <row r="449" spans="16:16" ht="15.75" customHeight="1">
      <c r="P449" s="83"/>
    </row>
    <row r="450" spans="16:16" ht="15.75" customHeight="1">
      <c r="P450" s="83"/>
    </row>
    <row r="451" spans="16:16" ht="15.75" customHeight="1">
      <c r="P451" s="83"/>
    </row>
    <row r="452" spans="16:16" ht="15.75" customHeight="1">
      <c r="P452" s="83"/>
    </row>
    <row r="453" spans="16:16" ht="15.75" customHeight="1">
      <c r="P453" s="83"/>
    </row>
    <row r="454" spans="16:16" ht="15.75" customHeight="1">
      <c r="P454" s="83"/>
    </row>
    <row r="455" spans="16:16" ht="15.75" customHeight="1">
      <c r="P455" s="83"/>
    </row>
    <row r="456" spans="16:16" ht="15.75" customHeight="1">
      <c r="P456" s="83"/>
    </row>
    <row r="457" spans="16:16" ht="15.75" customHeight="1">
      <c r="P457" s="83"/>
    </row>
    <row r="458" spans="16:16" ht="15.75" customHeight="1">
      <c r="P458" s="83"/>
    </row>
    <row r="459" spans="16:16" ht="15.75" customHeight="1">
      <c r="P459" s="83"/>
    </row>
    <row r="460" spans="16:16" ht="15.75" customHeight="1">
      <c r="P460" s="83"/>
    </row>
    <row r="461" spans="16:16" ht="15.75" customHeight="1">
      <c r="P461" s="83"/>
    </row>
    <row r="462" spans="16:16" ht="15.75" customHeight="1">
      <c r="P462" s="83"/>
    </row>
    <row r="463" spans="16:16" ht="15.75" customHeight="1">
      <c r="P463" s="83"/>
    </row>
    <row r="464" spans="16:16" ht="15.75" customHeight="1">
      <c r="P464" s="83"/>
    </row>
    <row r="465" spans="16:16" ht="15.75" customHeight="1">
      <c r="P465" s="83"/>
    </row>
    <row r="466" spans="16:16" ht="15.75" customHeight="1">
      <c r="P466" s="83"/>
    </row>
    <row r="467" spans="16:16" ht="15.75" customHeight="1">
      <c r="P467" s="83"/>
    </row>
    <row r="468" spans="16:16" ht="15.75" customHeight="1">
      <c r="P468" s="83"/>
    </row>
    <row r="469" spans="16:16" ht="15.75" customHeight="1">
      <c r="P469" s="83"/>
    </row>
    <row r="470" spans="16:16" ht="15.75" customHeight="1">
      <c r="P470" s="83"/>
    </row>
    <row r="471" spans="16:16" ht="15.75" customHeight="1">
      <c r="P471" s="83"/>
    </row>
    <row r="472" spans="16:16" ht="15.75" customHeight="1">
      <c r="P472" s="83"/>
    </row>
    <row r="473" spans="16:16" ht="15.75" customHeight="1">
      <c r="P473" s="83"/>
    </row>
    <row r="474" spans="16:16" ht="15.75" customHeight="1">
      <c r="P474" s="83"/>
    </row>
    <row r="475" spans="16:16" ht="15.75" customHeight="1">
      <c r="P475" s="83"/>
    </row>
    <row r="476" spans="16:16" ht="15.75" customHeight="1">
      <c r="P476" s="83"/>
    </row>
    <row r="477" spans="16:16" ht="15.75" customHeight="1">
      <c r="P477" s="83"/>
    </row>
    <row r="478" spans="16:16" ht="15.75" customHeight="1">
      <c r="P478" s="83"/>
    </row>
    <row r="479" spans="16:16" ht="15.75" customHeight="1">
      <c r="P479" s="83"/>
    </row>
    <row r="480" spans="16:16" ht="15.75" customHeight="1">
      <c r="P480" s="83"/>
    </row>
    <row r="481" spans="16:16" ht="15.75" customHeight="1">
      <c r="P481" s="83"/>
    </row>
    <row r="482" spans="16:16" ht="15.75" customHeight="1">
      <c r="P482" s="83"/>
    </row>
    <row r="483" spans="16:16" ht="15.75" customHeight="1">
      <c r="P483" s="83"/>
    </row>
    <row r="484" spans="16:16" ht="15.75" customHeight="1">
      <c r="P484" s="83"/>
    </row>
    <row r="485" spans="16:16" ht="15.75" customHeight="1">
      <c r="P485" s="83"/>
    </row>
    <row r="486" spans="16:16" ht="15.75" customHeight="1">
      <c r="P486" s="83"/>
    </row>
    <row r="487" spans="16:16" ht="15.75" customHeight="1">
      <c r="P487" s="83"/>
    </row>
    <row r="488" spans="16:16" ht="15.75" customHeight="1">
      <c r="P488" s="83"/>
    </row>
    <row r="489" spans="16:16" ht="15.75" customHeight="1">
      <c r="P489" s="83"/>
    </row>
    <row r="490" spans="16:16" ht="15.75" customHeight="1">
      <c r="P490" s="83"/>
    </row>
    <row r="491" spans="16:16" ht="15.75" customHeight="1">
      <c r="P491" s="83"/>
    </row>
    <row r="492" spans="16:16" ht="15.75" customHeight="1">
      <c r="P492" s="83"/>
    </row>
    <row r="493" spans="16:16" ht="15.75" customHeight="1">
      <c r="P493" s="83"/>
    </row>
    <row r="494" spans="16:16" ht="15.75" customHeight="1">
      <c r="P494" s="83"/>
    </row>
    <row r="495" spans="16:16" ht="15.75" customHeight="1">
      <c r="P495" s="83"/>
    </row>
    <row r="496" spans="16:16" ht="15.75" customHeight="1">
      <c r="P496" s="83"/>
    </row>
    <row r="497" spans="16:16" ht="15.75" customHeight="1">
      <c r="P497" s="83"/>
    </row>
    <row r="498" spans="16:16" ht="15.75" customHeight="1">
      <c r="P498" s="83"/>
    </row>
    <row r="499" spans="16:16" ht="15.75" customHeight="1">
      <c r="P499" s="83"/>
    </row>
    <row r="500" spans="16:16" ht="15.75" customHeight="1">
      <c r="P500" s="83"/>
    </row>
    <row r="501" spans="16:16" ht="15.75" customHeight="1">
      <c r="P501" s="83"/>
    </row>
    <row r="502" spans="16:16" ht="15.75" customHeight="1">
      <c r="P502" s="83"/>
    </row>
    <row r="503" spans="16:16" ht="15.75" customHeight="1">
      <c r="P503" s="83"/>
    </row>
    <row r="504" spans="16:16" ht="15.75" customHeight="1">
      <c r="P504" s="83"/>
    </row>
    <row r="505" spans="16:16" ht="15.75" customHeight="1">
      <c r="P505" s="83"/>
    </row>
    <row r="506" spans="16:16" ht="15.75" customHeight="1">
      <c r="P506" s="83"/>
    </row>
    <row r="507" spans="16:16" ht="15.75" customHeight="1">
      <c r="P507" s="83"/>
    </row>
    <row r="508" spans="16:16" ht="15.75" customHeight="1">
      <c r="P508" s="83"/>
    </row>
    <row r="509" spans="16:16" ht="15.75" customHeight="1">
      <c r="P509" s="83"/>
    </row>
    <row r="510" spans="16:16" ht="15.75" customHeight="1">
      <c r="P510" s="83"/>
    </row>
    <row r="511" spans="16:16" ht="15.75" customHeight="1">
      <c r="P511" s="83"/>
    </row>
    <row r="512" spans="16:16" ht="15.75" customHeight="1">
      <c r="P512" s="83"/>
    </row>
    <row r="513" spans="16:16" ht="15.75" customHeight="1">
      <c r="P513" s="83"/>
    </row>
    <row r="514" spans="16:16" ht="15.75" customHeight="1">
      <c r="P514" s="83"/>
    </row>
    <row r="515" spans="16:16" ht="15.75" customHeight="1">
      <c r="P515" s="83"/>
    </row>
    <row r="516" spans="16:16" ht="15.75" customHeight="1">
      <c r="P516" s="83"/>
    </row>
    <row r="517" spans="16:16" ht="15.75" customHeight="1">
      <c r="P517" s="83"/>
    </row>
    <row r="518" spans="16:16" ht="15.75" customHeight="1">
      <c r="P518" s="83"/>
    </row>
    <row r="519" spans="16:16" ht="15.75" customHeight="1">
      <c r="P519" s="83"/>
    </row>
    <row r="520" spans="16:16" ht="15.75" customHeight="1">
      <c r="P520" s="83"/>
    </row>
    <row r="521" spans="16:16" ht="15.75" customHeight="1">
      <c r="P521" s="83"/>
    </row>
    <row r="522" spans="16:16" ht="15.75" customHeight="1">
      <c r="P522" s="83"/>
    </row>
    <row r="523" spans="16:16" ht="15.75" customHeight="1">
      <c r="P523" s="83"/>
    </row>
    <row r="524" spans="16:16" ht="15.75" customHeight="1">
      <c r="P524" s="83"/>
    </row>
    <row r="525" spans="16:16" ht="15.75" customHeight="1">
      <c r="P525" s="83"/>
    </row>
    <row r="526" spans="16:16" ht="15.75" customHeight="1">
      <c r="P526" s="83"/>
    </row>
    <row r="527" spans="16:16" ht="15.75" customHeight="1">
      <c r="P527" s="83"/>
    </row>
    <row r="528" spans="16:16" ht="15.75" customHeight="1">
      <c r="P528" s="83"/>
    </row>
    <row r="529" spans="16:16" ht="15.75" customHeight="1">
      <c r="P529" s="83"/>
    </row>
    <row r="530" spans="16:16" ht="15.75" customHeight="1">
      <c r="P530" s="83"/>
    </row>
    <row r="531" spans="16:16" ht="15.75" customHeight="1">
      <c r="P531" s="83"/>
    </row>
    <row r="532" spans="16:16" ht="15.75" customHeight="1">
      <c r="P532" s="83"/>
    </row>
    <row r="533" spans="16:16" ht="15.75" customHeight="1">
      <c r="P533" s="83"/>
    </row>
    <row r="534" spans="16:16" ht="15.75" customHeight="1">
      <c r="P534" s="83"/>
    </row>
    <row r="535" spans="16:16" ht="15.75" customHeight="1">
      <c r="P535" s="83"/>
    </row>
    <row r="536" spans="16:16" ht="15.75" customHeight="1">
      <c r="P536" s="83"/>
    </row>
    <row r="537" spans="16:16" ht="15.75" customHeight="1">
      <c r="P537" s="83"/>
    </row>
    <row r="538" spans="16:16" ht="15.75" customHeight="1">
      <c r="P538" s="83"/>
    </row>
    <row r="539" spans="16:16" ht="15.75" customHeight="1">
      <c r="P539" s="83"/>
    </row>
    <row r="540" spans="16:16" ht="15.75" customHeight="1">
      <c r="P540" s="83"/>
    </row>
    <row r="541" spans="16:16" ht="15.75" customHeight="1">
      <c r="P541" s="83"/>
    </row>
    <row r="542" spans="16:16" ht="15.75" customHeight="1">
      <c r="P542" s="83"/>
    </row>
    <row r="543" spans="16:16" ht="15.75" customHeight="1">
      <c r="P543" s="83"/>
    </row>
    <row r="544" spans="16:16" ht="15.75" customHeight="1">
      <c r="P544" s="83"/>
    </row>
    <row r="545" spans="16:16" ht="15.75" customHeight="1">
      <c r="P545" s="83"/>
    </row>
    <row r="546" spans="16:16" ht="15.75" customHeight="1">
      <c r="P546" s="83"/>
    </row>
    <row r="547" spans="16:16" ht="15.75" customHeight="1">
      <c r="P547" s="83"/>
    </row>
    <row r="548" spans="16:16" ht="15.75" customHeight="1">
      <c r="P548" s="83"/>
    </row>
    <row r="549" spans="16:16" ht="15.75" customHeight="1">
      <c r="P549" s="83"/>
    </row>
    <row r="550" spans="16:16" ht="15.75" customHeight="1">
      <c r="P550" s="83"/>
    </row>
    <row r="551" spans="16:16" ht="15.75" customHeight="1">
      <c r="P551" s="83"/>
    </row>
    <row r="552" spans="16:16" ht="15.75" customHeight="1">
      <c r="P552" s="83"/>
    </row>
    <row r="553" spans="16:16" ht="15.75" customHeight="1">
      <c r="P553" s="83"/>
    </row>
    <row r="554" spans="16:16" ht="15.75" customHeight="1">
      <c r="P554" s="83"/>
    </row>
    <row r="555" spans="16:16" ht="15.75" customHeight="1">
      <c r="P555" s="83"/>
    </row>
    <row r="556" spans="16:16" ht="15.75" customHeight="1">
      <c r="P556" s="83"/>
    </row>
    <row r="557" spans="16:16" ht="15.75" customHeight="1">
      <c r="P557" s="83"/>
    </row>
    <row r="558" spans="16:16" ht="15.75" customHeight="1">
      <c r="P558" s="83"/>
    </row>
    <row r="559" spans="16:16" ht="15.75" customHeight="1">
      <c r="P559" s="83"/>
    </row>
    <row r="560" spans="16:16" ht="15.75" customHeight="1">
      <c r="P560" s="83"/>
    </row>
    <row r="561" spans="16:16" ht="15.75" customHeight="1">
      <c r="P561" s="83"/>
    </row>
    <row r="562" spans="16:16" ht="15.75" customHeight="1">
      <c r="P562" s="83"/>
    </row>
    <row r="563" spans="16:16" ht="15.75" customHeight="1">
      <c r="P563" s="83"/>
    </row>
    <row r="564" spans="16:16" ht="15.75" customHeight="1">
      <c r="P564" s="83"/>
    </row>
    <row r="565" spans="16:16" ht="15.75" customHeight="1">
      <c r="P565" s="83"/>
    </row>
    <row r="566" spans="16:16" ht="15.75" customHeight="1">
      <c r="P566" s="83"/>
    </row>
    <row r="567" spans="16:16" ht="15.75" customHeight="1">
      <c r="P567" s="83"/>
    </row>
    <row r="568" spans="16:16" ht="15.75" customHeight="1">
      <c r="P568" s="83"/>
    </row>
    <row r="569" spans="16:16" ht="15.75" customHeight="1">
      <c r="P569" s="83"/>
    </row>
    <row r="570" spans="16:16" ht="15.75" customHeight="1">
      <c r="P570" s="83"/>
    </row>
    <row r="571" spans="16:16" ht="15.75" customHeight="1">
      <c r="P571" s="83"/>
    </row>
    <row r="572" spans="16:16" ht="15.75" customHeight="1">
      <c r="P572" s="83"/>
    </row>
    <row r="573" spans="16:16" ht="15.75" customHeight="1">
      <c r="P573" s="83"/>
    </row>
    <row r="574" spans="16:16" ht="15.75" customHeight="1">
      <c r="P574" s="83"/>
    </row>
    <row r="575" spans="16:16" ht="15.75" customHeight="1">
      <c r="P575" s="83"/>
    </row>
    <row r="576" spans="16:16" ht="15.75" customHeight="1">
      <c r="P576" s="83"/>
    </row>
    <row r="577" spans="16:16" ht="15.75" customHeight="1">
      <c r="P577" s="83"/>
    </row>
    <row r="578" spans="16:16" ht="15.75" customHeight="1">
      <c r="P578" s="83"/>
    </row>
    <row r="579" spans="16:16" ht="15.75" customHeight="1">
      <c r="P579" s="83"/>
    </row>
    <row r="580" spans="16:16" ht="15.75" customHeight="1">
      <c r="P580" s="83"/>
    </row>
    <row r="581" spans="16:16" ht="15.75" customHeight="1">
      <c r="P581" s="83"/>
    </row>
    <row r="582" spans="16:16" ht="15.75" customHeight="1">
      <c r="P582" s="83"/>
    </row>
    <row r="583" spans="16:16" ht="15.75" customHeight="1">
      <c r="P583" s="83"/>
    </row>
    <row r="584" spans="16:16" ht="15.75" customHeight="1">
      <c r="P584" s="83"/>
    </row>
    <row r="585" spans="16:16" ht="15.75" customHeight="1">
      <c r="P585" s="83"/>
    </row>
    <row r="586" spans="16:16" ht="15.75" customHeight="1">
      <c r="P586" s="83"/>
    </row>
    <row r="587" spans="16:16" ht="15.75" customHeight="1">
      <c r="P587" s="83"/>
    </row>
    <row r="588" spans="16:16" ht="15.75" customHeight="1">
      <c r="P588" s="83"/>
    </row>
    <row r="589" spans="16:16" ht="15.75" customHeight="1">
      <c r="P589" s="83"/>
    </row>
    <row r="590" spans="16:16" ht="15.75" customHeight="1">
      <c r="P590" s="83"/>
    </row>
    <row r="591" spans="16:16" ht="15.75" customHeight="1">
      <c r="P591" s="83"/>
    </row>
    <row r="592" spans="16:16" ht="15.75" customHeight="1">
      <c r="P592" s="83"/>
    </row>
    <row r="593" spans="16:16" ht="15.75" customHeight="1">
      <c r="P593" s="83"/>
    </row>
    <row r="594" spans="16:16" ht="15.75" customHeight="1">
      <c r="P594" s="83"/>
    </row>
    <row r="595" spans="16:16" ht="15.75" customHeight="1">
      <c r="P595" s="83"/>
    </row>
    <row r="596" spans="16:16" ht="15.75" customHeight="1">
      <c r="P596" s="83"/>
    </row>
    <row r="597" spans="16:16" ht="15.75" customHeight="1">
      <c r="P597" s="83"/>
    </row>
    <row r="598" spans="16:16" ht="15.75" customHeight="1">
      <c r="P598" s="83"/>
    </row>
    <row r="599" spans="16:16" ht="15.75" customHeight="1">
      <c r="P599" s="83"/>
    </row>
    <row r="600" spans="16:16" ht="15.75" customHeight="1">
      <c r="P600" s="83"/>
    </row>
    <row r="601" spans="16:16" ht="15.75" customHeight="1">
      <c r="P601" s="83"/>
    </row>
    <row r="602" spans="16:16" ht="15.75" customHeight="1">
      <c r="P602" s="83"/>
    </row>
    <row r="603" spans="16:16" ht="15.75" customHeight="1">
      <c r="P603" s="83"/>
    </row>
    <row r="604" spans="16:16" ht="15.75" customHeight="1">
      <c r="P604" s="83"/>
    </row>
    <row r="605" spans="16:16" ht="15.75" customHeight="1">
      <c r="P605" s="83"/>
    </row>
    <row r="606" spans="16:16" ht="15.75" customHeight="1">
      <c r="P606" s="83"/>
    </row>
    <row r="607" spans="16:16" ht="15.75" customHeight="1">
      <c r="P607" s="83"/>
    </row>
    <row r="608" spans="16:16" ht="15.75" customHeight="1">
      <c r="P608" s="83"/>
    </row>
    <row r="609" spans="16:16" ht="15.75" customHeight="1">
      <c r="P609" s="83"/>
    </row>
    <row r="610" spans="16:16" ht="15.75" customHeight="1">
      <c r="P610" s="83"/>
    </row>
    <row r="611" spans="16:16" ht="15.75" customHeight="1">
      <c r="P611" s="83"/>
    </row>
    <row r="612" spans="16:16" ht="15.75" customHeight="1">
      <c r="P612" s="83"/>
    </row>
    <row r="613" spans="16:16" ht="15.75" customHeight="1">
      <c r="P613" s="83"/>
    </row>
    <row r="614" spans="16:16" ht="15.75" customHeight="1">
      <c r="P614" s="83"/>
    </row>
    <row r="615" spans="16:16" ht="15.75" customHeight="1">
      <c r="P615" s="83"/>
    </row>
    <row r="616" spans="16:16" ht="15.75" customHeight="1">
      <c r="P616" s="83"/>
    </row>
    <row r="617" spans="16:16" ht="15.75" customHeight="1">
      <c r="P617" s="83"/>
    </row>
    <row r="618" spans="16:16" ht="15.75" customHeight="1">
      <c r="P618" s="83"/>
    </row>
    <row r="619" spans="16:16" ht="15.75" customHeight="1">
      <c r="P619" s="83"/>
    </row>
    <row r="620" spans="16:16" ht="15.75" customHeight="1">
      <c r="P620" s="83"/>
    </row>
    <row r="621" spans="16:16" ht="15.75" customHeight="1">
      <c r="P621" s="83"/>
    </row>
    <row r="622" spans="16:16" ht="15.75" customHeight="1">
      <c r="P622" s="83"/>
    </row>
    <row r="623" spans="16:16" ht="15.75" customHeight="1">
      <c r="P623" s="83"/>
    </row>
    <row r="624" spans="16:16" ht="15.75" customHeight="1">
      <c r="P624" s="83"/>
    </row>
    <row r="625" spans="16:16" ht="15.75" customHeight="1">
      <c r="P625" s="83"/>
    </row>
    <row r="626" spans="16:16" ht="15.75" customHeight="1">
      <c r="P626" s="83"/>
    </row>
    <row r="627" spans="16:16" ht="15.75" customHeight="1">
      <c r="P627" s="83"/>
    </row>
    <row r="628" spans="16:16" ht="15.75" customHeight="1">
      <c r="P628" s="83"/>
    </row>
    <row r="629" spans="16:16" ht="15.75" customHeight="1">
      <c r="P629" s="83"/>
    </row>
    <row r="630" spans="16:16" ht="15.75" customHeight="1">
      <c r="P630" s="83"/>
    </row>
    <row r="631" spans="16:16" ht="15.75" customHeight="1">
      <c r="P631" s="83"/>
    </row>
    <row r="632" spans="16:16" ht="15.75" customHeight="1">
      <c r="P632" s="83"/>
    </row>
    <row r="633" spans="16:16" ht="15.75" customHeight="1">
      <c r="P633" s="83"/>
    </row>
    <row r="634" spans="16:16" ht="15.75" customHeight="1">
      <c r="P634" s="83"/>
    </row>
    <row r="635" spans="16:16" ht="15.75" customHeight="1">
      <c r="P635" s="83"/>
    </row>
    <row r="636" spans="16:16" ht="15.75" customHeight="1">
      <c r="P636" s="83"/>
    </row>
    <row r="637" spans="16:16" ht="15.75" customHeight="1">
      <c r="P637" s="83"/>
    </row>
    <row r="638" spans="16:16" ht="15.75" customHeight="1">
      <c r="P638" s="83"/>
    </row>
    <row r="639" spans="16:16" ht="15.75" customHeight="1">
      <c r="P639" s="83"/>
    </row>
    <row r="640" spans="16:16" ht="15.75" customHeight="1">
      <c r="P640" s="83"/>
    </row>
    <row r="641" spans="16:16" ht="15.75" customHeight="1">
      <c r="P641" s="83"/>
    </row>
    <row r="642" spans="16:16" ht="15.75" customHeight="1">
      <c r="P642" s="83"/>
    </row>
    <row r="643" spans="16:16" ht="15.75" customHeight="1">
      <c r="P643" s="83"/>
    </row>
    <row r="644" spans="16:16" ht="15.75" customHeight="1">
      <c r="P644" s="83"/>
    </row>
    <row r="645" spans="16:16" ht="15.75" customHeight="1">
      <c r="P645" s="83"/>
    </row>
    <row r="646" spans="16:16" ht="15.75" customHeight="1">
      <c r="P646" s="83"/>
    </row>
    <row r="647" spans="16:16" ht="15.75" customHeight="1">
      <c r="P647" s="83"/>
    </row>
    <row r="648" spans="16:16" ht="15.75" customHeight="1">
      <c r="P648" s="83"/>
    </row>
    <row r="649" spans="16:16" ht="15.75" customHeight="1">
      <c r="P649" s="83"/>
    </row>
    <row r="650" spans="16:16" ht="15.75" customHeight="1">
      <c r="P650" s="83"/>
    </row>
    <row r="651" spans="16:16" ht="15.75" customHeight="1">
      <c r="P651" s="83"/>
    </row>
    <row r="652" spans="16:16" ht="15.75" customHeight="1">
      <c r="P652" s="83"/>
    </row>
    <row r="653" spans="16:16" ht="15.75" customHeight="1">
      <c r="P653" s="83"/>
    </row>
    <row r="654" spans="16:16" ht="15.75" customHeight="1">
      <c r="P654" s="83"/>
    </row>
    <row r="655" spans="16:16" ht="15.75" customHeight="1">
      <c r="P655" s="83"/>
    </row>
    <row r="656" spans="16:16" ht="15.75" customHeight="1">
      <c r="P656" s="83"/>
    </row>
    <row r="657" spans="16:16" ht="15.75" customHeight="1">
      <c r="P657" s="83"/>
    </row>
    <row r="658" spans="16:16" ht="15.75" customHeight="1">
      <c r="P658" s="83"/>
    </row>
    <row r="659" spans="16:16" ht="15.75" customHeight="1">
      <c r="P659" s="83"/>
    </row>
    <row r="660" spans="16:16" ht="15.75" customHeight="1">
      <c r="P660" s="83"/>
    </row>
    <row r="661" spans="16:16" ht="15.75" customHeight="1">
      <c r="P661" s="83"/>
    </row>
    <row r="662" spans="16:16" ht="15.75" customHeight="1">
      <c r="P662" s="83"/>
    </row>
    <row r="663" spans="16:16" ht="15.75" customHeight="1">
      <c r="P663" s="83"/>
    </row>
    <row r="664" spans="16:16" ht="15.75" customHeight="1">
      <c r="P664" s="83"/>
    </row>
    <row r="665" spans="16:16" ht="15.75" customHeight="1">
      <c r="P665" s="83"/>
    </row>
    <row r="666" spans="16:16" ht="15.75" customHeight="1">
      <c r="P666" s="83"/>
    </row>
    <row r="667" spans="16:16" ht="15.75" customHeight="1">
      <c r="P667" s="83"/>
    </row>
    <row r="668" spans="16:16" ht="15.75" customHeight="1">
      <c r="P668" s="83"/>
    </row>
    <row r="669" spans="16:16" ht="15.75" customHeight="1">
      <c r="P669" s="83"/>
    </row>
    <row r="670" spans="16:16" ht="15.75" customHeight="1">
      <c r="P670" s="83"/>
    </row>
    <row r="671" spans="16:16" ht="15.75" customHeight="1">
      <c r="P671" s="83"/>
    </row>
    <row r="672" spans="16:16" ht="15.75" customHeight="1">
      <c r="P672" s="83"/>
    </row>
    <row r="673" spans="16:16" ht="15.75" customHeight="1">
      <c r="P673" s="83"/>
    </row>
    <row r="674" spans="16:16" ht="15.75" customHeight="1">
      <c r="P674" s="83"/>
    </row>
    <row r="675" spans="16:16" ht="15.75" customHeight="1">
      <c r="P675" s="83"/>
    </row>
    <row r="676" spans="16:16" ht="15.75" customHeight="1">
      <c r="P676" s="83"/>
    </row>
    <row r="677" spans="16:16" ht="15.75" customHeight="1">
      <c r="P677" s="83"/>
    </row>
    <row r="678" spans="16:16" ht="15.75" customHeight="1">
      <c r="P678" s="83"/>
    </row>
    <row r="679" spans="16:16" ht="15.75" customHeight="1">
      <c r="P679" s="83"/>
    </row>
    <row r="680" spans="16:16" ht="15.75" customHeight="1">
      <c r="P680" s="83"/>
    </row>
    <row r="681" spans="16:16" ht="15.75" customHeight="1">
      <c r="P681" s="83"/>
    </row>
    <row r="682" spans="16:16" ht="15.75" customHeight="1">
      <c r="P682" s="83"/>
    </row>
    <row r="683" spans="16:16" ht="15.75" customHeight="1">
      <c r="P683" s="83"/>
    </row>
    <row r="684" spans="16:16" ht="15.75" customHeight="1">
      <c r="P684" s="83"/>
    </row>
    <row r="685" spans="16:16" ht="15.75" customHeight="1">
      <c r="P685" s="83"/>
    </row>
    <row r="686" spans="16:16" ht="15.75" customHeight="1">
      <c r="P686" s="83"/>
    </row>
    <row r="687" spans="16:16" ht="15.75" customHeight="1">
      <c r="P687" s="83"/>
    </row>
    <row r="688" spans="16:16" ht="15.75" customHeight="1">
      <c r="P688" s="83"/>
    </row>
    <row r="689" spans="16:16" ht="15.75" customHeight="1">
      <c r="P689" s="83"/>
    </row>
    <row r="690" spans="16:16" ht="15.75" customHeight="1">
      <c r="P690" s="83"/>
    </row>
    <row r="691" spans="16:16" ht="15.75" customHeight="1">
      <c r="P691" s="83"/>
    </row>
    <row r="692" spans="16:16" ht="15.75" customHeight="1">
      <c r="P692" s="83"/>
    </row>
    <row r="693" spans="16:16" ht="15.75" customHeight="1">
      <c r="P693" s="83"/>
    </row>
    <row r="694" spans="16:16" ht="15.75" customHeight="1">
      <c r="P694" s="83"/>
    </row>
    <row r="695" spans="16:16" ht="15.75" customHeight="1">
      <c r="P695" s="83"/>
    </row>
    <row r="696" spans="16:16" ht="15.75" customHeight="1">
      <c r="P696" s="83"/>
    </row>
    <row r="697" spans="16:16" ht="15.75" customHeight="1">
      <c r="P697" s="83"/>
    </row>
    <row r="698" spans="16:16" ht="15.75" customHeight="1">
      <c r="P698" s="83"/>
    </row>
    <row r="699" spans="16:16" ht="15.75" customHeight="1">
      <c r="P699" s="83"/>
    </row>
    <row r="700" spans="16:16" ht="15.75" customHeight="1">
      <c r="P700" s="83"/>
    </row>
    <row r="701" spans="16:16" ht="15.75" customHeight="1">
      <c r="P701" s="83"/>
    </row>
    <row r="702" spans="16:16" ht="15.75" customHeight="1">
      <c r="P702" s="83"/>
    </row>
    <row r="703" spans="16:16" ht="15.75" customHeight="1">
      <c r="P703" s="83"/>
    </row>
    <row r="704" spans="16:16" ht="15.75" customHeight="1">
      <c r="P704" s="83"/>
    </row>
    <row r="705" spans="16:16" ht="15.75" customHeight="1">
      <c r="P705" s="83"/>
    </row>
    <row r="706" spans="16:16" ht="15.75" customHeight="1">
      <c r="P706" s="83"/>
    </row>
    <row r="707" spans="16:16" ht="15.75" customHeight="1">
      <c r="P707" s="83"/>
    </row>
    <row r="708" spans="16:16" ht="15.75" customHeight="1">
      <c r="P708" s="83"/>
    </row>
    <row r="709" spans="16:16" ht="15.75" customHeight="1">
      <c r="P709" s="83"/>
    </row>
    <row r="710" spans="16:16" ht="15.75" customHeight="1">
      <c r="P710" s="83"/>
    </row>
    <row r="711" spans="16:16" ht="15.75" customHeight="1">
      <c r="P711" s="83"/>
    </row>
    <row r="712" spans="16:16" ht="15.75" customHeight="1">
      <c r="P712" s="83"/>
    </row>
    <row r="713" spans="16:16" ht="15.75" customHeight="1">
      <c r="P713" s="83"/>
    </row>
    <row r="714" spans="16:16" ht="15.75" customHeight="1">
      <c r="P714" s="83"/>
    </row>
    <row r="715" spans="16:16" ht="15.75" customHeight="1">
      <c r="P715" s="83"/>
    </row>
    <row r="716" spans="16:16" ht="15.75" customHeight="1">
      <c r="P716" s="83"/>
    </row>
    <row r="717" spans="16:16" ht="15.75" customHeight="1">
      <c r="P717" s="83"/>
    </row>
    <row r="718" spans="16:16" ht="15.75" customHeight="1">
      <c r="P718" s="83"/>
    </row>
    <row r="719" spans="16:16" ht="15.75" customHeight="1">
      <c r="P719" s="83"/>
    </row>
    <row r="720" spans="16:16" ht="15.75" customHeight="1">
      <c r="P720" s="83"/>
    </row>
    <row r="721" spans="16:16" ht="15.75" customHeight="1">
      <c r="P721" s="83"/>
    </row>
    <row r="722" spans="16:16" ht="15.75" customHeight="1">
      <c r="P722" s="83"/>
    </row>
    <row r="723" spans="16:16" ht="15.75" customHeight="1">
      <c r="P723" s="83"/>
    </row>
    <row r="724" spans="16:16" ht="15.75" customHeight="1">
      <c r="P724" s="83"/>
    </row>
    <row r="725" spans="16:16" ht="15.75" customHeight="1">
      <c r="P725" s="83"/>
    </row>
    <row r="726" spans="16:16" ht="15.75" customHeight="1">
      <c r="P726" s="83"/>
    </row>
    <row r="727" spans="16:16" ht="15.75" customHeight="1">
      <c r="P727" s="83"/>
    </row>
    <row r="728" spans="16:16" ht="15.75" customHeight="1">
      <c r="P728" s="83"/>
    </row>
    <row r="729" spans="16:16" ht="15.75" customHeight="1">
      <c r="P729" s="83"/>
    </row>
    <row r="730" spans="16:16" ht="15.75" customHeight="1">
      <c r="P730" s="83"/>
    </row>
    <row r="731" spans="16:16" ht="15.75" customHeight="1">
      <c r="P731" s="83"/>
    </row>
    <row r="732" spans="16:16" ht="15.75" customHeight="1">
      <c r="P732" s="83"/>
    </row>
    <row r="733" spans="16:16" ht="15.75" customHeight="1">
      <c r="P733" s="83"/>
    </row>
    <row r="734" spans="16:16" ht="15.75" customHeight="1">
      <c r="P734" s="83"/>
    </row>
    <row r="735" spans="16:16" ht="15.75" customHeight="1">
      <c r="P735" s="83"/>
    </row>
    <row r="736" spans="16:16" ht="15.75" customHeight="1">
      <c r="P736" s="83"/>
    </row>
    <row r="737" spans="16:16" ht="15.75" customHeight="1">
      <c r="P737" s="83"/>
    </row>
    <row r="738" spans="16:16" ht="15.75" customHeight="1">
      <c r="P738" s="83"/>
    </row>
    <row r="739" spans="16:16" ht="15.75" customHeight="1">
      <c r="P739" s="83"/>
    </row>
    <row r="740" spans="16:16" ht="15.75" customHeight="1">
      <c r="P740" s="83"/>
    </row>
    <row r="741" spans="16:16" ht="15.75" customHeight="1">
      <c r="P741" s="83"/>
    </row>
    <row r="742" spans="16:16" ht="15.75" customHeight="1">
      <c r="P742" s="83"/>
    </row>
    <row r="743" spans="16:16" ht="15.75" customHeight="1">
      <c r="P743" s="83"/>
    </row>
    <row r="744" spans="16:16" ht="15.75" customHeight="1">
      <c r="P744" s="83"/>
    </row>
    <row r="745" spans="16:16" ht="15.75" customHeight="1">
      <c r="P745" s="83"/>
    </row>
    <row r="746" spans="16:16" ht="15.75" customHeight="1">
      <c r="P746" s="83"/>
    </row>
    <row r="747" spans="16:16" ht="15.75" customHeight="1">
      <c r="P747" s="83"/>
    </row>
    <row r="748" spans="16:16" ht="15.75" customHeight="1">
      <c r="P748" s="83"/>
    </row>
    <row r="749" spans="16:16" ht="15.75" customHeight="1">
      <c r="P749" s="83"/>
    </row>
    <row r="750" spans="16:16" ht="15.75" customHeight="1">
      <c r="P750" s="83"/>
    </row>
    <row r="751" spans="16:16" ht="15.75" customHeight="1">
      <c r="P751" s="83"/>
    </row>
    <row r="752" spans="16:16" ht="15.75" customHeight="1">
      <c r="P752" s="83"/>
    </row>
    <row r="753" spans="16:16" ht="15.75" customHeight="1">
      <c r="P753" s="83"/>
    </row>
    <row r="754" spans="16:16" ht="15.75" customHeight="1">
      <c r="P754" s="83"/>
    </row>
    <row r="755" spans="16:16" ht="15.75" customHeight="1">
      <c r="P755" s="83"/>
    </row>
    <row r="756" spans="16:16" ht="15.75" customHeight="1">
      <c r="P756" s="83"/>
    </row>
    <row r="757" spans="16:16" ht="15.75" customHeight="1">
      <c r="P757" s="83"/>
    </row>
    <row r="758" spans="16:16" ht="15.75" customHeight="1">
      <c r="P758" s="83"/>
    </row>
    <row r="759" spans="16:16" ht="15.75" customHeight="1">
      <c r="P759" s="83"/>
    </row>
    <row r="760" spans="16:16" ht="15.75" customHeight="1">
      <c r="P760" s="83"/>
    </row>
    <row r="761" spans="16:16" ht="15.75" customHeight="1">
      <c r="P761" s="83"/>
    </row>
    <row r="762" spans="16:16" ht="15.75" customHeight="1">
      <c r="P762" s="83"/>
    </row>
    <row r="763" spans="16:16" ht="15.75" customHeight="1">
      <c r="P763" s="83"/>
    </row>
    <row r="764" spans="16:16" ht="15.75" customHeight="1">
      <c r="P764" s="83"/>
    </row>
    <row r="765" spans="16:16" ht="15.75" customHeight="1">
      <c r="P765" s="83"/>
    </row>
    <row r="766" spans="16:16" ht="15.75" customHeight="1">
      <c r="P766" s="83"/>
    </row>
    <row r="767" spans="16:16" ht="15.75" customHeight="1">
      <c r="P767" s="83"/>
    </row>
    <row r="768" spans="16:16" ht="15.75" customHeight="1">
      <c r="P768" s="83"/>
    </row>
    <row r="769" spans="16:16" ht="15.75" customHeight="1">
      <c r="P769" s="83"/>
    </row>
    <row r="770" spans="16:16" ht="15.75" customHeight="1">
      <c r="P770" s="83"/>
    </row>
    <row r="771" spans="16:16" ht="15.75" customHeight="1">
      <c r="P771" s="83"/>
    </row>
    <row r="772" spans="16:16" ht="15.75" customHeight="1">
      <c r="P772" s="83"/>
    </row>
    <row r="773" spans="16:16" ht="15.75" customHeight="1">
      <c r="P773" s="83"/>
    </row>
    <row r="774" spans="16:16" ht="15.75" customHeight="1">
      <c r="P774" s="83"/>
    </row>
    <row r="775" spans="16:16" ht="15.75" customHeight="1">
      <c r="P775" s="83"/>
    </row>
    <row r="776" spans="16:16" ht="15.75" customHeight="1">
      <c r="P776" s="83"/>
    </row>
    <row r="777" spans="16:16" ht="15.75" customHeight="1">
      <c r="P777" s="83"/>
    </row>
    <row r="778" spans="16:16" ht="15.75" customHeight="1">
      <c r="P778" s="83"/>
    </row>
    <row r="779" spans="16:16" ht="15.75" customHeight="1">
      <c r="P779" s="83"/>
    </row>
    <row r="780" spans="16:16" ht="15.75" customHeight="1">
      <c r="P780" s="83"/>
    </row>
    <row r="781" spans="16:16" ht="15.75" customHeight="1">
      <c r="P781" s="83"/>
    </row>
    <row r="782" spans="16:16" ht="15.75" customHeight="1">
      <c r="P782" s="83"/>
    </row>
    <row r="783" spans="16:16" ht="15.75" customHeight="1">
      <c r="P783" s="83"/>
    </row>
    <row r="784" spans="16:16" ht="15.75" customHeight="1">
      <c r="P784" s="83"/>
    </row>
    <row r="785" spans="16:16" ht="15.75" customHeight="1">
      <c r="P785" s="83"/>
    </row>
    <row r="786" spans="16:16" ht="15.75" customHeight="1">
      <c r="P786" s="83"/>
    </row>
    <row r="787" spans="16:16" ht="15.75" customHeight="1">
      <c r="P787" s="83"/>
    </row>
    <row r="788" spans="16:16" ht="15.75" customHeight="1">
      <c r="P788" s="83"/>
    </row>
    <row r="789" spans="16:16" ht="15.75" customHeight="1">
      <c r="P789" s="83"/>
    </row>
    <row r="790" spans="16:16" ht="15.75" customHeight="1">
      <c r="P790" s="83"/>
    </row>
    <row r="791" spans="16:16" ht="15.75" customHeight="1">
      <c r="P791" s="83"/>
    </row>
    <row r="792" spans="16:16" ht="15.75" customHeight="1">
      <c r="P792" s="83"/>
    </row>
    <row r="793" spans="16:16" ht="15.75" customHeight="1">
      <c r="P793" s="83"/>
    </row>
    <row r="794" spans="16:16" ht="15.75" customHeight="1">
      <c r="P794" s="83"/>
    </row>
    <row r="795" spans="16:16" ht="15.75" customHeight="1">
      <c r="P795" s="83"/>
    </row>
    <row r="796" spans="16:16" ht="15.75" customHeight="1">
      <c r="P796" s="83"/>
    </row>
    <row r="797" spans="16:16" ht="15.75" customHeight="1">
      <c r="P797" s="83"/>
    </row>
    <row r="798" spans="16:16" ht="15.75" customHeight="1">
      <c r="P798" s="83"/>
    </row>
    <row r="799" spans="16:16" ht="15.75" customHeight="1">
      <c r="P799" s="83"/>
    </row>
    <row r="800" spans="16:16" ht="15.75" customHeight="1">
      <c r="P800" s="83"/>
    </row>
    <row r="801" spans="16:16" ht="15.75" customHeight="1">
      <c r="P801" s="83"/>
    </row>
    <row r="802" spans="16:16" ht="15.75" customHeight="1">
      <c r="P802" s="83"/>
    </row>
    <row r="803" spans="16:16" ht="15.75" customHeight="1">
      <c r="P803" s="83"/>
    </row>
    <row r="804" spans="16:16" ht="15.75" customHeight="1">
      <c r="P804" s="83"/>
    </row>
    <row r="805" spans="16:16" ht="15.75" customHeight="1">
      <c r="P805" s="83"/>
    </row>
    <row r="806" spans="16:16" ht="15.75" customHeight="1">
      <c r="P806" s="83"/>
    </row>
    <row r="807" spans="16:16" ht="15.75" customHeight="1">
      <c r="P807" s="83"/>
    </row>
    <row r="808" spans="16:16" ht="15.75" customHeight="1">
      <c r="P808" s="83"/>
    </row>
    <row r="809" spans="16:16" ht="15.75" customHeight="1">
      <c r="P809" s="83"/>
    </row>
    <row r="810" spans="16:16" ht="15.75" customHeight="1">
      <c r="P810" s="83"/>
    </row>
    <row r="811" spans="16:16" ht="15.75" customHeight="1">
      <c r="P811" s="83"/>
    </row>
    <row r="812" spans="16:16" ht="15.75" customHeight="1">
      <c r="P812" s="83"/>
    </row>
    <row r="813" spans="16:16" ht="15.75" customHeight="1">
      <c r="P813" s="83"/>
    </row>
    <row r="814" spans="16:16" ht="15.75" customHeight="1">
      <c r="P814" s="83"/>
    </row>
    <row r="815" spans="16:16" ht="15.75" customHeight="1">
      <c r="P815" s="83"/>
    </row>
    <row r="816" spans="16:16" ht="15.75" customHeight="1">
      <c r="P816" s="83"/>
    </row>
    <row r="817" spans="16:16" ht="15.75" customHeight="1">
      <c r="P817" s="83"/>
    </row>
    <row r="818" spans="16:16" ht="15.75" customHeight="1">
      <c r="P818" s="83"/>
    </row>
    <row r="819" spans="16:16" ht="15.75" customHeight="1">
      <c r="P819" s="83"/>
    </row>
    <row r="820" spans="16:16" ht="15.75" customHeight="1">
      <c r="P820" s="83"/>
    </row>
    <row r="821" spans="16:16" ht="15.75" customHeight="1">
      <c r="P821" s="83"/>
    </row>
    <row r="822" spans="16:16" ht="15.75" customHeight="1">
      <c r="P822" s="83"/>
    </row>
    <row r="823" spans="16:16" ht="15.75" customHeight="1">
      <c r="P823" s="83"/>
    </row>
    <row r="824" spans="16:16" ht="15.75" customHeight="1">
      <c r="P824" s="83"/>
    </row>
    <row r="825" spans="16:16" ht="15.75" customHeight="1">
      <c r="P825" s="83"/>
    </row>
    <row r="826" spans="16:16" ht="15.75" customHeight="1">
      <c r="P826" s="83"/>
    </row>
    <row r="827" spans="16:16" ht="15.75" customHeight="1">
      <c r="P827" s="83"/>
    </row>
    <row r="828" spans="16:16" ht="15.75" customHeight="1">
      <c r="P828" s="83"/>
    </row>
    <row r="829" spans="16:16" ht="15.75" customHeight="1">
      <c r="P829" s="83"/>
    </row>
    <row r="830" spans="16:16" ht="15.75" customHeight="1">
      <c r="P830" s="83"/>
    </row>
    <row r="831" spans="16:16" ht="15.75" customHeight="1">
      <c r="P831" s="83"/>
    </row>
    <row r="832" spans="16:16" ht="15.75" customHeight="1">
      <c r="P832" s="83"/>
    </row>
    <row r="833" spans="16:16" ht="15.75" customHeight="1">
      <c r="P833" s="83"/>
    </row>
    <row r="834" spans="16:16" ht="15.75" customHeight="1">
      <c r="P834" s="83"/>
    </row>
    <row r="835" spans="16:16" ht="15.75" customHeight="1">
      <c r="P835" s="83"/>
    </row>
    <row r="836" spans="16:16" ht="15.75" customHeight="1">
      <c r="P836" s="83"/>
    </row>
    <row r="837" spans="16:16" ht="15.75" customHeight="1">
      <c r="P837" s="83"/>
    </row>
    <row r="838" spans="16:16" ht="15.75" customHeight="1">
      <c r="P838" s="83"/>
    </row>
    <row r="839" spans="16:16" ht="15.75" customHeight="1">
      <c r="P839" s="83"/>
    </row>
    <row r="840" spans="16:16" ht="15.75" customHeight="1">
      <c r="P840" s="83"/>
    </row>
    <row r="841" spans="16:16" ht="15.75" customHeight="1">
      <c r="P841" s="83"/>
    </row>
    <row r="842" spans="16:16" ht="15.75" customHeight="1">
      <c r="P842" s="83"/>
    </row>
    <row r="843" spans="16:16" ht="15.75" customHeight="1">
      <c r="P843" s="83"/>
    </row>
    <row r="844" spans="16:16" ht="15.75" customHeight="1">
      <c r="P844" s="83"/>
    </row>
    <row r="845" spans="16:16" ht="15.75" customHeight="1">
      <c r="P845" s="83"/>
    </row>
    <row r="846" spans="16:16" ht="15.75" customHeight="1">
      <c r="P846" s="83"/>
    </row>
    <row r="847" spans="16:16" ht="15.75" customHeight="1">
      <c r="P847" s="83"/>
    </row>
    <row r="848" spans="16:16" ht="15.75" customHeight="1">
      <c r="P848" s="83"/>
    </row>
    <row r="849" spans="16:16" ht="15.75" customHeight="1">
      <c r="P849" s="83"/>
    </row>
    <row r="850" spans="16:16" ht="15.75" customHeight="1">
      <c r="P850" s="83"/>
    </row>
    <row r="851" spans="16:16" ht="15.75" customHeight="1">
      <c r="P851" s="83"/>
    </row>
    <row r="852" spans="16:16" ht="15.75" customHeight="1">
      <c r="P852" s="83"/>
    </row>
    <row r="853" spans="16:16" ht="15.75" customHeight="1">
      <c r="P853" s="83"/>
    </row>
    <row r="854" spans="16:16" ht="15.75" customHeight="1">
      <c r="P854" s="83"/>
    </row>
    <row r="855" spans="16:16" ht="15.75" customHeight="1">
      <c r="P855" s="83"/>
    </row>
    <row r="856" spans="16:16" ht="15.75" customHeight="1">
      <c r="P856" s="83"/>
    </row>
    <row r="857" spans="16:16" ht="15.75" customHeight="1">
      <c r="P857" s="83"/>
    </row>
    <row r="858" spans="16:16" ht="15.75" customHeight="1">
      <c r="P858" s="83"/>
    </row>
    <row r="859" spans="16:16" ht="15.75" customHeight="1">
      <c r="P859" s="83"/>
    </row>
    <row r="860" spans="16:16" ht="15.75" customHeight="1">
      <c r="P860" s="83"/>
    </row>
    <row r="861" spans="16:16" ht="15.75" customHeight="1">
      <c r="P861" s="83"/>
    </row>
    <row r="862" spans="16:16" ht="15.75" customHeight="1">
      <c r="P862" s="83"/>
    </row>
    <row r="863" spans="16:16" ht="15.75" customHeight="1">
      <c r="P863" s="83"/>
    </row>
    <row r="864" spans="16:16" ht="15.75" customHeight="1">
      <c r="P864" s="83"/>
    </row>
    <row r="865" spans="16:16" ht="15.75" customHeight="1">
      <c r="P865" s="83"/>
    </row>
    <row r="866" spans="16:16" ht="15.75" customHeight="1">
      <c r="P866" s="83"/>
    </row>
    <row r="867" spans="16:16" ht="15.75" customHeight="1">
      <c r="P867" s="83"/>
    </row>
    <row r="868" spans="16:16" ht="15.75" customHeight="1">
      <c r="P868" s="83"/>
    </row>
    <row r="869" spans="16:16" ht="15.75" customHeight="1">
      <c r="P869" s="83"/>
    </row>
    <row r="870" spans="16:16" ht="15.75" customHeight="1">
      <c r="P870" s="83"/>
    </row>
    <row r="871" spans="16:16" ht="15.75" customHeight="1">
      <c r="P871" s="83"/>
    </row>
    <row r="872" spans="16:16" ht="15.75" customHeight="1">
      <c r="P872" s="83"/>
    </row>
    <row r="873" spans="16:16" ht="15.75" customHeight="1">
      <c r="P873" s="83"/>
    </row>
    <row r="874" spans="16:16" ht="15.75" customHeight="1">
      <c r="P874" s="83"/>
    </row>
    <row r="875" spans="16:16" ht="15.75" customHeight="1">
      <c r="P875" s="83"/>
    </row>
    <row r="876" spans="16:16" ht="15.75" customHeight="1">
      <c r="P876" s="83"/>
    </row>
    <row r="877" spans="16:16" ht="15.75" customHeight="1">
      <c r="P877" s="83"/>
    </row>
    <row r="878" spans="16:16" ht="15.75" customHeight="1">
      <c r="P878" s="83"/>
    </row>
    <row r="879" spans="16:16" ht="15.75" customHeight="1">
      <c r="P879" s="83"/>
    </row>
    <row r="880" spans="16:16" ht="15.75" customHeight="1">
      <c r="P880" s="83"/>
    </row>
    <row r="881" spans="16:16" ht="15.75" customHeight="1">
      <c r="P881" s="83"/>
    </row>
    <row r="882" spans="16:16" ht="15.75" customHeight="1">
      <c r="P882" s="83"/>
    </row>
    <row r="883" spans="16:16" ht="15.75" customHeight="1">
      <c r="P883" s="83"/>
    </row>
    <row r="884" spans="16:16" ht="15.75" customHeight="1">
      <c r="P884" s="83"/>
    </row>
    <row r="885" spans="16:16" ht="15.75" customHeight="1">
      <c r="P885" s="83"/>
    </row>
    <row r="886" spans="16:16" ht="15.75" customHeight="1">
      <c r="P886" s="83"/>
    </row>
    <row r="887" spans="16:16" ht="15.75" customHeight="1">
      <c r="P887" s="83"/>
    </row>
    <row r="888" spans="16:16" ht="15.75" customHeight="1">
      <c r="P888" s="83"/>
    </row>
    <row r="889" spans="16:16" ht="15.75" customHeight="1">
      <c r="P889" s="83"/>
    </row>
    <row r="890" spans="16:16" ht="15.75" customHeight="1">
      <c r="P890" s="83"/>
    </row>
    <row r="891" spans="16:16" ht="15.75" customHeight="1">
      <c r="P891" s="83"/>
    </row>
    <row r="892" spans="16:16" ht="15.75" customHeight="1">
      <c r="P892" s="83"/>
    </row>
    <row r="893" spans="16:16" ht="15.75" customHeight="1">
      <c r="P893" s="83"/>
    </row>
    <row r="894" spans="16:16" ht="15.75" customHeight="1">
      <c r="P894" s="83"/>
    </row>
    <row r="895" spans="16:16" ht="15.75" customHeight="1">
      <c r="P895" s="83"/>
    </row>
    <row r="896" spans="16:16" ht="15.75" customHeight="1">
      <c r="P896" s="83"/>
    </row>
    <row r="897" spans="16:16" ht="15.75" customHeight="1">
      <c r="P897" s="83"/>
    </row>
    <row r="898" spans="16:16" ht="15.75" customHeight="1">
      <c r="P898" s="83"/>
    </row>
    <row r="899" spans="16:16" ht="15.75" customHeight="1">
      <c r="P899" s="83"/>
    </row>
    <row r="900" spans="16:16" ht="15.75" customHeight="1">
      <c r="P900" s="83"/>
    </row>
    <row r="901" spans="16:16" ht="15.75" customHeight="1">
      <c r="P901" s="83"/>
    </row>
    <row r="902" spans="16:16" ht="15.75" customHeight="1">
      <c r="P902" s="83"/>
    </row>
    <row r="903" spans="16:16" ht="15.75" customHeight="1">
      <c r="P903" s="83"/>
    </row>
    <row r="904" spans="16:16" ht="15.75" customHeight="1">
      <c r="P904" s="83"/>
    </row>
    <row r="905" spans="16:16" ht="15.75" customHeight="1">
      <c r="P905" s="83"/>
    </row>
    <row r="906" spans="16:16" ht="15.75" customHeight="1">
      <c r="P906" s="83"/>
    </row>
    <row r="907" spans="16:16" ht="15.75" customHeight="1">
      <c r="P907" s="83"/>
    </row>
    <row r="908" spans="16:16" ht="15.75" customHeight="1">
      <c r="P908" s="83"/>
    </row>
    <row r="909" spans="16:16" ht="15.75" customHeight="1">
      <c r="P909" s="83"/>
    </row>
    <row r="910" spans="16:16" ht="15.75" customHeight="1">
      <c r="P910" s="83"/>
    </row>
    <row r="911" spans="16:16" ht="15.75" customHeight="1">
      <c r="P911" s="83"/>
    </row>
    <row r="912" spans="16:16" ht="15.75" customHeight="1">
      <c r="P912" s="83"/>
    </row>
    <row r="913" spans="16:16" ht="15.75" customHeight="1">
      <c r="P913" s="83"/>
    </row>
    <row r="914" spans="16:16" ht="15.75" customHeight="1">
      <c r="P914" s="83"/>
    </row>
    <row r="915" spans="16:16" ht="15.75" customHeight="1">
      <c r="P915" s="83"/>
    </row>
    <row r="916" spans="16:16" ht="15.75" customHeight="1">
      <c r="P916" s="83"/>
    </row>
    <row r="917" spans="16:16" ht="15.75" customHeight="1">
      <c r="P917" s="83"/>
    </row>
    <row r="918" spans="16:16" ht="15.75" customHeight="1">
      <c r="P918" s="83"/>
    </row>
    <row r="919" spans="16:16" ht="15.75" customHeight="1">
      <c r="P919" s="83"/>
    </row>
    <row r="920" spans="16:16" ht="15.75" customHeight="1">
      <c r="P920" s="83"/>
    </row>
    <row r="921" spans="16:16" ht="15.75" customHeight="1">
      <c r="P921" s="83"/>
    </row>
    <row r="922" spans="16:16" ht="15.75" customHeight="1">
      <c r="P922" s="83"/>
    </row>
    <row r="923" spans="16:16" ht="15.75" customHeight="1">
      <c r="P923" s="83"/>
    </row>
    <row r="924" spans="16:16" ht="15.75" customHeight="1">
      <c r="P924" s="83"/>
    </row>
    <row r="925" spans="16:16" ht="15.75" customHeight="1">
      <c r="P925" s="83"/>
    </row>
    <row r="926" spans="16:16" ht="15.75" customHeight="1">
      <c r="P926" s="83"/>
    </row>
    <row r="927" spans="16:16" ht="15.75" customHeight="1">
      <c r="P927" s="83"/>
    </row>
    <row r="928" spans="16:16" ht="15.75" customHeight="1">
      <c r="P928" s="83"/>
    </row>
    <row r="929" spans="16:16" ht="15.75" customHeight="1">
      <c r="P929" s="83"/>
    </row>
    <row r="930" spans="16:16" ht="15.75" customHeight="1">
      <c r="P930" s="83"/>
    </row>
    <row r="931" spans="16:16" ht="15.75" customHeight="1">
      <c r="P931" s="83"/>
    </row>
    <row r="932" spans="16:16" ht="15.75" customHeight="1">
      <c r="P932" s="83"/>
    </row>
    <row r="933" spans="16:16" ht="15.75" customHeight="1">
      <c r="P933" s="83"/>
    </row>
    <row r="934" spans="16:16" ht="15.75" customHeight="1">
      <c r="P934" s="83"/>
    </row>
    <row r="935" spans="16:16" ht="15.75" customHeight="1">
      <c r="P935" s="83"/>
    </row>
    <row r="936" spans="16:16" ht="15.75" customHeight="1">
      <c r="P936" s="83"/>
    </row>
    <row r="937" spans="16:16" ht="15.75" customHeight="1">
      <c r="P937" s="83"/>
    </row>
    <row r="938" spans="16:16" ht="15.75" customHeight="1">
      <c r="P938" s="83"/>
    </row>
    <row r="939" spans="16:16" ht="15.75" customHeight="1">
      <c r="P939" s="83"/>
    </row>
    <row r="940" spans="16:16" ht="15.75" customHeight="1">
      <c r="P940" s="83"/>
    </row>
    <row r="941" spans="16:16" ht="15.75" customHeight="1">
      <c r="P941" s="83"/>
    </row>
    <row r="942" spans="16:16" ht="15.75" customHeight="1">
      <c r="P942" s="83"/>
    </row>
    <row r="943" spans="16:16" ht="15.75" customHeight="1">
      <c r="P943" s="83"/>
    </row>
    <row r="944" spans="16:16" ht="15.75" customHeight="1">
      <c r="P944" s="83"/>
    </row>
    <row r="945" spans="16:16" ht="15.75" customHeight="1">
      <c r="P945" s="83"/>
    </row>
    <row r="946" spans="16:16" ht="15.75" customHeight="1">
      <c r="P946" s="83"/>
    </row>
    <row r="947" spans="16:16" ht="15.75" customHeight="1">
      <c r="P947" s="83"/>
    </row>
    <row r="948" spans="16:16" ht="15.75" customHeight="1">
      <c r="P948" s="83"/>
    </row>
    <row r="949" spans="16:16" ht="15.75" customHeight="1">
      <c r="P949" s="83"/>
    </row>
    <row r="950" spans="16:16" ht="15.75" customHeight="1">
      <c r="P950" s="83"/>
    </row>
    <row r="951" spans="16:16" ht="15.75" customHeight="1">
      <c r="P951" s="83"/>
    </row>
    <row r="952" spans="16:16" ht="15.75" customHeight="1">
      <c r="P952" s="83"/>
    </row>
    <row r="953" spans="16:16" ht="15.75" customHeight="1">
      <c r="P953" s="83"/>
    </row>
    <row r="954" spans="16:16" ht="15.75" customHeight="1">
      <c r="P954" s="83"/>
    </row>
    <row r="955" spans="16:16" ht="15.75" customHeight="1">
      <c r="P955" s="83"/>
    </row>
    <row r="956" spans="16:16" ht="15.75" customHeight="1">
      <c r="P956" s="83"/>
    </row>
    <row r="957" spans="16:16" ht="15.75" customHeight="1">
      <c r="P957" s="83"/>
    </row>
    <row r="958" spans="16:16" ht="15.75" customHeight="1">
      <c r="P958" s="83"/>
    </row>
    <row r="959" spans="16:16" ht="15.75" customHeight="1">
      <c r="P959" s="83"/>
    </row>
    <row r="960" spans="16:16" ht="15.75" customHeight="1">
      <c r="P960" s="83"/>
    </row>
    <row r="961" spans="16:16" ht="15.75" customHeight="1">
      <c r="P961" s="83"/>
    </row>
    <row r="962" spans="16:16" ht="15.75" customHeight="1">
      <c r="P962" s="83"/>
    </row>
    <row r="963" spans="16:16" ht="15.75" customHeight="1">
      <c r="P963" s="83"/>
    </row>
    <row r="964" spans="16:16" ht="15.75" customHeight="1">
      <c r="P964" s="83"/>
    </row>
    <row r="965" spans="16:16" ht="15.75" customHeight="1">
      <c r="P965" s="83"/>
    </row>
    <row r="966" spans="16:16" ht="15.75" customHeight="1">
      <c r="P966" s="83"/>
    </row>
    <row r="967" spans="16:16" ht="15.75" customHeight="1">
      <c r="P967" s="83"/>
    </row>
    <row r="968" spans="16:16" ht="15.75" customHeight="1">
      <c r="P968" s="83"/>
    </row>
    <row r="969" spans="16:16" ht="15.75" customHeight="1">
      <c r="P969" s="83"/>
    </row>
    <row r="970" spans="16:16" ht="15.75" customHeight="1">
      <c r="P970" s="83"/>
    </row>
    <row r="971" spans="16:16" ht="15.75" customHeight="1">
      <c r="P971" s="83"/>
    </row>
    <row r="972" spans="16:16" ht="15.75" customHeight="1">
      <c r="P972" s="83"/>
    </row>
    <row r="973" spans="16:16" ht="15.75" customHeight="1">
      <c r="P973" s="83"/>
    </row>
    <row r="974" spans="16:16" ht="15.75" customHeight="1">
      <c r="P974" s="83"/>
    </row>
    <row r="975" spans="16:16" ht="15.75" customHeight="1">
      <c r="P975" s="83"/>
    </row>
    <row r="976" spans="16:16" ht="15.75" customHeight="1">
      <c r="P976" s="83"/>
    </row>
    <row r="977" spans="16:16" ht="15.75" customHeight="1">
      <c r="P977" s="83"/>
    </row>
    <row r="978" spans="16:16" ht="15.75" customHeight="1">
      <c r="P978" s="83"/>
    </row>
    <row r="979" spans="16:16" ht="15.75" customHeight="1">
      <c r="P979" s="83"/>
    </row>
    <row r="980" spans="16:16" ht="15.75" customHeight="1">
      <c r="P980" s="83"/>
    </row>
    <row r="981" spans="16:16" ht="15.75" customHeight="1">
      <c r="P981" s="83"/>
    </row>
    <row r="982" spans="16:16" ht="15.75" customHeight="1">
      <c r="P982" s="83"/>
    </row>
    <row r="983" spans="16:16" ht="15.75" customHeight="1">
      <c r="P983" s="83"/>
    </row>
    <row r="984" spans="16:16" ht="15.75" customHeight="1">
      <c r="P984" s="83"/>
    </row>
    <row r="985" spans="16:16" ht="15.75" customHeight="1">
      <c r="P985" s="83"/>
    </row>
    <row r="986" spans="16:16" ht="15.75" customHeight="1">
      <c r="P986" s="83"/>
    </row>
    <row r="987" spans="16:16" ht="15.75" customHeight="1">
      <c r="P987" s="83"/>
    </row>
    <row r="988" spans="16:16" ht="15.75" customHeight="1">
      <c r="P988" s="83"/>
    </row>
    <row r="989" spans="16:16" ht="15.75" customHeight="1">
      <c r="P989" s="83"/>
    </row>
    <row r="990" spans="16:16" ht="15.75" customHeight="1">
      <c r="P990" s="83"/>
    </row>
    <row r="991" spans="16:16" ht="15.75" customHeight="1">
      <c r="P991" s="83"/>
    </row>
    <row r="992" spans="16:16" ht="15.75" customHeight="1">
      <c r="P992" s="83"/>
    </row>
    <row r="993" spans="16:16" ht="15.75" customHeight="1">
      <c r="P993" s="83"/>
    </row>
    <row r="994" spans="16:16" ht="15.75" customHeight="1">
      <c r="P994" s="83"/>
    </row>
    <row r="995" spans="16:16" ht="15.75" customHeight="1">
      <c r="P995" s="83"/>
    </row>
    <row r="996" spans="16:16" ht="15.75" customHeight="1">
      <c r="P996" s="83"/>
    </row>
    <row r="997" spans="16:16" ht="15.75" customHeight="1">
      <c r="P997" s="83"/>
    </row>
    <row r="998" spans="16:16" ht="15.75" customHeight="1">
      <c r="P998" s="83"/>
    </row>
    <row r="999" spans="16:16" ht="15.75" customHeight="1">
      <c r="P999" s="83"/>
    </row>
    <row r="1000" spans="16:16" ht="15.75" customHeight="1">
      <c r="P1000" s="83"/>
    </row>
  </sheetData>
  <mergeCells count="40">
    <mergeCell ref="D103:G103"/>
    <mergeCell ref="D104:G104"/>
    <mergeCell ref="D51:F51"/>
    <mergeCell ref="D98:G98"/>
    <mergeCell ref="I98:R98"/>
    <mergeCell ref="D99:G99"/>
    <mergeCell ref="D100:G100"/>
    <mergeCell ref="D101:G101"/>
    <mergeCell ref="D102:G102"/>
    <mergeCell ref="D46:F46"/>
    <mergeCell ref="D47:F47"/>
    <mergeCell ref="D48:F48"/>
    <mergeCell ref="D49:F49"/>
    <mergeCell ref="D50:F50"/>
    <mergeCell ref="D27:H27"/>
    <mergeCell ref="D28:H28"/>
    <mergeCell ref="C29:I29"/>
    <mergeCell ref="D30:H30"/>
    <mergeCell ref="D45:F45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2">
    <dataValidation type="list" allowBlank="1" showErrorMessage="1" sqref="A35:B36">
      <formula1>#REF!</formula1>
    </dataValidation>
    <dataValidation type="list" allowBlank="1" showErrorMessage="1" sqref="A37:B37 A39:B39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17" ht="15.75" customHeight="1">
      <c r="A1" s="93" t="s">
        <v>178</v>
      </c>
      <c r="B1" s="94" t="s">
        <v>179</v>
      </c>
      <c r="C1" s="94" t="s">
        <v>180</v>
      </c>
      <c r="D1" s="93" t="s">
        <v>181</v>
      </c>
      <c r="E1" s="93" t="s">
        <v>182</v>
      </c>
      <c r="F1" s="95" t="s">
        <v>183</v>
      </c>
      <c r="G1" s="96" t="s">
        <v>184</v>
      </c>
      <c r="H1" s="96" t="s">
        <v>185</v>
      </c>
      <c r="I1" s="96" t="s">
        <v>186</v>
      </c>
      <c r="J1" s="96" t="s">
        <v>187</v>
      </c>
      <c r="K1" s="96" t="s">
        <v>188</v>
      </c>
      <c r="L1" s="96" t="s">
        <v>189</v>
      </c>
      <c r="M1" s="97" t="s">
        <v>190</v>
      </c>
      <c r="N1" s="96" t="s">
        <v>191</v>
      </c>
      <c r="O1" s="96" t="s">
        <v>192</v>
      </c>
      <c r="P1" s="96" t="s">
        <v>193</v>
      </c>
      <c r="Q1" s="98" t="s">
        <v>194</v>
      </c>
    </row>
    <row r="2" spans="1:17" ht="15.75" customHeight="1">
      <c r="A2" s="99" t="s">
        <v>195</v>
      </c>
      <c r="B2" s="100" t="s">
        <v>196</v>
      </c>
      <c r="C2" s="171" t="s">
        <v>197</v>
      </c>
      <c r="D2" s="102" t="s">
        <v>198</v>
      </c>
      <c r="E2" s="102" t="s">
        <v>199</v>
      </c>
      <c r="F2" s="102" t="s">
        <v>200</v>
      </c>
      <c r="G2" s="102" t="s">
        <v>201</v>
      </c>
      <c r="H2" s="103" t="s">
        <v>202</v>
      </c>
      <c r="I2" s="104" t="s">
        <v>203</v>
      </c>
      <c r="J2" s="103" t="s">
        <v>204</v>
      </c>
      <c r="K2" s="103" t="s">
        <v>205</v>
      </c>
      <c r="L2" s="103" t="s">
        <v>206</v>
      </c>
      <c r="M2" s="105" t="s">
        <v>207</v>
      </c>
      <c r="N2" s="103" t="s">
        <v>156</v>
      </c>
      <c r="O2" s="103" t="s">
        <v>208</v>
      </c>
      <c r="P2" s="102" t="s">
        <v>209</v>
      </c>
      <c r="Q2" s="106" t="s">
        <v>210</v>
      </c>
    </row>
    <row r="3" spans="1:17" ht="15.75" customHeight="1">
      <c r="A3" s="99" t="s">
        <v>211</v>
      </c>
      <c r="B3" s="107" t="s">
        <v>212</v>
      </c>
      <c r="C3" s="145"/>
      <c r="D3" s="102" t="s">
        <v>13</v>
      </c>
      <c r="E3" s="102" t="s">
        <v>213</v>
      </c>
      <c r="F3" s="102" t="s">
        <v>214</v>
      </c>
      <c r="G3" s="102" t="s">
        <v>20</v>
      </c>
      <c r="H3" s="103" t="s">
        <v>215</v>
      </c>
      <c r="I3" s="104" t="s">
        <v>216</v>
      </c>
      <c r="J3" s="103" t="s">
        <v>217</v>
      </c>
      <c r="K3" s="103" t="s">
        <v>218</v>
      </c>
      <c r="L3" s="103" t="s">
        <v>219</v>
      </c>
      <c r="M3" s="108" t="s">
        <v>220</v>
      </c>
      <c r="N3" s="103" t="s">
        <v>221</v>
      </c>
      <c r="O3" s="103" t="s">
        <v>222</v>
      </c>
      <c r="P3" s="102" t="s">
        <v>223</v>
      </c>
      <c r="Q3" s="106" t="s">
        <v>224</v>
      </c>
    </row>
    <row r="4" spans="1:17" ht="15.75" customHeight="1">
      <c r="A4" s="99" t="s">
        <v>225</v>
      </c>
      <c r="B4" s="109" t="s">
        <v>226</v>
      </c>
      <c r="C4" s="172"/>
      <c r="D4" s="102" t="s">
        <v>227</v>
      </c>
      <c r="E4" s="102" t="s">
        <v>228</v>
      </c>
      <c r="F4" s="102" t="s">
        <v>229</v>
      </c>
      <c r="G4" s="102" t="s">
        <v>230</v>
      </c>
      <c r="H4" s="103" t="s">
        <v>231</v>
      </c>
      <c r="I4" s="104" t="s">
        <v>232</v>
      </c>
      <c r="J4" s="103" t="s">
        <v>233</v>
      </c>
      <c r="K4" s="103" t="s">
        <v>234</v>
      </c>
      <c r="L4" s="103" t="s">
        <v>235</v>
      </c>
      <c r="M4" s="105" t="s">
        <v>236</v>
      </c>
      <c r="N4" s="103" t="s">
        <v>237</v>
      </c>
      <c r="O4" s="103" t="s">
        <v>238</v>
      </c>
      <c r="P4" s="102" t="s">
        <v>239</v>
      </c>
      <c r="Q4" s="106" t="s">
        <v>240</v>
      </c>
    </row>
    <row r="5" spans="1:17" ht="15.75" customHeight="1">
      <c r="A5" s="99" t="s">
        <v>241</v>
      </c>
      <c r="B5" s="109" t="s">
        <v>242</v>
      </c>
      <c r="C5" s="110" t="s">
        <v>243</v>
      </c>
      <c r="D5" s="103" t="s">
        <v>244</v>
      </c>
      <c r="E5" s="102" t="s">
        <v>245</v>
      </c>
      <c r="F5" s="102" t="s">
        <v>246</v>
      </c>
      <c r="G5" s="111"/>
      <c r="H5" s="103" t="s">
        <v>247</v>
      </c>
      <c r="I5" s="104" t="s">
        <v>248</v>
      </c>
      <c r="J5" s="103" t="s">
        <v>249</v>
      </c>
      <c r="K5" s="103" t="s">
        <v>250</v>
      </c>
      <c r="L5" s="103" t="s">
        <v>251</v>
      </c>
      <c r="M5" s="105" t="s">
        <v>252</v>
      </c>
      <c r="N5" s="103" t="s">
        <v>253</v>
      </c>
      <c r="O5" s="103" t="s">
        <v>254</v>
      </c>
      <c r="P5" s="111"/>
      <c r="Q5" s="106" t="s">
        <v>255</v>
      </c>
    </row>
    <row r="6" spans="1:17" ht="15.75" customHeight="1">
      <c r="A6" s="99" t="s">
        <v>256</v>
      </c>
      <c r="B6" s="109" t="s">
        <v>257</v>
      </c>
      <c r="C6" s="112" t="s">
        <v>258</v>
      </c>
      <c r="D6" s="102"/>
      <c r="E6" s="102" t="s">
        <v>259</v>
      </c>
      <c r="F6" s="102" t="s">
        <v>260</v>
      </c>
      <c r="G6" s="111"/>
      <c r="H6" s="103" t="s">
        <v>261</v>
      </c>
      <c r="I6" s="104" t="s">
        <v>262</v>
      </c>
      <c r="J6" s="103" t="s">
        <v>263</v>
      </c>
      <c r="K6" s="103" t="s">
        <v>264</v>
      </c>
      <c r="L6" s="103" t="s">
        <v>265</v>
      </c>
      <c r="M6" s="105" t="s">
        <v>266</v>
      </c>
      <c r="N6" s="103" t="s">
        <v>267</v>
      </c>
      <c r="O6" s="91"/>
      <c r="P6" s="111"/>
      <c r="Q6" s="106" t="s">
        <v>268</v>
      </c>
    </row>
    <row r="7" spans="1:17" ht="15.75" customHeight="1">
      <c r="A7" s="99" t="s">
        <v>269</v>
      </c>
      <c r="B7" s="109" t="s">
        <v>270</v>
      </c>
      <c r="C7" s="110" t="s">
        <v>271</v>
      </c>
      <c r="D7" s="102"/>
      <c r="E7" s="102" t="s">
        <v>272</v>
      </c>
      <c r="F7" s="102" t="s">
        <v>273</v>
      </c>
      <c r="G7" s="111"/>
      <c r="H7" s="103" t="s">
        <v>274</v>
      </c>
      <c r="I7" s="104" t="s">
        <v>275</v>
      </c>
      <c r="J7" s="103" t="s">
        <v>276</v>
      </c>
      <c r="K7" s="113" t="s">
        <v>277</v>
      </c>
      <c r="L7" s="103" t="s">
        <v>278</v>
      </c>
      <c r="M7" s="105" t="s">
        <v>279</v>
      </c>
      <c r="N7" s="103" t="s">
        <v>280</v>
      </c>
      <c r="O7" s="91"/>
      <c r="P7" s="111"/>
      <c r="Q7" s="106" t="s">
        <v>281</v>
      </c>
    </row>
    <row r="8" spans="1:17" ht="15.75" customHeight="1">
      <c r="A8" s="99" t="s">
        <v>282</v>
      </c>
      <c r="B8" s="107" t="s">
        <v>283</v>
      </c>
      <c r="C8" s="171" t="s">
        <v>284</v>
      </c>
      <c r="D8" s="102"/>
      <c r="E8" s="102" t="s">
        <v>285</v>
      </c>
      <c r="F8" s="102" t="s">
        <v>286</v>
      </c>
      <c r="G8" s="111"/>
      <c r="H8" s="103" t="s">
        <v>287</v>
      </c>
      <c r="I8" s="104" t="s">
        <v>288</v>
      </c>
      <c r="J8" s="103" t="s">
        <v>289</v>
      </c>
      <c r="K8" s="111"/>
      <c r="L8" s="103" t="s">
        <v>290</v>
      </c>
      <c r="M8" s="105" t="s">
        <v>291</v>
      </c>
      <c r="N8" s="103" t="s">
        <v>292</v>
      </c>
      <c r="O8" s="91"/>
      <c r="P8" s="111"/>
      <c r="Q8" s="106" t="s">
        <v>293</v>
      </c>
    </row>
    <row r="9" spans="1:17" ht="15.75" customHeight="1">
      <c r="A9" s="99" t="s">
        <v>294</v>
      </c>
      <c r="B9" s="107" t="s">
        <v>295</v>
      </c>
      <c r="C9" s="172"/>
      <c r="D9" s="102"/>
      <c r="E9" s="102" t="s">
        <v>296</v>
      </c>
      <c r="F9" s="102" t="s">
        <v>297</v>
      </c>
      <c r="G9" s="111"/>
      <c r="H9" s="103" t="s">
        <v>298</v>
      </c>
      <c r="I9" s="111"/>
      <c r="J9" s="103" t="s">
        <v>299</v>
      </c>
      <c r="K9" s="111"/>
      <c r="L9" s="103" t="s">
        <v>300</v>
      </c>
      <c r="M9" s="105" t="s">
        <v>301</v>
      </c>
      <c r="N9" s="103" t="s">
        <v>302</v>
      </c>
      <c r="O9" s="91"/>
      <c r="P9" s="111"/>
      <c r="Q9" s="106" t="s">
        <v>303</v>
      </c>
    </row>
    <row r="10" spans="1:17" ht="15.75" customHeight="1">
      <c r="A10" s="99" t="s">
        <v>304</v>
      </c>
      <c r="B10" s="100" t="s">
        <v>305</v>
      </c>
      <c r="C10" s="171" t="s">
        <v>306</v>
      </c>
      <c r="D10" s="102"/>
      <c r="E10" s="102" t="s">
        <v>307</v>
      </c>
      <c r="F10" s="102" t="s">
        <v>308</v>
      </c>
      <c r="G10" s="111"/>
      <c r="H10" s="103" t="s">
        <v>309</v>
      </c>
      <c r="I10" s="111"/>
      <c r="J10" s="103" t="s">
        <v>310</v>
      </c>
      <c r="K10" s="111"/>
      <c r="L10" s="103" t="s">
        <v>311</v>
      </c>
      <c r="M10" s="105" t="s">
        <v>312</v>
      </c>
      <c r="N10" s="91"/>
      <c r="O10" s="91"/>
      <c r="P10" s="111"/>
      <c r="Q10" s="106" t="s">
        <v>313</v>
      </c>
    </row>
    <row r="11" spans="1:17" ht="15.75" customHeight="1">
      <c r="A11" s="99" t="s">
        <v>314</v>
      </c>
      <c r="B11" s="107" t="s">
        <v>315</v>
      </c>
      <c r="C11" s="145"/>
      <c r="D11" s="102"/>
      <c r="E11" s="102" t="s">
        <v>316</v>
      </c>
      <c r="F11" s="102" t="s">
        <v>317</v>
      </c>
      <c r="G11" s="111"/>
      <c r="H11" s="103" t="s">
        <v>22</v>
      </c>
      <c r="I11" s="102"/>
      <c r="J11" s="103" t="s">
        <v>318</v>
      </c>
      <c r="K11" s="111"/>
      <c r="L11" s="103" t="s">
        <v>319</v>
      </c>
      <c r="M11" s="105" t="s">
        <v>320</v>
      </c>
      <c r="N11" s="91"/>
      <c r="O11" s="91"/>
      <c r="P11" s="111"/>
      <c r="Q11" s="106" t="s">
        <v>321</v>
      </c>
    </row>
    <row r="12" spans="1:17" ht="15.75" customHeight="1">
      <c r="A12" s="99" t="s">
        <v>322</v>
      </c>
      <c r="B12" s="107" t="s">
        <v>323</v>
      </c>
      <c r="C12" s="172"/>
      <c r="D12" s="102"/>
      <c r="E12" s="102" t="s">
        <v>324</v>
      </c>
      <c r="F12" s="102" t="s">
        <v>325</v>
      </c>
      <c r="G12" s="111"/>
      <c r="H12" s="103" t="s">
        <v>326</v>
      </c>
      <c r="I12" s="111"/>
      <c r="J12" s="103" t="s">
        <v>327</v>
      </c>
      <c r="K12" s="111"/>
      <c r="L12" s="103" t="s">
        <v>328</v>
      </c>
      <c r="M12" s="105" t="s">
        <v>329</v>
      </c>
      <c r="N12" s="91"/>
      <c r="O12" s="91"/>
      <c r="P12" s="111"/>
      <c r="Q12" s="106" t="s">
        <v>330</v>
      </c>
    </row>
    <row r="13" spans="1:17" ht="15.75" customHeight="1">
      <c r="A13" s="99" t="s">
        <v>331</v>
      </c>
      <c r="B13" s="100" t="s">
        <v>332</v>
      </c>
      <c r="C13" s="173" t="s">
        <v>333</v>
      </c>
      <c r="D13" s="102"/>
      <c r="E13" s="102" t="s">
        <v>334</v>
      </c>
      <c r="F13" s="102" t="s">
        <v>335</v>
      </c>
      <c r="G13" s="111"/>
      <c r="H13" s="103" t="s">
        <v>336</v>
      </c>
      <c r="I13" s="111"/>
      <c r="J13" s="103" t="s">
        <v>337</v>
      </c>
      <c r="K13" s="111"/>
      <c r="L13" s="103" t="s">
        <v>338</v>
      </c>
      <c r="M13" s="105" t="s">
        <v>339</v>
      </c>
      <c r="N13" s="91"/>
      <c r="O13" s="91"/>
      <c r="P13" s="111"/>
      <c r="Q13" s="106" t="s">
        <v>340</v>
      </c>
    </row>
    <row r="14" spans="1:17" ht="15.75" customHeight="1">
      <c r="A14" s="99" t="s">
        <v>341</v>
      </c>
      <c r="B14" s="100" t="s">
        <v>342</v>
      </c>
      <c r="C14" s="172"/>
      <c r="D14" s="102"/>
      <c r="E14" s="102" t="s">
        <v>343</v>
      </c>
      <c r="F14" s="102" t="s">
        <v>344</v>
      </c>
      <c r="G14" s="111"/>
      <c r="H14" s="103" t="s">
        <v>345</v>
      </c>
      <c r="I14" s="111"/>
      <c r="J14" s="103" t="s">
        <v>346</v>
      </c>
      <c r="K14" s="111"/>
      <c r="L14" s="103" t="s">
        <v>347</v>
      </c>
      <c r="M14" s="105" t="s">
        <v>348</v>
      </c>
      <c r="N14" s="91"/>
      <c r="O14" s="91"/>
      <c r="P14" s="111"/>
      <c r="Q14" s="106" t="s">
        <v>349</v>
      </c>
    </row>
    <row r="15" spans="1:17" ht="15.75" customHeight="1">
      <c r="A15" s="99" t="s">
        <v>350</v>
      </c>
      <c r="B15" s="114" t="s">
        <v>351</v>
      </c>
      <c r="C15" s="112" t="s">
        <v>352</v>
      </c>
      <c r="D15" s="102"/>
      <c r="E15" s="102" t="s">
        <v>15</v>
      </c>
      <c r="F15" s="102" t="s">
        <v>353</v>
      </c>
      <c r="G15" s="111"/>
      <c r="H15" s="103" t="s">
        <v>354</v>
      </c>
      <c r="I15" s="102"/>
      <c r="J15" s="103" t="s">
        <v>355</v>
      </c>
      <c r="K15" s="111"/>
      <c r="L15" s="103" t="s">
        <v>356</v>
      </c>
      <c r="M15" s="105" t="s">
        <v>357</v>
      </c>
      <c r="N15" s="91"/>
      <c r="O15" s="91"/>
      <c r="P15" s="111"/>
      <c r="Q15" s="106" t="s">
        <v>358</v>
      </c>
    </row>
    <row r="16" spans="1:17" ht="15.75" customHeight="1">
      <c r="A16" s="99" t="s">
        <v>359</v>
      </c>
      <c r="B16" s="109" t="s">
        <v>360</v>
      </c>
      <c r="C16" s="112" t="s">
        <v>361</v>
      </c>
      <c r="D16" s="111"/>
      <c r="E16" s="102" t="s">
        <v>362</v>
      </c>
      <c r="F16" s="102" t="s">
        <v>363</v>
      </c>
      <c r="G16" s="111"/>
      <c r="H16" s="103" t="s">
        <v>364</v>
      </c>
      <c r="I16" s="111"/>
      <c r="J16" s="103" t="s">
        <v>365</v>
      </c>
      <c r="K16" s="111"/>
      <c r="L16" s="103" t="s">
        <v>366</v>
      </c>
      <c r="M16" s="105" t="s">
        <v>367</v>
      </c>
      <c r="N16" s="91"/>
      <c r="O16" s="91"/>
      <c r="P16" s="111"/>
      <c r="Q16" s="106" t="s">
        <v>368</v>
      </c>
    </row>
    <row r="17" spans="1:17" ht="15.75" customHeight="1">
      <c r="A17" s="99" t="s">
        <v>369</v>
      </c>
      <c r="B17" s="107" t="s">
        <v>370</v>
      </c>
      <c r="C17" s="173" t="s">
        <v>371</v>
      </c>
      <c r="D17" s="111"/>
      <c r="E17" s="102" t="s">
        <v>372</v>
      </c>
      <c r="F17" s="102" t="s">
        <v>373</v>
      </c>
      <c r="G17" s="111"/>
      <c r="H17" s="103" t="s">
        <v>374</v>
      </c>
      <c r="I17" s="102"/>
      <c r="J17" s="103" t="s">
        <v>375</v>
      </c>
      <c r="K17" s="111"/>
      <c r="L17" s="103" t="s">
        <v>376</v>
      </c>
      <c r="M17" s="105" t="s">
        <v>377</v>
      </c>
      <c r="N17" s="91"/>
      <c r="O17" s="91"/>
      <c r="P17" s="111"/>
      <c r="Q17" s="106" t="s">
        <v>378</v>
      </c>
    </row>
    <row r="18" spans="1:17" ht="15.75" customHeight="1">
      <c r="A18" s="99" t="s">
        <v>379</v>
      </c>
      <c r="B18" s="109" t="s">
        <v>380</v>
      </c>
      <c r="C18" s="172"/>
      <c r="D18" s="111"/>
      <c r="E18" s="102" t="s">
        <v>381</v>
      </c>
      <c r="F18" s="102" t="s">
        <v>382</v>
      </c>
      <c r="G18" s="111"/>
      <c r="H18" s="103" t="s">
        <v>383</v>
      </c>
      <c r="I18" s="105"/>
      <c r="J18" s="103" t="s">
        <v>384</v>
      </c>
      <c r="K18" s="111"/>
      <c r="L18" s="103" t="s">
        <v>385</v>
      </c>
      <c r="M18" s="105" t="s">
        <v>386</v>
      </c>
      <c r="N18" s="91"/>
      <c r="O18" s="91"/>
      <c r="P18" s="111"/>
      <c r="Q18" s="106" t="s">
        <v>387</v>
      </c>
    </row>
    <row r="19" spans="1:17" ht="15.75" customHeight="1">
      <c r="A19" s="99" t="s">
        <v>388</v>
      </c>
      <c r="B19" s="109" t="s">
        <v>389</v>
      </c>
      <c r="C19" s="112" t="s">
        <v>390</v>
      </c>
      <c r="D19" s="111"/>
      <c r="E19" s="102" t="s">
        <v>391</v>
      </c>
      <c r="F19" s="102" t="s">
        <v>392</v>
      </c>
      <c r="G19" s="111"/>
      <c r="H19" s="103" t="s">
        <v>393</v>
      </c>
      <c r="I19" s="105"/>
      <c r="J19" s="103" t="s">
        <v>394</v>
      </c>
      <c r="K19" s="111"/>
      <c r="L19" s="103" t="s">
        <v>395</v>
      </c>
      <c r="M19" s="105" t="s">
        <v>396</v>
      </c>
      <c r="N19" s="91"/>
      <c r="O19" s="91"/>
      <c r="P19" s="111"/>
      <c r="Q19" s="106" t="s">
        <v>397</v>
      </c>
    </row>
    <row r="20" spans="1:17" ht="15.75" customHeight="1">
      <c r="A20" s="99" t="s">
        <v>398</v>
      </c>
      <c r="B20" s="109" t="s">
        <v>399</v>
      </c>
      <c r="C20" s="112" t="s">
        <v>400</v>
      </c>
      <c r="D20" s="111"/>
      <c r="E20" s="102" t="s">
        <v>401</v>
      </c>
      <c r="F20" s="102" t="s">
        <v>402</v>
      </c>
      <c r="G20" s="111"/>
      <c r="H20" s="103" t="s">
        <v>403</v>
      </c>
      <c r="I20" s="111"/>
      <c r="J20" s="103" t="s">
        <v>404</v>
      </c>
      <c r="K20" s="111"/>
      <c r="L20" s="103" t="s">
        <v>405</v>
      </c>
      <c r="M20" s="105" t="s">
        <v>406</v>
      </c>
      <c r="N20" s="91"/>
      <c r="O20" s="91"/>
      <c r="P20" s="111"/>
      <c r="Q20" s="106" t="s">
        <v>407</v>
      </c>
    </row>
    <row r="21" spans="1:17" ht="15.75" customHeight="1">
      <c r="A21" s="99" t="s">
        <v>408</v>
      </c>
      <c r="B21" s="102" t="s">
        <v>409</v>
      </c>
      <c r="C21" s="171" t="s">
        <v>410</v>
      </c>
      <c r="D21" s="111"/>
      <c r="E21" s="102" t="s">
        <v>411</v>
      </c>
      <c r="F21" s="102" t="s">
        <v>412</v>
      </c>
      <c r="G21" s="111"/>
      <c r="H21" s="103" t="s">
        <v>413</v>
      </c>
      <c r="I21" s="111"/>
      <c r="J21" s="103" t="s">
        <v>414</v>
      </c>
      <c r="K21" s="111"/>
      <c r="L21" s="103" t="s">
        <v>415</v>
      </c>
      <c r="M21" s="105" t="s">
        <v>416</v>
      </c>
      <c r="N21" s="91"/>
      <c r="O21" s="91"/>
      <c r="P21" s="111"/>
      <c r="Q21" s="106" t="s">
        <v>417</v>
      </c>
    </row>
    <row r="22" spans="1:17" ht="15.75" customHeight="1">
      <c r="A22" s="99" t="s">
        <v>418</v>
      </c>
      <c r="B22" s="115" t="s">
        <v>419</v>
      </c>
      <c r="C22" s="172"/>
      <c r="D22" s="111"/>
      <c r="E22" s="102" t="s">
        <v>420</v>
      </c>
      <c r="F22" s="116" t="s">
        <v>421</v>
      </c>
      <c r="G22" s="111"/>
      <c r="H22" s="103" t="s">
        <v>422</v>
      </c>
      <c r="I22" s="111"/>
      <c r="J22" s="103" t="s">
        <v>423</v>
      </c>
      <c r="K22" s="111"/>
      <c r="L22" s="103" t="s">
        <v>424</v>
      </c>
      <c r="M22" s="105" t="s">
        <v>425</v>
      </c>
      <c r="N22" s="91"/>
      <c r="O22" s="91"/>
      <c r="P22" s="111"/>
      <c r="Q22" s="106" t="s">
        <v>426</v>
      </c>
    </row>
    <row r="23" spans="1:17" ht="15.75" customHeight="1">
      <c r="A23" s="99" t="s">
        <v>427</v>
      </c>
      <c r="B23" s="115" t="s">
        <v>428</v>
      </c>
      <c r="C23" s="112" t="s">
        <v>429</v>
      </c>
      <c r="D23" s="111"/>
      <c r="E23" s="102" t="s">
        <v>430</v>
      </c>
      <c r="F23" s="102" t="s">
        <v>431</v>
      </c>
      <c r="G23" s="111"/>
      <c r="H23" s="103" t="s">
        <v>432</v>
      </c>
      <c r="I23" s="111"/>
      <c r="J23" s="103" t="s">
        <v>433</v>
      </c>
      <c r="K23" s="111"/>
      <c r="L23" s="111"/>
      <c r="M23" s="105" t="s">
        <v>434</v>
      </c>
      <c r="N23" s="91"/>
      <c r="O23" s="91"/>
      <c r="P23" s="111"/>
      <c r="Q23" s="106" t="s">
        <v>435</v>
      </c>
    </row>
    <row r="24" spans="1:17" ht="15.75" customHeight="1">
      <c r="A24" s="99" t="s">
        <v>436</v>
      </c>
      <c r="B24" s="102" t="s">
        <v>437</v>
      </c>
      <c r="C24" s="171" t="s">
        <v>438</v>
      </c>
      <c r="D24" s="111"/>
      <c r="E24" s="102" t="s">
        <v>439</v>
      </c>
      <c r="F24" s="102" t="s">
        <v>440</v>
      </c>
      <c r="G24" s="111"/>
      <c r="H24" s="103" t="s">
        <v>441</v>
      </c>
      <c r="I24" s="111"/>
      <c r="J24" s="103" t="s">
        <v>442</v>
      </c>
      <c r="K24" s="111"/>
      <c r="L24" s="111"/>
      <c r="M24" s="105" t="s">
        <v>443</v>
      </c>
      <c r="N24" s="91"/>
      <c r="O24" s="91"/>
      <c r="P24" s="111"/>
      <c r="Q24" s="106" t="s">
        <v>444</v>
      </c>
    </row>
    <row r="25" spans="1:17" ht="15.75" customHeight="1">
      <c r="A25" s="111"/>
      <c r="B25" s="102" t="s">
        <v>445</v>
      </c>
      <c r="C25" s="145"/>
      <c r="D25" s="111"/>
      <c r="E25" s="102" t="s">
        <v>446</v>
      </c>
      <c r="F25" s="102" t="s">
        <v>447</v>
      </c>
      <c r="G25" s="111"/>
      <c r="H25" s="103" t="s">
        <v>448</v>
      </c>
      <c r="I25" s="111"/>
      <c r="J25" s="103" t="s">
        <v>449</v>
      </c>
      <c r="K25" s="111"/>
      <c r="L25" s="111"/>
      <c r="M25" s="105" t="s">
        <v>450</v>
      </c>
      <c r="N25" s="91"/>
      <c r="O25" s="91"/>
      <c r="P25" s="111"/>
      <c r="Q25" s="106" t="s">
        <v>451</v>
      </c>
    </row>
    <row r="26" spans="1:17" ht="15.75" customHeight="1">
      <c r="A26" s="111"/>
      <c r="B26" s="102" t="s">
        <v>452</v>
      </c>
      <c r="C26" s="145"/>
      <c r="D26" s="111"/>
      <c r="E26" s="102" t="s">
        <v>453</v>
      </c>
      <c r="F26" s="102" t="s">
        <v>454</v>
      </c>
      <c r="G26" s="111"/>
      <c r="H26" s="103" t="s">
        <v>455</v>
      </c>
      <c r="I26" s="111"/>
      <c r="J26" s="103" t="s">
        <v>456</v>
      </c>
      <c r="K26" s="111"/>
      <c r="L26" s="111"/>
      <c r="M26" s="105" t="s">
        <v>457</v>
      </c>
      <c r="N26" s="91"/>
      <c r="O26" s="91"/>
      <c r="P26" s="111"/>
      <c r="Q26" s="106" t="s">
        <v>458</v>
      </c>
    </row>
    <row r="27" spans="1:17" ht="15.75" customHeight="1">
      <c r="A27" s="111"/>
      <c r="B27" s="115" t="s">
        <v>459</v>
      </c>
      <c r="C27" s="172"/>
      <c r="D27" s="111"/>
      <c r="E27" s="103" t="s">
        <v>460</v>
      </c>
      <c r="F27" s="116" t="s">
        <v>461</v>
      </c>
      <c r="G27" s="111"/>
      <c r="H27" s="103" t="s">
        <v>462</v>
      </c>
      <c r="I27" s="111"/>
      <c r="J27" s="103" t="s">
        <v>463</v>
      </c>
      <c r="K27" s="111"/>
      <c r="L27" s="111"/>
      <c r="M27" s="105" t="s">
        <v>464</v>
      </c>
      <c r="N27" s="91"/>
      <c r="O27" s="91"/>
      <c r="P27" s="111"/>
      <c r="Q27" s="106" t="s">
        <v>465</v>
      </c>
    </row>
    <row r="28" spans="1:17" ht="15.75" customHeight="1">
      <c r="A28" s="111"/>
      <c r="B28" s="102" t="s">
        <v>466</v>
      </c>
      <c r="C28" s="171" t="s">
        <v>467</v>
      </c>
      <c r="D28" s="111"/>
      <c r="E28" s="102" t="s">
        <v>468</v>
      </c>
      <c r="F28" s="102" t="s">
        <v>469</v>
      </c>
      <c r="G28" s="111"/>
      <c r="H28" s="103" t="s">
        <v>470</v>
      </c>
      <c r="I28" s="111"/>
      <c r="J28" s="103" t="s">
        <v>471</v>
      </c>
      <c r="K28" s="111"/>
      <c r="L28" s="111"/>
      <c r="M28" s="105" t="s">
        <v>472</v>
      </c>
      <c r="N28" s="91"/>
      <c r="O28" s="91"/>
      <c r="P28" s="111"/>
      <c r="Q28" s="106" t="s">
        <v>473</v>
      </c>
    </row>
    <row r="29" spans="1:17" ht="15.75" customHeight="1">
      <c r="A29" s="111"/>
      <c r="B29" s="102" t="s">
        <v>474</v>
      </c>
      <c r="C29" s="145"/>
      <c r="D29" s="111"/>
      <c r="E29" s="102" t="s">
        <v>475</v>
      </c>
      <c r="F29" s="102" t="s">
        <v>476</v>
      </c>
      <c r="G29" s="111"/>
      <c r="H29" s="103" t="s">
        <v>477</v>
      </c>
      <c r="I29" s="91"/>
      <c r="J29" s="91"/>
      <c r="K29" s="111"/>
      <c r="L29" s="111"/>
      <c r="M29" s="105" t="s">
        <v>478</v>
      </c>
      <c r="N29" s="91"/>
      <c r="O29" s="91"/>
      <c r="P29" s="111"/>
      <c r="Q29" s="106" t="s">
        <v>479</v>
      </c>
    </row>
    <row r="30" spans="1:17" ht="15.75" customHeight="1">
      <c r="A30" s="111"/>
      <c r="B30" s="115" t="s">
        <v>480</v>
      </c>
      <c r="C30" s="172"/>
      <c r="D30" s="91"/>
      <c r="E30" s="111"/>
      <c r="F30" s="102" t="s">
        <v>481</v>
      </c>
      <c r="G30" s="111"/>
      <c r="H30" s="103" t="s">
        <v>482</v>
      </c>
      <c r="I30" s="91"/>
      <c r="J30" s="91"/>
      <c r="K30" s="111"/>
      <c r="L30" s="111"/>
      <c r="M30" s="105" t="s">
        <v>483</v>
      </c>
      <c r="N30" s="91"/>
      <c r="O30" s="91"/>
      <c r="P30" s="111"/>
      <c r="Q30" s="106" t="s">
        <v>484</v>
      </c>
    </row>
    <row r="31" spans="1:17" ht="15.75" customHeight="1">
      <c r="A31" s="111"/>
      <c r="B31" s="117" t="s">
        <v>485</v>
      </c>
      <c r="C31" s="112" t="s">
        <v>486</v>
      </c>
      <c r="D31" s="91"/>
      <c r="E31" s="111"/>
      <c r="F31" s="102" t="s">
        <v>487</v>
      </c>
      <c r="G31" s="111"/>
      <c r="H31" s="103" t="s">
        <v>488</v>
      </c>
      <c r="I31" s="91"/>
      <c r="J31" s="91"/>
      <c r="K31" s="111"/>
      <c r="L31" s="111"/>
      <c r="M31" s="105" t="s">
        <v>489</v>
      </c>
      <c r="N31" s="91"/>
      <c r="O31" s="91"/>
      <c r="P31" s="111"/>
      <c r="Q31" s="106" t="s">
        <v>490</v>
      </c>
    </row>
    <row r="32" spans="1:17" ht="15.75" customHeight="1">
      <c r="A32" s="91"/>
      <c r="B32" s="91"/>
      <c r="C32" s="91"/>
      <c r="D32" s="91"/>
      <c r="E32" s="111"/>
      <c r="F32" s="102" t="s">
        <v>491</v>
      </c>
      <c r="G32" s="91"/>
      <c r="H32" s="91"/>
      <c r="I32" s="91"/>
      <c r="J32" s="91"/>
      <c r="K32" s="111"/>
      <c r="L32" s="111"/>
      <c r="M32" s="105" t="s">
        <v>492</v>
      </c>
      <c r="N32" s="91"/>
      <c r="O32" s="91"/>
      <c r="P32" s="111"/>
      <c r="Q32" s="106" t="s">
        <v>493</v>
      </c>
    </row>
    <row r="33" spans="1:17" ht="15.75" customHeight="1">
      <c r="A33" s="91"/>
      <c r="B33" s="91"/>
      <c r="C33" s="91"/>
      <c r="D33" s="91"/>
      <c r="E33" s="111"/>
      <c r="F33" s="102" t="s">
        <v>494</v>
      </c>
      <c r="G33" s="91"/>
      <c r="H33" s="91"/>
      <c r="I33" s="91"/>
      <c r="J33" s="91"/>
      <c r="K33" s="111"/>
      <c r="L33" s="102"/>
      <c r="M33" s="105" t="s">
        <v>495</v>
      </c>
      <c r="N33" s="91"/>
      <c r="O33" s="91"/>
      <c r="P33" s="111"/>
      <c r="Q33" s="106" t="s">
        <v>496</v>
      </c>
    </row>
    <row r="34" spans="1:17" ht="15.75" customHeight="1">
      <c r="A34" s="91"/>
      <c r="B34" s="91"/>
      <c r="C34" s="91"/>
      <c r="D34" s="91"/>
      <c r="E34" s="111"/>
      <c r="F34" s="116" t="s">
        <v>497</v>
      </c>
      <c r="G34" s="91"/>
      <c r="H34" s="91"/>
      <c r="I34" s="91"/>
      <c r="J34" s="91"/>
      <c r="K34" s="111"/>
      <c r="L34" s="111"/>
      <c r="M34" s="105" t="s">
        <v>498</v>
      </c>
      <c r="N34" s="91"/>
      <c r="O34" s="91"/>
      <c r="P34" s="111"/>
      <c r="Q34" s="106" t="s">
        <v>499</v>
      </c>
    </row>
    <row r="35" spans="1:17" ht="15.75" customHeight="1">
      <c r="A35" s="91"/>
      <c r="B35" s="91"/>
      <c r="C35" s="91"/>
      <c r="D35" s="91"/>
      <c r="E35" s="111"/>
      <c r="F35" s="102" t="s">
        <v>500</v>
      </c>
      <c r="G35" s="91"/>
      <c r="H35" s="91"/>
      <c r="I35" s="91"/>
      <c r="J35" s="91"/>
      <c r="K35" s="111"/>
      <c r="L35" s="111"/>
      <c r="M35" s="105" t="s">
        <v>501</v>
      </c>
      <c r="N35" s="91"/>
      <c r="O35" s="91"/>
      <c r="P35" s="111"/>
      <c r="Q35" s="106" t="s">
        <v>502</v>
      </c>
    </row>
    <row r="36" spans="1:17" ht="15.75" customHeight="1">
      <c r="A36" s="91"/>
      <c r="B36" s="91"/>
      <c r="C36" s="91"/>
      <c r="D36" s="91"/>
      <c r="E36" s="111"/>
      <c r="F36" s="102" t="s">
        <v>503</v>
      </c>
      <c r="G36" s="91"/>
      <c r="H36" s="91"/>
      <c r="I36" s="91"/>
      <c r="J36" s="91"/>
      <c r="K36" s="111"/>
      <c r="L36" s="111"/>
      <c r="M36" s="105" t="s">
        <v>504</v>
      </c>
      <c r="N36" s="91"/>
      <c r="O36" s="91"/>
      <c r="P36" s="111"/>
      <c r="Q36" s="106" t="s">
        <v>505</v>
      </c>
    </row>
    <row r="37" spans="1:17" ht="15.75" customHeight="1">
      <c r="A37" s="91"/>
      <c r="B37" s="91"/>
      <c r="C37" s="91"/>
      <c r="D37" s="91"/>
      <c r="E37" s="111"/>
      <c r="F37" s="102" t="s">
        <v>506</v>
      </c>
      <c r="G37" s="91"/>
      <c r="H37" s="91"/>
      <c r="I37" s="91"/>
      <c r="J37" s="91"/>
      <c r="K37" s="111"/>
      <c r="L37" s="111"/>
      <c r="M37" s="105" t="s">
        <v>507</v>
      </c>
      <c r="N37" s="91"/>
      <c r="O37" s="91"/>
      <c r="P37" s="111"/>
      <c r="Q37" s="106" t="s">
        <v>508</v>
      </c>
    </row>
    <row r="38" spans="1:17" ht="15.75" customHeight="1">
      <c r="A38" s="91"/>
      <c r="B38" s="91"/>
      <c r="C38" s="91"/>
      <c r="D38" s="91"/>
      <c r="E38" s="111"/>
      <c r="F38" s="102" t="s">
        <v>509</v>
      </c>
      <c r="G38" s="91"/>
      <c r="H38" s="91"/>
      <c r="I38" s="91"/>
      <c r="J38" s="91"/>
      <c r="K38" s="111"/>
      <c r="L38" s="111"/>
      <c r="M38" s="105" t="s">
        <v>510</v>
      </c>
      <c r="N38" s="91"/>
      <c r="O38" s="91"/>
      <c r="P38" s="111"/>
      <c r="Q38" s="106" t="s">
        <v>511</v>
      </c>
    </row>
    <row r="39" spans="1:17" ht="15.75" customHeight="1">
      <c r="A39" s="91"/>
      <c r="B39" s="91"/>
      <c r="C39" s="91"/>
      <c r="D39" s="91"/>
      <c r="E39" s="111"/>
      <c r="F39" s="102" t="s">
        <v>512</v>
      </c>
      <c r="G39" s="91"/>
      <c r="H39" s="91"/>
      <c r="I39" s="91"/>
      <c r="J39" s="91"/>
      <c r="K39" s="111"/>
      <c r="L39" s="111"/>
      <c r="M39" s="105" t="s">
        <v>513</v>
      </c>
      <c r="N39" s="91"/>
      <c r="O39" s="91"/>
      <c r="P39" s="111"/>
      <c r="Q39" s="106" t="s">
        <v>514</v>
      </c>
    </row>
    <row r="40" spans="1:17" ht="15.75" customHeight="1">
      <c r="A40" s="91"/>
      <c r="B40" s="91"/>
      <c r="C40" s="91"/>
      <c r="D40" s="91"/>
      <c r="E40" s="111"/>
      <c r="F40" s="102" t="s">
        <v>515</v>
      </c>
      <c r="G40" s="91"/>
      <c r="H40" s="91"/>
      <c r="I40" s="91"/>
      <c r="J40" s="91"/>
      <c r="K40" s="111"/>
      <c r="L40" s="111"/>
      <c r="M40" s="105" t="s">
        <v>516</v>
      </c>
      <c r="N40" s="91"/>
      <c r="O40" s="91"/>
      <c r="P40" s="111"/>
      <c r="Q40" s="106" t="s">
        <v>517</v>
      </c>
    </row>
    <row r="41" spans="1:17" ht="15.75" customHeight="1">
      <c r="A41" s="91"/>
      <c r="B41" s="91"/>
      <c r="C41" s="91"/>
      <c r="D41" s="91"/>
      <c r="E41" s="111"/>
      <c r="F41" s="102" t="s">
        <v>518</v>
      </c>
      <c r="G41" s="91"/>
      <c r="H41" s="91"/>
      <c r="I41" s="91"/>
      <c r="J41" s="91"/>
      <c r="K41" s="111"/>
      <c r="L41" s="111"/>
      <c r="M41" s="105" t="s">
        <v>519</v>
      </c>
      <c r="N41" s="91"/>
      <c r="O41" s="91"/>
      <c r="P41" s="111"/>
      <c r="Q41" s="106" t="s">
        <v>520</v>
      </c>
    </row>
    <row r="42" spans="1:17" ht="15.75" customHeight="1">
      <c r="A42" s="91"/>
      <c r="B42" s="91"/>
      <c r="C42" s="91"/>
      <c r="D42" s="91"/>
      <c r="E42" s="111"/>
      <c r="F42" s="102" t="s">
        <v>521</v>
      </c>
      <c r="G42" s="91"/>
      <c r="H42" s="91"/>
      <c r="I42" s="91"/>
      <c r="J42" s="91"/>
      <c r="K42" s="111"/>
      <c r="L42" s="111"/>
      <c r="M42" s="105" t="s">
        <v>522</v>
      </c>
      <c r="N42" s="91"/>
      <c r="O42" s="91"/>
      <c r="P42" s="111"/>
      <c r="Q42" s="106" t="s">
        <v>523</v>
      </c>
    </row>
    <row r="43" spans="1:17" ht="15.75" customHeight="1">
      <c r="A43" s="91"/>
      <c r="B43" s="91"/>
      <c r="C43" s="91"/>
      <c r="D43" s="91"/>
      <c r="E43" s="111"/>
      <c r="F43" s="102" t="s">
        <v>524</v>
      </c>
      <c r="G43" s="91"/>
      <c r="H43" s="91"/>
      <c r="I43" s="91"/>
      <c r="J43" s="91"/>
      <c r="K43" s="111"/>
      <c r="L43" s="111"/>
      <c r="M43" s="105" t="s">
        <v>525</v>
      </c>
      <c r="N43" s="91"/>
      <c r="O43" s="91"/>
      <c r="P43" s="111"/>
      <c r="Q43" s="106" t="s">
        <v>526</v>
      </c>
    </row>
    <row r="44" spans="1:17" ht="15.75" customHeight="1">
      <c r="A44" s="91"/>
      <c r="B44" s="91"/>
      <c r="C44" s="91"/>
      <c r="D44" s="91"/>
      <c r="E44" s="111"/>
      <c r="F44" s="102" t="s">
        <v>527</v>
      </c>
      <c r="G44" s="91"/>
      <c r="H44" s="91"/>
      <c r="I44" s="91"/>
      <c r="J44" s="91"/>
      <c r="K44" s="111"/>
      <c r="L44" s="111"/>
      <c r="M44" s="105" t="s">
        <v>528</v>
      </c>
      <c r="N44" s="91"/>
      <c r="O44" s="91"/>
      <c r="P44" s="111"/>
      <c r="Q44" s="106" t="s">
        <v>529</v>
      </c>
    </row>
    <row r="45" spans="1:17" ht="15.75" customHeight="1">
      <c r="A45" s="91"/>
      <c r="B45" s="91"/>
      <c r="C45" s="91"/>
      <c r="D45" s="91"/>
      <c r="E45" s="111"/>
      <c r="F45" s="102" t="s">
        <v>530</v>
      </c>
      <c r="G45" s="91"/>
      <c r="H45" s="91"/>
      <c r="I45" s="91"/>
      <c r="J45" s="91"/>
      <c r="K45" s="111"/>
      <c r="L45" s="111"/>
      <c r="M45" s="105" t="s">
        <v>531</v>
      </c>
      <c r="N45" s="91"/>
      <c r="O45" s="91"/>
      <c r="P45" s="111"/>
      <c r="Q45" s="106" t="s">
        <v>532</v>
      </c>
    </row>
    <row r="46" spans="1:17" ht="15.75" customHeight="1">
      <c r="A46" s="91"/>
      <c r="B46" s="91"/>
      <c r="C46" s="91"/>
      <c r="D46" s="91"/>
      <c r="E46" s="111"/>
      <c r="F46" s="102" t="s">
        <v>533</v>
      </c>
      <c r="G46" s="91"/>
      <c r="H46" s="91"/>
      <c r="I46" s="91"/>
      <c r="J46" s="91"/>
      <c r="K46" s="111"/>
      <c r="L46" s="111"/>
      <c r="M46" s="105" t="s">
        <v>534</v>
      </c>
      <c r="N46" s="91"/>
      <c r="O46" s="91"/>
      <c r="P46" s="111"/>
      <c r="Q46" s="106" t="s">
        <v>535</v>
      </c>
    </row>
    <row r="47" spans="1:17" ht="15.75" customHeight="1">
      <c r="A47" s="91"/>
      <c r="B47" s="91"/>
      <c r="C47" s="91"/>
      <c r="D47" s="91"/>
      <c r="E47" s="111"/>
      <c r="F47" s="102" t="s">
        <v>536</v>
      </c>
      <c r="G47" s="91"/>
      <c r="H47" s="91"/>
      <c r="I47" s="91"/>
      <c r="J47" s="91"/>
      <c r="K47" s="111"/>
      <c r="L47" s="111"/>
      <c r="M47" s="105" t="s">
        <v>537</v>
      </c>
      <c r="N47" s="91"/>
      <c r="O47" s="91"/>
      <c r="P47" s="111"/>
      <c r="Q47" s="106" t="s">
        <v>538</v>
      </c>
    </row>
    <row r="48" spans="1:17" ht="15.75" customHeight="1">
      <c r="A48" s="91"/>
      <c r="B48" s="91"/>
      <c r="C48" s="91"/>
      <c r="D48" s="91"/>
      <c r="E48" s="111"/>
      <c r="F48" s="102" t="s">
        <v>539</v>
      </c>
      <c r="G48" s="91"/>
      <c r="H48" s="91"/>
      <c r="I48" s="91"/>
      <c r="J48" s="91"/>
      <c r="K48" s="111"/>
      <c r="L48" s="111"/>
      <c r="M48" s="105" t="s">
        <v>540</v>
      </c>
      <c r="N48" s="91"/>
      <c r="O48" s="91"/>
      <c r="P48" s="111"/>
      <c r="Q48" s="106" t="s">
        <v>541</v>
      </c>
    </row>
    <row r="49" spans="1:17" ht="15.75" customHeight="1">
      <c r="A49" s="91"/>
      <c r="B49" s="91"/>
      <c r="C49" s="91"/>
      <c r="D49" s="91"/>
      <c r="E49" s="111"/>
      <c r="F49" s="102" t="s">
        <v>542</v>
      </c>
      <c r="G49" s="91"/>
      <c r="H49" s="91"/>
      <c r="I49" s="91"/>
      <c r="J49" s="91"/>
      <c r="K49" s="111"/>
      <c r="L49" s="111"/>
      <c r="M49" s="105" t="s">
        <v>543</v>
      </c>
      <c r="N49" s="91"/>
      <c r="O49" s="91"/>
      <c r="P49" s="111"/>
      <c r="Q49" s="106" t="s">
        <v>544</v>
      </c>
    </row>
    <row r="50" spans="1:17" ht="15.75" customHeight="1">
      <c r="A50" s="91"/>
      <c r="B50" s="91"/>
      <c r="C50" s="91"/>
      <c r="D50" s="91"/>
      <c r="E50" s="111"/>
      <c r="F50" s="102" t="s">
        <v>545</v>
      </c>
      <c r="G50" s="91"/>
      <c r="H50" s="91"/>
      <c r="I50" s="91"/>
      <c r="J50" s="91"/>
      <c r="K50" s="111"/>
      <c r="L50" s="111"/>
      <c r="M50" s="105" t="s">
        <v>546</v>
      </c>
      <c r="N50" s="91"/>
      <c r="O50" s="91"/>
      <c r="P50" s="111"/>
      <c r="Q50" s="106" t="s">
        <v>547</v>
      </c>
    </row>
    <row r="51" spans="1:17" ht="15.75" customHeight="1">
      <c r="A51" s="91"/>
      <c r="B51" s="91"/>
      <c r="C51" s="91"/>
      <c r="D51" s="91"/>
      <c r="E51" s="111"/>
      <c r="F51" s="102" t="s">
        <v>548</v>
      </c>
      <c r="G51" s="91"/>
      <c r="H51" s="91"/>
      <c r="I51" s="91"/>
      <c r="J51" s="91"/>
      <c r="K51" s="111"/>
      <c r="L51" s="111"/>
      <c r="M51" s="105" t="s">
        <v>549</v>
      </c>
      <c r="N51" s="91"/>
      <c r="O51" s="91"/>
      <c r="P51" s="111"/>
      <c r="Q51" s="106" t="s">
        <v>550</v>
      </c>
    </row>
    <row r="52" spans="1:17" ht="15.75" customHeight="1">
      <c r="A52" s="91"/>
      <c r="B52" s="91"/>
      <c r="C52" s="91"/>
      <c r="D52" s="91"/>
      <c r="E52" s="111"/>
      <c r="F52" s="102" t="s">
        <v>551</v>
      </c>
      <c r="G52" s="91"/>
      <c r="H52" s="91"/>
      <c r="I52" s="91"/>
      <c r="J52" s="91"/>
      <c r="K52" s="111"/>
      <c r="L52" s="111"/>
      <c r="M52" s="105" t="s">
        <v>552</v>
      </c>
      <c r="N52" s="91"/>
      <c r="O52" s="91"/>
      <c r="P52" s="111"/>
      <c r="Q52" s="106" t="s">
        <v>553</v>
      </c>
    </row>
    <row r="53" spans="1:17" ht="15.75" customHeight="1">
      <c r="A53" s="91"/>
      <c r="B53" s="91"/>
      <c r="C53" s="91"/>
      <c r="D53" s="91"/>
      <c r="E53" s="111"/>
      <c r="F53" s="116" t="s">
        <v>554</v>
      </c>
      <c r="G53" s="91"/>
      <c r="H53" s="91"/>
      <c r="I53" s="91"/>
      <c r="J53" s="91"/>
      <c r="K53" s="111"/>
      <c r="L53" s="111"/>
      <c r="M53" s="105" t="s">
        <v>555</v>
      </c>
      <c r="N53" s="91"/>
      <c r="O53" s="91"/>
      <c r="P53" s="111"/>
      <c r="Q53" s="106" t="s">
        <v>556</v>
      </c>
    </row>
    <row r="54" spans="1:17" ht="15.75" customHeight="1">
      <c r="A54" s="91"/>
      <c r="B54" s="91"/>
      <c r="C54" s="91"/>
      <c r="D54" s="91"/>
      <c r="E54" s="111"/>
      <c r="F54" s="102" t="s">
        <v>557</v>
      </c>
      <c r="G54" s="91"/>
      <c r="H54" s="91"/>
      <c r="I54" s="91"/>
      <c r="J54" s="91"/>
      <c r="K54" s="111"/>
      <c r="L54" s="111"/>
      <c r="M54" s="105" t="s">
        <v>558</v>
      </c>
      <c r="N54" s="91"/>
      <c r="O54" s="91"/>
      <c r="P54" s="111"/>
      <c r="Q54" s="106" t="s">
        <v>559</v>
      </c>
    </row>
    <row r="55" spans="1:17" ht="15.75" customHeight="1">
      <c r="A55" s="91"/>
      <c r="B55" s="91"/>
      <c r="C55" s="91"/>
      <c r="D55" s="91"/>
      <c r="E55" s="111"/>
      <c r="F55" s="102" t="s">
        <v>560</v>
      </c>
      <c r="G55" s="91"/>
      <c r="H55" s="91"/>
      <c r="I55" s="91"/>
      <c r="J55" s="91"/>
      <c r="K55" s="111"/>
      <c r="L55" s="111"/>
      <c r="M55" s="105" t="s">
        <v>561</v>
      </c>
      <c r="N55" s="91"/>
      <c r="O55" s="91"/>
      <c r="P55" s="111"/>
      <c r="Q55" s="106" t="s">
        <v>562</v>
      </c>
    </row>
    <row r="56" spans="1:17" ht="15.75" customHeight="1">
      <c r="A56" s="91"/>
      <c r="B56" s="91"/>
      <c r="C56" s="91"/>
      <c r="D56" s="91"/>
      <c r="E56" s="111"/>
      <c r="F56" s="102" t="s">
        <v>563</v>
      </c>
      <c r="G56" s="91"/>
      <c r="H56" s="91"/>
      <c r="I56" s="91"/>
      <c r="J56" s="91"/>
      <c r="K56" s="111"/>
      <c r="L56" s="111"/>
      <c r="M56" s="105" t="s">
        <v>564</v>
      </c>
      <c r="N56" s="91"/>
      <c r="O56" s="91"/>
      <c r="P56" s="111"/>
      <c r="Q56" s="106" t="s">
        <v>565</v>
      </c>
    </row>
    <row r="57" spans="1:17" ht="15.75" customHeight="1">
      <c r="A57" s="91"/>
      <c r="B57" s="91"/>
      <c r="C57" s="91"/>
      <c r="D57" s="91"/>
      <c r="E57" s="111"/>
      <c r="F57" s="102" t="s">
        <v>566</v>
      </c>
      <c r="G57" s="91"/>
      <c r="H57" s="91"/>
      <c r="I57" s="91"/>
      <c r="J57" s="91"/>
      <c r="K57" s="111"/>
      <c r="L57" s="111"/>
      <c r="M57" s="105" t="s">
        <v>567</v>
      </c>
      <c r="N57" s="91"/>
      <c r="O57" s="91"/>
      <c r="P57" s="111"/>
      <c r="Q57" s="106" t="s">
        <v>568</v>
      </c>
    </row>
    <row r="58" spans="1:17" ht="15.75" customHeight="1">
      <c r="A58" s="91"/>
      <c r="B58" s="91"/>
      <c r="C58" s="91"/>
      <c r="D58" s="91"/>
      <c r="E58" s="111"/>
      <c r="F58" s="102" t="s">
        <v>569</v>
      </c>
      <c r="G58" s="91"/>
      <c r="H58" s="91"/>
      <c r="I58" s="91"/>
      <c r="J58" s="91"/>
      <c r="K58" s="111"/>
      <c r="L58" s="111"/>
      <c r="M58" s="105" t="s">
        <v>570</v>
      </c>
      <c r="N58" s="91"/>
      <c r="O58" s="91"/>
      <c r="P58" s="111"/>
      <c r="Q58" s="106" t="s">
        <v>571</v>
      </c>
    </row>
    <row r="59" spans="1:17" ht="15.75" customHeight="1">
      <c r="A59" s="91"/>
      <c r="B59" s="91"/>
      <c r="C59" s="91"/>
      <c r="D59" s="91"/>
      <c r="E59" s="111"/>
      <c r="F59" s="102" t="s">
        <v>572</v>
      </c>
      <c r="G59" s="91"/>
      <c r="H59" s="91"/>
      <c r="I59" s="91"/>
      <c r="J59" s="91"/>
      <c r="K59" s="111"/>
      <c r="L59" s="111"/>
      <c r="M59" s="105" t="s">
        <v>573</v>
      </c>
      <c r="N59" s="91"/>
      <c r="O59" s="91"/>
      <c r="P59" s="111"/>
      <c r="Q59" s="106" t="s">
        <v>574</v>
      </c>
    </row>
    <row r="60" spans="1:17" ht="15.75" customHeight="1">
      <c r="A60" s="91"/>
      <c r="B60" s="91"/>
      <c r="C60" s="91"/>
      <c r="D60" s="91"/>
      <c r="E60" s="111"/>
      <c r="F60" s="102" t="s">
        <v>575</v>
      </c>
      <c r="G60" s="91"/>
      <c r="H60" s="91"/>
      <c r="I60" s="91"/>
      <c r="J60" s="91"/>
      <c r="K60" s="111"/>
      <c r="L60" s="111"/>
      <c r="M60" s="105" t="s">
        <v>576</v>
      </c>
      <c r="N60" s="91"/>
      <c r="O60" s="91"/>
      <c r="P60" s="111"/>
      <c r="Q60" s="106" t="s">
        <v>577</v>
      </c>
    </row>
    <row r="61" spans="1:17" ht="15.75" customHeight="1">
      <c r="A61" s="91"/>
      <c r="B61" s="91"/>
      <c r="C61" s="91"/>
      <c r="D61" s="91"/>
      <c r="E61" s="111"/>
      <c r="F61" s="102" t="s">
        <v>578</v>
      </c>
      <c r="G61" s="91"/>
      <c r="H61" s="91"/>
      <c r="I61" s="91"/>
      <c r="J61" s="91"/>
      <c r="K61" s="111"/>
      <c r="L61" s="111"/>
      <c r="M61" s="105" t="s">
        <v>579</v>
      </c>
      <c r="N61" s="91"/>
      <c r="O61" s="91"/>
      <c r="P61" s="111"/>
      <c r="Q61" s="106" t="s">
        <v>580</v>
      </c>
    </row>
    <row r="62" spans="1:17" ht="15.75" customHeight="1">
      <c r="A62" s="91"/>
      <c r="B62" s="91"/>
      <c r="C62" s="91"/>
      <c r="D62" s="91"/>
      <c r="E62" s="111"/>
      <c r="F62" s="102" t="s">
        <v>581</v>
      </c>
      <c r="G62" s="91"/>
      <c r="H62" s="91"/>
      <c r="I62" s="91"/>
      <c r="J62" s="91"/>
      <c r="K62" s="111"/>
      <c r="L62" s="111"/>
      <c r="M62" s="105" t="s">
        <v>582</v>
      </c>
      <c r="N62" s="91"/>
      <c r="O62" s="91"/>
      <c r="P62" s="111"/>
      <c r="Q62" s="106" t="s">
        <v>583</v>
      </c>
    </row>
    <row r="63" spans="1:17" ht="15.75" customHeight="1">
      <c r="A63" s="91"/>
      <c r="B63" s="91"/>
      <c r="C63" s="91"/>
      <c r="D63" s="91"/>
      <c r="E63" s="111"/>
      <c r="F63" s="102" t="s">
        <v>584</v>
      </c>
      <c r="G63" s="91"/>
      <c r="H63" s="91"/>
      <c r="I63" s="91"/>
      <c r="J63" s="91"/>
      <c r="K63" s="111"/>
      <c r="L63" s="111"/>
      <c r="M63" s="105" t="s">
        <v>585</v>
      </c>
      <c r="N63" s="91"/>
      <c r="O63" s="91"/>
      <c r="P63" s="111"/>
      <c r="Q63" s="106" t="s">
        <v>586</v>
      </c>
    </row>
    <row r="64" spans="1:17" ht="15.75" customHeight="1">
      <c r="A64" s="91"/>
      <c r="B64" s="91"/>
      <c r="C64" s="91"/>
      <c r="D64" s="91"/>
      <c r="E64" s="111"/>
      <c r="F64" s="102" t="s">
        <v>587</v>
      </c>
      <c r="G64" s="91"/>
      <c r="H64" s="91"/>
      <c r="I64" s="91"/>
      <c r="J64" s="91"/>
      <c r="K64" s="111"/>
      <c r="L64" s="111"/>
      <c r="M64" s="105" t="s">
        <v>588</v>
      </c>
      <c r="N64" s="91"/>
      <c r="O64" s="91"/>
      <c r="P64" s="111"/>
      <c r="Q64" s="106" t="s">
        <v>589</v>
      </c>
    </row>
    <row r="65" spans="1:17" ht="15.75" customHeight="1">
      <c r="A65" s="91"/>
      <c r="B65" s="91"/>
      <c r="C65" s="91"/>
      <c r="D65" s="91"/>
      <c r="E65" s="111"/>
      <c r="F65" s="102" t="s">
        <v>590</v>
      </c>
      <c r="G65" s="91"/>
      <c r="H65" s="91"/>
      <c r="I65" s="91"/>
      <c r="J65" s="91"/>
      <c r="K65" s="111"/>
      <c r="L65" s="111"/>
      <c r="M65" s="105" t="s">
        <v>591</v>
      </c>
      <c r="N65" s="91"/>
      <c r="O65" s="91"/>
      <c r="P65" s="111"/>
      <c r="Q65" s="106" t="s">
        <v>592</v>
      </c>
    </row>
    <row r="66" spans="1:17" ht="15.75" customHeight="1">
      <c r="A66" s="91"/>
      <c r="B66" s="91"/>
      <c r="C66" s="91"/>
      <c r="D66" s="91"/>
      <c r="E66" s="111"/>
      <c r="F66" s="102" t="s">
        <v>593</v>
      </c>
      <c r="G66" s="91"/>
      <c r="H66" s="91"/>
      <c r="I66" s="91"/>
      <c r="J66" s="91"/>
      <c r="K66" s="111"/>
      <c r="L66" s="111"/>
      <c r="M66" s="105" t="s">
        <v>594</v>
      </c>
      <c r="N66" s="91"/>
      <c r="O66" s="91"/>
      <c r="P66" s="111"/>
      <c r="Q66" s="106" t="s">
        <v>595</v>
      </c>
    </row>
    <row r="67" spans="1:17" ht="15.75" customHeight="1">
      <c r="A67" s="91"/>
      <c r="B67" s="91"/>
      <c r="C67" s="91"/>
      <c r="D67" s="91"/>
      <c r="E67" s="111"/>
      <c r="F67" s="102" t="s">
        <v>17</v>
      </c>
      <c r="G67" s="91"/>
      <c r="H67" s="91"/>
      <c r="I67" s="91"/>
      <c r="J67" s="91"/>
      <c r="K67" s="111"/>
      <c r="L67" s="111"/>
      <c r="M67" s="105" t="s">
        <v>596</v>
      </c>
      <c r="N67" s="91"/>
      <c r="O67" s="91"/>
      <c r="P67" s="111"/>
      <c r="Q67" s="106" t="s">
        <v>597</v>
      </c>
    </row>
    <row r="68" spans="1:17" ht="15.75" customHeight="1">
      <c r="A68" s="91"/>
      <c r="B68" s="91"/>
      <c r="C68" s="91"/>
      <c r="D68" s="91"/>
      <c r="E68" s="111"/>
      <c r="F68" s="102" t="s">
        <v>598</v>
      </c>
      <c r="G68" s="91"/>
      <c r="H68" s="91"/>
      <c r="I68" s="91"/>
      <c r="J68" s="91"/>
      <c r="K68" s="111"/>
      <c r="L68" s="111"/>
      <c r="M68" s="105" t="s">
        <v>599</v>
      </c>
      <c r="N68" s="91"/>
      <c r="O68" s="91"/>
      <c r="P68" s="111"/>
      <c r="Q68" s="106" t="s">
        <v>600</v>
      </c>
    </row>
    <row r="69" spans="1:17" ht="15.75" customHeight="1">
      <c r="A69" s="91"/>
      <c r="B69" s="91"/>
      <c r="C69" s="91"/>
      <c r="D69" s="91"/>
      <c r="E69" s="111"/>
      <c r="F69" s="102" t="s">
        <v>601</v>
      </c>
      <c r="G69" s="91"/>
      <c r="H69" s="91"/>
      <c r="I69" s="91"/>
      <c r="J69" s="91"/>
      <c r="K69" s="111"/>
      <c r="L69" s="111"/>
      <c r="M69" s="105" t="s">
        <v>602</v>
      </c>
      <c r="N69" s="91"/>
      <c r="O69" s="91"/>
      <c r="P69" s="111"/>
      <c r="Q69" s="106" t="s">
        <v>603</v>
      </c>
    </row>
    <row r="70" spans="1:17" ht="15.75" customHeight="1">
      <c r="A70" s="91"/>
      <c r="B70" s="91"/>
      <c r="C70" s="91"/>
      <c r="D70" s="91"/>
      <c r="E70" s="111"/>
      <c r="F70" s="102" t="s">
        <v>604</v>
      </c>
      <c r="G70" s="91"/>
      <c r="H70" s="91"/>
      <c r="I70" s="91"/>
      <c r="J70" s="91"/>
      <c r="K70" s="111"/>
      <c r="L70" s="111"/>
      <c r="M70" s="105" t="s">
        <v>605</v>
      </c>
      <c r="N70" s="91"/>
      <c r="O70" s="91"/>
      <c r="P70" s="111"/>
      <c r="Q70" s="106" t="s">
        <v>606</v>
      </c>
    </row>
    <row r="71" spans="1:17" ht="15.75" customHeight="1">
      <c r="A71" s="91"/>
      <c r="B71" s="91"/>
      <c r="C71" s="91"/>
      <c r="D71" s="91"/>
      <c r="E71" s="111"/>
      <c r="F71" s="102" t="s">
        <v>607</v>
      </c>
      <c r="G71" s="91"/>
      <c r="H71" s="91"/>
      <c r="I71" s="91"/>
      <c r="J71" s="91"/>
      <c r="K71" s="111"/>
      <c r="L71" s="111"/>
      <c r="M71" s="105" t="s">
        <v>608</v>
      </c>
      <c r="N71" s="91"/>
      <c r="O71" s="91"/>
      <c r="P71" s="111"/>
      <c r="Q71" s="106" t="s">
        <v>609</v>
      </c>
    </row>
    <row r="72" spans="1:17" ht="15.75" customHeight="1">
      <c r="A72" s="91"/>
      <c r="B72" s="91"/>
      <c r="C72" s="91"/>
      <c r="D72" s="91"/>
      <c r="E72" s="111"/>
      <c r="F72" s="102" t="s">
        <v>610</v>
      </c>
      <c r="G72" s="91"/>
      <c r="H72" s="91"/>
      <c r="I72" s="91"/>
      <c r="J72" s="91"/>
      <c r="K72" s="111"/>
      <c r="L72" s="111"/>
      <c r="M72" s="105" t="s">
        <v>611</v>
      </c>
      <c r="N72" s="91"/>
      <c r="O72" s="91"/>
      <c r="P72" s="111"/>
      <c r="Q72" s="106" t="s">
        <v>612</v>
      </c>
    </row>
    <row r="73" spans="1:17" ht="15.75" customHeight="1">
      <c r="A73" s="91"/>
      <c r="B73" s="91"/>
      <c r="C73" s="91"/>
      <c r="D73" s="91"/>
      <c r="E73" s="111"/>
      <c r="F73" s="102" t="s">
        <v>613</v>
      </c>
      <c r="G73" s="91"/>
      <c r="H73" s="91"/>
      <c r="I73" s="91"/>
      <c r="J73" s="91"/>
      <c r="K73" s="111"/>
      <c r="L73" s="111"/>
      <c r="M73" s="105" t="s">
        <v>614</v>
      </c>
      <c r="N73" s="91"/>
      <c r="O73" s="91"/>
      <c r="P73" s="111"/>
      <c r="Q73" s="106" t="s">
        <v>615</v>
      </c>
    </row>
    <row r="74" spans="1:17" ht="15.75" customHeight="1">
      <c r="A74" s="91"/>
      <c r="B74" s="91"/>
      <c r="C74" s="91"/>
      <c r="D74" s="91"/>
      <c r="E74" s="111"/>
      <c r="F74" s="102" t="s">
        <v>616</v>
      </c>
      <c r="G74" s="91"/>
      <c r="H74" s="91"/>
      <c r="I74" s="91"/>
      <c r="J74" s="91"/>
      <c r="K74" s="111"/>
      <c r="L74" s="111"/>
      <c r="M74" s="105" t="s">
        <v>617</v>
      </c>
      <c r="N74" s="91"/>
      <c r="O74" s="91"/>
      <c r="P74" s="111"/>
      <c r="Q74" s="106" t="s">
        <v>618</v>
      </c>
    </row>
    <row r="75" spans="1:17" ht="15.75" customHeight="1">
      <c r="A75" s="91"/>
      <c r="B75" s="91"/>
      <c r="C75" s="91"/>
      <c r="D75" s="91"/>
      <c r="E75" s="111"/>
      <c r="F75" s="102" t="s">
        <v>619</v>
      </c>
      <c r="G75" s="91"/>
      <c r="H75" s="91"/>
      <c r="I75" s="91"/>
      <c r="J75" s="91"/>
      <c r="K75" s="111"/>
      <c r="L75" s="111"/>
      <c r="M75" s="105" t="s">
        <v>620</v>
      </c>
      <c r="N75" s="91"/>
      <c r="O75" s="91"/>
      <c r="P75" s="111"/>
      <c r="Q75" s="106" t="s">
        <v>621</v>
      </c>
    </row>
    <row r="76" spans="1:17" ht="15.75" customHeight="1">
      <c r="A76" s="91"/>
      <c r="B76" s="91"/>
      <c r="C76" s="91"/>
      <c r="D76" s="91"/>
      <c r="E76" s="111"/>
      <c r="F76" s="102" t="s">
        <v>622</v>
      </c>
      <c r="G76" s="91"/>
      <c r="H76" s="91"/>
      <c r="I76" s="91"/>
      <c r="J76" s="91"/>
      <c r="K76" s="111"/>
      <c r="L76" s="111"/>
      <c r="M76" s="105" t="s">
        <v>623</v>
      </c>
      <c r="N76" s="91"/>
      <c r="O76" s="91"/>
      <c r="P76" s="111"/>
      <c r="Q76" s="106" t="s">
        <v>624</v>
      </c>
    </row>
    <row r="77" spans="1:17" ht="15.75" customHeight="1">
      <c r="A77" s="91"/>
      <c r="B77" s="91"/>
      <c r="C77" s="91"/>
      <c r="D77" s="91"/>
      <c r="E77" s="111"/>
      <c r="F77" s="102" t="s">
        <v>625</v>
      </c>
      <c r="G77" s="91"/>
      <c r="H77" s="91"/>
      <c r="I77" s="91"/>
      <c r="J77" s="91"/>
      <c r="K77" s="111"/>
      <c r="L77" s="111"/>
      <c r="M77" s="105" t="s">
        <v>626</v>
      </c>
      <c r="N77" s="91"/>
      <c r="O77" s="91"/>
      <c r="P77" s="111"/>
      <c r="Q77" s="106" t="s">
        <v>627</v>
      </c>
    </row>
    <row r="78" spans="1:17" ht="15.75" customHeight="1">
      <c r="A78" s="91"/>
      <c r="B78" s="91"/>
      <c r="C78" s="91"/>
      <c r="D78" s="91"/>
      <c r="E78" s="111"/>
      <c r="F78" s="102" t="s">
        <v>628</v>
      </c>
      <c r="G78" s="91"/>
      <c r="H78" s="91"/>
      <c r="I78" s="91"/>
      <c r="J78" s="91"/>
      <c r="K78" s="111"/>
      <c r="L78" s="111"/>
      <c r="M78" s="105" t="s">
        <v>629</v>
      </c>
      <c r="N78" s="91"/>
      <c r="O78" s="91"/>
      <c r="P78" s="111"/>
      <c r="Q78" s="106" t="s">
        <v>630</v>
      </c>
    </row>
    <row r="79" spans="1:17" ht="15.75" customHeight="1">
      <c r="A79" s="91"/>
      <c r="B79" s="91"/>
      <c r="C79" s="91"/>
      <c r="D79" s="91"/>
      <c r="E79" s="111"/>
      <c r="F79" s="102" t="s">
        <v>631</v>
      </c>
      <c r="G79" s="91"/>
      <c r="H79" s="91"/>
      <c r="I79" s="91"/>
      <c r="J79" s="91"/>
      <c r="K79" s="111"/>
      <c r="L79" s="111"/>
      <c r="M79" s="105" t="s">
        <v>632</v>
      </c>
      <c r="N79" s="91"/>
      <c r="O79" s="91"/>
      <c r="P79" s="111"/>
      <c r="Q79" s="106" t="s">
        <v>633</v>
      </c>
    </row>
    <row r="80" spans="1:17" ht="15.75" customHeight="1">
      <c r="A80" s="91"/>
      <c r="B80" s="91"/>
      <c r="C80" s="91"/>
      <c r="D80" s="91"/>
      <c r="E80" s="111"/>
      <c r="F80" s="102" t="s">
        <v>634</v>
      </c>
      <c r="G80" s="91"/>
      <c r="H80" s="91"/>
      <c r="I80" s="91"/>
      <c r="J80" s="91"/>
      <c r="K80" s="111"/>
      <c r="L80" s="111"/>
      <c r="M80" s="105" t="s">
        <v>635</v>
      </c>
      <c r="N80" s="91"/>
      <c r="O80" s="91"/>
      <c r="P80" s="111"/>
      <c r="Q80" s="106" t="s">
        <v>636</v>
      </c>
    </row>
    <row r="81" spans="1:17" ht="15.75" customHeight="1">
      <c r="A81" s="91"/>
      <c r="B81" s="91"/>
      <c r="C81" s="91"/>
      <c r="D81" s="91"/>
      <c r="E81" s="111"/>
      <c r="F81" s="102" t="s">
        <v>637</v>
      </c>
      <c r="G81" s="91"/>
      <c r="H81" s="91"/>
      <c r="I81" s="91"/>
      <c r="J81" s="91"/>
      <c r="K81" s="111"/>
      <c r="L81" s="111"/>
      <c r="M81" s="105" t="s">
        <v>638</v>
      </c>
      <c r="N81" s="91"/>
      <c r="O81" s="91"/>
      <c r="P81" s="111"/>
      <c r="Q81" s="106" t="s">
        <v>639</v>
      </c>
    </row>
    <row r="82" spans="1:17" ht="15.75" customHeight="1">
      <c r="A82" s="91"/>
      <c r="B82" s="91"/>
      <c r="C82" s="91"/>
      <c r="D82" s="91"/>
      <c r="E82" s="111"/>
      <c r="F82" s="102" t="s">
        <v>640</v>
      </c>
      <c r="G82" s="91"/>
      <c r="H82" s="91"/>
      <c r="I82" s="91"/>
      <c r="J82" s="91"/>
      <c r="K82" s="111"/>
      <c r="L82" s="111"/>
      <c r="M82" s="105" t="s">
        <v>641</v>
      </c>
      <c r="N82" s="91"/>
      <c r="O82" s="91"/>
      <c r="P82" s="111"/>
      <c r="Q82" s="106" t="s">
        <v>642</v>
      </c>
    </row>
    <row r="83" spans="1:17" ht="15.75" customHeight="1">
      <c r="A83" s="91"/>
      <c r="B83" s="91"/>
      <c r="C83" s="91"/>
      <c r="D83" s="91"/>
      <c r="E83" s="111"/>
      <c r="F83" s="102" t="s">
        <v>643</v>
      </c>
      <c r="G83" s="91"/>
      <c r="H83" s="91"/>
      <c r="I83" s="91"/>
      <c r="J83" s="91"/>
      <c r="K83" s="111"/>
      <c r="L83" s="111"/>
      <c r="M83" s="105" t="s">
        <v>644</v>
      </c>
      <c r="N83" s="91"/>
      <c r="O83" s="91"/>
      <c r="P83" s="111"/>
      <c r="Q83" s="106" t="s">
        <v>645</v>
      </c>
    </row>
    <row r="84" spans="1:17" ht="15.75" customHeight="1">
      <c r="A84" s="91"/>
      <c r="B84" s="91"/>
      <c r="C84" s="91"/>
      <c r="D84" s="91"/>
      <c r="E84" s="111"/>
      <c r="F84" s="116" t="s">
        <v>646</v>
      </c>
      <c r="G84" s="91"/>
      <c r="H84" s="91"/>
      <c r="I84" s="91"/>
      <c r="J84" s="91"/>
      <c r="K84" s="111"/>
      <c r="L84" s="111"/>
      <c r="M84" s="105" t="s">
        <v>647</v>
      </c>
      <c r="N84" s="91"/>
      <c r="O84" s="91"/>
      <c r="P84" s="111"/>
      <c r="Q84" s="106" t="s">
        <v>648</v>
      </c>
    </row>
    <row r="85" spans="1:17" ht="15.75" customHeight="1">
      <c r="A85" s="91"/>
      <c r="B85" s="91"/>
      <c r="C85" s="91"/>
      <c r="D85" s="91"/>
      <c r="E85" s="111"/>
      <c r="F85" s="102" t="s">
        <v>649</v>
      </c>
      <c r="G85" s="91"/>
      <c r="H85" s="91"/>
      <c r="I85" s="91"/>
      <c r="J85" s="91"/>
      <c r="K85" s="111"/>
      <c r="L85" s="111"/>
      <c r="M85" s="105" t="s">
        <v>650</v>
      </c>
      <c r="N85" s="91"/>
      <c r="O85" s="91"/>
      <c r="P85" s="111"/>
      <c r="Q85" s="106" t="s">
        <v>651</v>
      </c>
    </row>
    <row r="86" spans="1:17" ht="15.75" customHeight="1">
      <c r="A86" s="91"/>
      <c r="B86" s="91"/>
      <c r="C86" s="91"/>
      <c r="D86" s="91"/>
      <c r="E86" s="111"/>
      <c r="F86" s="102" t="s">
        <v>652</v>
      </c>
      <c r="G86" s="91"/>
      <c r="H86" s="91"/>
      <c r="I86" s="91"/>
      <c r="J86" s="91"/>
      <c r="K86" s="111"/>
      <c r="L86" s="111"/>
      <c r="M86" s="105" t="s">
        <v>653</v>
      </c>
      <c r="N86" s="91"/>
      <c r="O86" s="91"/>
      <c r="P86" s="111"/>
      <c r="Q86" s="106" t="s">
        <v>95</v>
      </c>
    </row>
    <row r="87" spans="1:17" ht="15.75" customHeight="1">
      <c r="A87" s="91"/>
      <c r="B87" s="91"/>
      <c r="C87" s="91"/>
      <c r="D87" s="91"/>
      <c r="E87" s="111"/>
      <c r="F87" s="102" t="s">
        <v>654</v>
      </c>
      <c r="G87" s="91"/>
      <c r="H87" s="91"/>
      <c r="I87" s="91"/>
      <c r="J87" s="91"/>
      <c r="K87" s="111"/>
      <c r="L87" s="111"/>
      <c r="M87" s="108" t="s">
        <v>655</v>
      </c>
      <c r="N87" s="91"/>
      <c r="O87" s="91"/>
      <c r="P87" s="111"/>
      <c r="Q87" s="106" t="s">
        <v>656</v>
      </c>
    </row>
    <row r="88" spans="1:17" ht="15.75" customHeight="1">
      <c r="A88" s="91"/>
      <c r="B88" s="91"/>
      <c r="C88" s="91"/>
      <c r="D88" s="91"/>
      <c r="E88" s="111"/>
      <c r="F88" s="102" t="s">
        <v>657</v>
      </c>
      <c r="G88" s="91"/>
      <c r="H88" s="91"/>
      <c r="I88" s="91"/>
      <c r="J88" s="91"/>
      <c r="K88" s="111"/>
      <c r="L88" s="111"/>
      <c r="M88" s="105" t="s">
        <v>658</v>
      </c>
      <c r="N88" s="91"/>
      <c r="O88" s="91"/>
      <c r="P88" s="111"/>
      <c r="Q88" s="106" t="s">
        <v>78</v>
      </c>
    </row>
    <row r="89" spans="1:17" ht="15.75" customHeight="1">
      <c r="A89" s="91"/>
      <c r="B89" s="91"/>
      <c r="C89" s="91"/>
      <c r="D89" s="91"/>
      <c r="E89" s="111"/>
      <c r="F89" s="102" t="s">
        <v>659</v>
      </c>
      <c r="G89" s="91"/>
      <c r="H89" s="91"/>
      <c r="I89" s="91"/>
      <c r="J89" s="91"/>
      <c r="K89" s="111"/>
      <c r="L89" s="111"/>
      <c r="M89" s="105" t="s">
        <v>660</v>
      </c>
      <c r="N89" s="91"/>
      <c r="O89" s="91"/>
      <c r="P89" s="111"/>
      <c r="Q89" s="106" t="s">
        <v>661</v>
      </c>
    </row>
    <row r="90" spans="1:17" ht="15.75" customHeight="1">
      <c r="A90" s="91"/>
      <c r="B90" s="91"/>
      <c r="C90" s="91"/>
      <c r="D90" s="91"/>
      <c r="E90" s="111"/>
      <c r="F90" s="102" t="s">
        <v>662</v>
      </c>
      <c r="G90" s="91"/>
      <c r="H90" s="91"/>
      <c r="I90" s="91"/>
      <c r="J90" s="91"/>
      <c r="K90" s="102"/>
      <c r="L90" s="111"/>
      <c r="M90" s="105" t="s">
        <v>663</v>
      </c>
      <c r="N90" s="91"/>
      <c r="O90" s="91"/>
      <c r="P90" s="111"/>
      <c r="Q90" s="106" t="s">
        <v>664</v>
      </c>
    </row>
    <row r="91" spans="1:17" ht="15.75" customHeight="1">
      <c r="A91" s="91"/>
      <c r="B91" s="91"/>
      <c r="C91" s="91"/>
      <c r="D91" s="91"/>
      <c r="E91" s="111"/>
      <c r="F91" s="116" t="s">
        <v>665</v>
      </c>
      <c r="G91" s="91"/>
      <c r="H91" s="91"/>
      <c r="I91" s="91"/>
      <c r="J91" s="91"/>
      <c r="K91" s="91"/>
      <c r="L91" s="111"/>
      <c r="M91" s="105" t="s">
        <v>666</v>
      </c>
      <c r="N91" s="91"/>
      <c r="O91" s="91"/>
      <c r="P91" s="111"/>
      <c r="Q91" s="106" t="s">
        <v>667</v>
      </c>
    </row>
    <row r="92" spans="1:17" ht="15.75" customHeight="1">
      <c r="A92" s="91"/>
      <c r="B92" s="91"/>
      <c r="C92" s="91"/>
      <c r="D92" s="91"/>
      <c r="E92" s="111"/>
      <c r="F92" s="102" t="s">
        <v>668</v>
      </c>
      <c r="G92" s="91"/>
      <c r="H92" s="91"/>
      <c r="I92" s="91"/>
      <c r="J92" s="91"/>
      <c r="K92" s="111"/>
      <c r="L92" s="111"/>
      <c r="M92" s="105" t="s">
        <v>669</v>
      </c>
      <c r="N92" s="91"/>
      <c r="O92" s="91"/>
      <c r="P92" s="111"/>
      <c r="Q92" s="106" t="s">
        <v>160</v>
      </c>
    </row>
    <row r="93" spans="1:17" ht="15.75" customHeight="1">
      <c r="A93" s="91"/>
      <c r="B93" s="91"/>
      <c r="C93" s="91"/>
      <c r="D93" s="91"/>
      <c r="E93" s="111"/>
      <c r="F93" s="102" t="s">
        <v>670</v>
      </c>
      <c r="G93" s="91"/>
      <c r="H93" s="91"/>
      <c r="I93" s="91"/>
      <c r="J93" s="91"/>
      <c r="K93" s="111"/>
      <c r="L93" s="111"/>
      <c r="M93" s="101" t="s">
        <v>671</v>
      </c>
      <c r="N93" s="91"/>
      <c r="O93" s="91"/>
      <c r="P93" s="111"/>
      <c r="Q93" s="106" t="s">
        <v>672</v>
      </c>
    </row>
    <row r="94" spans="1:17" ht="15.75" customHeight="1">
      <c r="A94" s="91"/>
      <c r="B94" s="91"/>
      <c r="C94" s="91"/>
      <c r="D94" s="91"/>
      <c r="E94" s="111"/>
      <c r="F94" s="102" t="s">
        <v>673</v>
      </c>
      <c r="G94" s="91"/>
      <c r="H94" s="91"/>
      <c r="I94" s="91"/>
      <c r="J94" s="91"/>
      <c r="K94" s="111"/>
      <c r="L94" s="91"/>
      <c r="M94" s="91"/>
      <c r="N94" s="91"/>
      <c r="O94" s="91"/>
      <c r="P94" s="111"/>
      <c r="Q94" s="106" t="s">
        <v>674</v>
      </c>
    </row>
    <row r="95" spans="1:17" ht="15.75" customHeight="1">
      <c r="A95" s="91"/>
      <c r="B95" s="91"/>
      <c r="C95" s="91"/>
      <c r="D95" s="91"/>
      <c r="E95" s="111"/>
      <c r="F95" s="102" t="s">
        <v>675</v>
      </c>
      <c r="G95" s="91"/>
      <c r="H95" s="91"/>
      <c r="I95" s="91"/>
      <c r="J95" s="91"/>
      <c r="K95" s="111"/>
      <c r="L95" s="91"/>
      <c r="M95" s="91"/>
      <c r="N95" s="91"/>
      <c r="O95" s="91"/>
      <c r="P95" s="111"/>
      <c r="Q95" s="106" t="s">
        <v>676</v>
      </c>
    </row>
    <row r="96" spans="1:17" ht="15.75" customHeight="1">
      <c r="A96" s="91"/>
      <c r="B96" s="91"/>
      <c r="C96" s="91"/>
      <c r="D96" s="91"/>
      <c r="E96" s="111"/>
      <c r="F96" s="102" t="s">
        <v>677</v>
      </c>
      <c r="G96" s="91"/>
      <c r="H96" s="91"/>
      <c r="I96" s="91"/>
      <c r="J96" s="91"/>
      <c r="K96" s="111"/>
      <c r="L96" s="91"/>
      <c r="M96" s="91"/>
      <c r="N96" s="91"/>
      <c r="O96" s="91"/>
      <c r="P96" s="111"/>
      <c r="Q96" s="106" t="s">
        <v>678</v>
      </c>
    </row>
    <row r="97" spans="1:17" ht="15.75" customHeight="1">
      <c r="A97" s="91"/>
      <c r="B97" s="91"/>
      <c r="C97" s="91"/>
      <c r="D97" s="91"/>
      <c r="E97" s="111"/>
      <c r="F97" s="102" t="s">
        <v>679</v>
      </c>
      <c r="G97" s="91"/>
      <c r="H97" s="91"/>
      <c r="I97" s="91"/>
      <c r="J97" s="91"/>
      <c r="K97" s="111"/>
      <c r="L97" s="91"/>
      <c r="M97" s="91"/>
      <c r="N97" s="91"/>
      <c r="O97" s="91"/>
      <c r="P97" s="111"/>
      <c r="Q97" s="106" t="s">
        <v>680</v>
      </c>
    </row>
    <row r="98" spans="1:17" ht="15.75" customHeight="1">
      <c r="A98" s="91"/>
      <c r="B98" s="91"/>
      <c r="C98" s="91"/>
      <c r="D98" s="91"/>
      <c r="E98" s="111"/>
      <c r="F98" s="102" t="s">
        <v>681</v>
      </c>
      <c r="G98" s="91"/>
      <c r="H98" s="91"/>
      <c r="I98" s="91"/>
      <c r="J98" s="91"/>
      <c r="K98" s="111"/>
      <c r="L98" s="91"/>
      <c r="M98" s="91"/>
      <c r="N98" s="91"/>
      <c r="O98" s="91"/>
      <c r="P98" s="111"/>
      <c r="Q98" s="106" t="s">
        <v>682</v>
      </c>
    </row>
    <row r="99" spans="1:17" ht="15.75" customHeight="1">
      <c r="A99" s="91"/>
      <c r="B99" s="91"/>
      <c r="C99" s="91"/>
      <c r="D99" s="91"/>
      <c r="E99" s="111"/>
      <c r="F99" s="102" t="s">
        <v>683</v>
      </c>
      <c r="G99" s="91"/>
      <c r="H99" s="91"/>
      <c r="I99" s="91"/>
      <c r="J99" s="91"/>
      <c r="K99" s="111"/>
      <c r="L99" s="91"/>
      <c r="M99" s="91"/>
      <c r="N99" s="91"/>
      <c r="O99" s="91"/>
      <c r="P99" s="91"/>
      <c r="Q99" s="91"/>
    </row>
    <row r="100" spans="1:17" ht="15.75" customHeight="1">
      <c r="A100" s="91"/>
      <c r="B100" s="91"/>
      <c r="C100" s="91"/>
      <c r="D100" s="91"/>
      <c r="E100" s="111"/>
      <c r="F100" s="116" t="s">
        <v>684</v>
      </c>
      <c r="G100" s="91"/>
      <c r="H100" s="91"/>
      <c r="I100" s="91"/>
      <c r="J100" s="91"/>
      <c r="K100" s="111"/>
      <c r="L100" s="91"/>
      <c r="M100" s="91"/>
      <c r="N100" s="91"/>
      <c r="O100" s="91"/>
      <c r="P100" s="91"/>
      <c r="Q100" s="91"/>
    </row>
    <row r="101" spans="1:17" ht="15.75" customHeight="1">
      <c r="A101" s="91"/>
      <c r="B101" s="91"/>
      <c r="C101" s="91"/>
      <c r="D101" s="91"/>
      <c r="E101" s="111"/>
      <c r="F101" s="102" t="s">
        <v>685</v>
      </c>
      <c r="G101" s="91"/>
      <c r="H101" s="91"/>
      <c r="I101" s="91"/>
      <c r="J101" s="91"/>
      <c r="K101" s="111"/>
      <c r="L101" s="91"/>
      <c r="M101" s="91"/>
      <c r="N101" s="91"/>
      <c r="O101" s="91"/>
      <c r="P101" s="91"/>
      <c r="Q101" s="91"/>
    </row>
    <row r="102" spans="1:17" ht="15.75" customHeight="1">
      <c r="A102" s="91"/>
      <c r="B102" s="91"/>
      <c r="C102" s="91"/>
      <c r="D102" s="91"/>
      <c r="E102" s="111"/>
      <c r="F102" s="102" t="s">
        <v>686</v>
      </c>
      <c r="G102" s="91"/>
      <c r="H102" s="91"/>
      <c r="I102" s="91"/>
      <c r="J102" s="91"/>
      <c r="K102" s="111"/>
      <c r="L102" s="91"/>
      <c r="M102" s="91"/>
      <c r="N102" s="91"/>
      <c r="O102" s="91"/>
      <c r="P102" s="91"/>
      <c r="Q102" s="91"/>
    </row>
    <row r="103" spans="1:17" ht="15.75" customHeight="1">
      <c r="A103" s="91"/>
      <c r="B103" s="91"/>
      <c r="C103" s="91"/>
      <c r="D103" s="91"/>
      <c r="E103" s="111"/>
      <c r="F103" s="102" t="s">
        <v>687</v>
      </c>
      <c r="G103" s="91"/>
      <c r="H103" s="91"/>
      <c r="I103" s="91"/>
      <c r="J103" s="91"/>
      <c r="K103" s="111"/>
      <c r="L103" s="91"/>
      <c r="M103" s="91"/>
      <c r="N103" s="91"/>
      <c r="O103" s="91"/>
      <c r="P103" s="91"/>
      <c r="Q103" s="91"/>
    </row>
    <row r="104" spans="1:17" ht="15.75" customHeight="1">
      <c r="A104" s="91"/>
      <c r="B104" s="91"/>
      <c r="C104" s="91"/>
      <c r="D104" s="91"/>
      <c r="E104" s="111"/>
      <c r="F104" s="102" t="s">
        <v>688</v>
      </c>
      <c r="G104" s="91"/>
      <c r="H104" s="91"/>
      <c r="I104" s="91"/>
      <c r="J104" s="91"/>
      <c r="K104" s="111"/>
      <c r="L104" s="91"/>
      <c r="M104" s="91"/>
      <c r="N104" s="91"/>
      <c r="O104" s="91"/>
      <c r="P104" s="91"/>
      <c r="Q104" s="91"/>
    </row>
    <row r="105" spans="1:17" ht="15.75" customHeight="1">
      <c r="A105" s="91"/>
      <c r="B105" s="91"/>
      <c r="C105" s="91"/>
      <c r="D105" s="91"/>
      <c r="E105" s="111"/>
      <c r="F105" s="116" t="s">
        <v>689</v>
      </c>
      <c r="G105" s="91"/>
      <c r="H105" s="91"/>
      <c r="I105" s="91"/>
      <c r="J105" s="91"/>
      <c r="K105" s="111"/>
      <c r="L105" s="91"/>
      <c r="M105" s="91"/>
      <c r="N105" s="91"/>
      <c r="O105" s="91"/>
      <c r="P105" s="91"/>
      <c r="Q105" s="91"/>
    </row>
    <row r="106" spans="1:17" ht="15.75" customHeight="1">
      <c r="A106" s="91"/>
      <c r="B106" s="91"/>
      <c r="C106" s="91"/>
      <c r="D106" s="91"/>
      <c r="E106" s="111"/>
      <c r="F106" s="116" t="s">
        <v>690</v>
      </c>
      <c r="G106" s="91"/>
      <c r="H106" s="91"/>
      <c r="I106" s="91"/>
      <c r="J106" s="91"/>
      <c r="K106" s="111"/>
      <c r="L106" s="91"/>
      <c r="M106" s="91"/>
      <c r="N106" s="91"/>
      <c r="O106" s="91"/>
      <c r="P106" s="91"/>
      <c r="Q106" s="91"/>
    </row>
    <row r="107" spans="1:17" ht="15.75" customHeight="1">
      <c r="A107" s="91"/>
      <c r="B107" s="91"/>
      <c r="C107" s="91"/>
      <c r="D107" s="91"/>
      <c r="E107" s="111"/>
      <c r="F107" s="116" t="s">
        <v>691</v>
      </c>
      <c r="G107" s="91"/>
      <c r="H107" s="91"/>
      <c r="I107" s="91"/>
      <c r="J107" s="91"/>
      <c r="K107" s="111"/>
      <c r="L107" s="91"/>
      <c r="M107" s="91"/>
      <c r="N107" s="91"/>
      <c r="O107" s="91"/>
      <c r="P107" s="91"/>
      <c r="Q107" s="91"/>
    </row>
    <row r="108" spans="1:17" ht="15.75" customHeight="1">
      <c r="A108" s="91"/>
      <c r="B108" s="91"/>
      <c r="C108" s="91"/>
      <c r="D108" s="91"/>
      <c r="E108" s="111"/>
      <c r="F108" s="102" t="s">
        <v>692</v>
      </c>
      <c r="G108" s="91"/>
      <c r="H108" s="91"/>
      <c r="I108" s="91"/>
      <c r="J108" s="91"/>
      <c r="K108" s="111"/>
      <c r="L108" s="91"/>
      <c r="M108" s="91"/>
      <c r="N108" s="91"/>
      <c r="O108" s="91"/>
      <c r="P108" s="91"/>
      <c r="Q108" s="91"/>
    </row>
    <row r="109" spans="1:17" ht="15.75" customHeight="1">
      <c r="A109" s="91"/>
      <c r="B109" s="91"/>
      <c r="C109" s="91"/>
      <c r="D109" s="91"/>
      <c r="E109" s="111"/>
      <c r="F109" s="102" t="s">
        <v>693</v>
      </c>
      <c r="G109" s="91"/>
      <c r="H109" s="91"/>
      <c r="I109" s="91"/>
      <c r="J109" s="91"/>
      <c r="K109" s="111"/>
      <c r="L109" s="91"/>
      <c r="M109" s="91"/>
      <c r="N109" s="91"/>
      <c r="O109" s="91"/>
      <c r="P109" s="91"/>
      <c r="Q109" s="91"/>
    </row>
    <row r="110" spans="1:17" ht="15.75" customHeight="1">
      <c r="A110" s="91"/>
      <c r="B110" s="91"/>
      <c r="C110" s="91"/>
      <c r="D110" s="91"/>
      <c r="E110" s="111"/>
      <c r="F110" s="102" t="s">
        <v>694</v>
      </c>
      <c r="G110" s="91"/>
      <c r="H110" s="91"/>
      <c r="I110" s="91"/>
      <c r="J110" s="91"/>
      <c r="K110" s="111"/>
      <c r="L110" s="91"/>
      <c r="M110" s="91"/>
      <c r="N110" s="91"/>
      <c r="O110" s="91"/>
      <c r="P110" s="91"/>
      <c r="Q110" s="91"/>
    </row>
    <row r="111" spans="1:17" ht="15.75" customHeight="1">
      <c r="A111" s="91"/>
      <c r="B111" s="91"/>
      <c r="C111" s="91"/>
      <c r="D111" s="91"/>
      <c r="E111" s="111"/>
      <c r="F111" s="116" t="s">
        <v>695</v>
      </c>
      <c r="G111" s="91"/>
      <c r="H111" s="91"/>
      <c r="I111" s="91"/>
      <c r="J111" s="91"/>
      <c r="K111" s="111"/>
      <c r="L111" s="91"/>
      <c r="M111" s="91"/>
      <c r="N111" s="91"/>
      <c r="O111" s="91"/>
      <c r="P111" s="91"/>
      <c r="Q111" s="91"/>
    </row>
    <row r="112" spans="1:17" ht="15.75" customHeight="1">
      <c r="A112" s="91"/>
      <c r="B112" s="91"/>
      <c r="C112" s="91"/>
      <c r="D112" s="91"/>
      <c r="E112" s="111"/>
      <c r="F112" s="102" t="s">
        <v>696</v>
      </c>
      <c r="G112" s="91"/>
      <c r="H112" s="91"/>
      <c r="I112" s="91"/>
      <c r="J112" s="91"/>
      <c r="K112" s="111"/>
      <c r="L112" s="91"/>
      <c r="M112" s="91"/>
      <c r="N112" s="91"/>
      <c r="O112" s="91"/>
      <c r="P112" s="91"/>
      <c r="Q112" s="91"/>
    </row>
    <row r="113" spans="1:17" ht="15.75" customHeight="1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111"/>
      <c r="L113" s="91"/>
      <c r="M113" s="91"/>
      <c r="N113" s="91"/>
      <c r="O113" s="91"/>
      <c r="P113" s="91"/>
      <c r="Q113" s="91"/>
    </row>
    <row r="114" spans="1:17" ht="15.75" customHeight="1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111"/>
      <c r="L114" s="91"/>
      <c r="M114" s="91"/>
      <c r="N114" s="91"/>
      <c r="O114" s="91"/>
      <c r="P114" s="91"/>
      <c r="Q114" s="91"/>
    </row>
    <row r="115" spans="1:17" ht="15.7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111"/>
      <c r="L115" s="91"/>
      <c r="M115" s="91"/>
      <c r="N115" s="91"/>
      <c r="O115" s="91"/>
      <c r="P115" s="91"/>
      <c r="Q115" s="91"/>
    </row>
    <row r="116" spans="1:17" ht="15.75" customHeight="1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111"/>
      <c r="L116" s="91"/>
      <c r="M116" s="91"/>
      <c r="N116" s="91"/>
      <c r="O116" s="91"/>
      <c r="P116" s="91"/>
      <c r="Q116" s="91"/>
    </row>
    <row r="117" spans="1:17" ht="15.75" customHeight="1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111"/>
      <c r="L117" s="91"/>
      <c r="M117" s="91"/>
      <c r="N117" s="91"/>
      <c r="O117" s="91"/>
      <c r="P117" s="91"/>
      <c r="Q117" s="91"/>
    </row>
    <row r="118" spans="1:17" ht="15.75" customHeight="1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111"/>
      <c r="L118" s="91"/>
      <c r="M118" s="91"/>
      <c r="N118" s="91"/>
      <c r="O118" s="91"/>
      <c r="P118" s="91"/>
      <c r="Q118" s="91"/>
    </row>
    <row r="119" spans="1:17" ht="15.75" customHeight="1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111"/>
      <c r="L119" s="91"/>
      <c r="M119" s="91"/>
      <c r="N119" s="91"/>
      <c r="O119" s="91"/>
      <c r="P119" s="91"/>
      <c r="Q119" s="91"/>
    </row>
    <row r="120" spans="1:17" ht="15.75" customHeight="1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111"/>
      <c r="L120" s="91"/>
      <c r="M120" s="91"/>
      <c r="N120" s="91"/>
      <c r="O120" s="91"/>
      <c r="P120" s="91"/>
      <c r="Q120" s="91"/>
    </row>
    <row r="121" spans="1:17" ht="15.75" customHeight="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111"/>
      <c r="L121" s="91"/>
      <c r="M121" s="91"/>
      <c r="N121" s="91"/>
      <c r="O121" s="91"/>
      <c r="P121" s="91"/>
      <c r="Q121" s="91"/>
    </row>
    <row r="122" spans="1:17" ht="15.75" customHeight="1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111"/>
      <c r="L122" s="91"/>
      <c r="M122" s="91"/>
      <c r="N122" s="91"/>
      <c r="O122" s="91"/>
      <c r="P122" s="91"/>
      <c r="Q122" s="91"/>
    </row>
    <row r="123" spans="1:17" ht="15.75" customHeight="1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111"/>
      <c r="L123" s="91"/>
      <c r="M123" s="91"/>
      <c r="N123" s="91"/>
      <c r="O123" s="91"/>
      <c r="P123" s="91"/>
      <c r="Q123" s="91"/>
    </row>
    <row r="124" spans="1:17" ht="15.75" customHeight="1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111"/>
      <c r="L124" s="91"/>
      <c r="M124" s="91"/>
      <c r="N124" s="91"/>
      <c r="O124" s="91"/>
      <c r="P124" s="91"/>
      <c r="Q124" s="91"/>
    </row>
    <row r="125" spans="1:17" ht="15.75" customHeight="1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111"/>
      <c r="L125" s="91"/>
      <c r="M125" s="91"/>
      <c r="N125" s="91"/>
      <c r="O125" s="91"/>
      <c r="P125" s="91"/>
      <c r="Q125" s="91"/>
    </row>
    <row r="126" spans="1:17" ht="15.75" customHeight="1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111"/>
      <c r="L126" s="91"/>
      <c r="M126" s="91"/>
      <c r="N126" s="91"/>
      <c r="O126" s="91"/>
      <c r="P126" s="91"/>
      <c r="Q126" s="91"/>
    </row>
    <row r="127" spans="1:17" ht="15.75" customHeight="1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111"/>
      <c r="L127" s="91"/>
      <c r="M127" s="91"/>
      <c r="N127" s="91"/>
      <c r="O127" s="91"/>
      <c r="P127" s="91"/>
      <c r="Q127" s="91"/>
    </row>
    <row r="128" spans="1:17" ht="15.75" customHeight="1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111"/>
      <c r="L128" s="91"/>
      <c r="M128" s="91"/>
      <c r="N128" s="91"/>
      <c r="O128" s="91"/>
      <c r="P128" s="91"/>
      <c r="Q128" s="91"/>
    </row>
    <row r="129" spans="1:17" ht="15.75" customHeight="1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111"/>
      <c r="L129" s="91"/>
      <c r="M129" s="91"/>
      <c r="N129" s="91"/>
      <c r="O129" s="91"/>
      <c r="P129" s="91"/>
      <c r="Q129" s="91"/>
    </row>
    <row r="130" spans="1:17" ht="15.75" customHeight="1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111"/>
      <c r="L130" s="91"/>
      <c r="M130" s="91"/>
      <c r="N130" s="91"/>
      <c r="O130" s="91"/>
      <c r="P130" s="91"/>
      <c r="Q130" s="91"/>
    </row>
    <row r="131" spans="1:17" ht="15.75" customHeight="1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111"/>
      <c r="L131" s="91"/>
      <c r="M131" s="91"/>
      <c r="N131" s="91"/>
      <c r="O131" s="91"/>
      <c r="P131" s="91"/>
      <c r="Q131" s="91"/>
    </row>
    <row r="132" spans="1:17" ht="15.75" customHeight="1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111"/>
      <c r="L132" s="91"/>
      <c r="M132" s="91"/>
      <c r="N132" s="91"/>
      <c r="O132" s="91"/>
      <c r="P132" s="91"/>
      <c r="Q132" s="91"/>
    </row>
    <row r="133" spans="1:17" ht="15.75" customHeight="1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111"/>
      <c r="L133" s="91"/>
      <c r="M133" s="91"/>
      <c r="N133" s="91"/>
      <c r="O133" s="91"/>
      <c r="P133" s="91"/>
      <c r="Q133" s="91"/>
    </row>
    <row r="134" spans="1:17" ht="15.75" customHeight="1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111"/>
      <c r="L134" s="91"/>
      <c r="M134" s="91"/>
      <c r="N134" s="91"/>
      <c r="O134" s="91"/>
      <c r="P134" s="91"/>
      <c r="Q134" s="91"/>
    </row>
    <row r="135" spans="1:17" ht="15.75" customHeight="1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111"/>
      <c r="L135" s="91"/>
      <c r="M135" s="91"/>
      <c r="N135" s="91"/>
      <c r="O135" s="91"/>
      <c r="P135" s="91"/>
      <c r="Q135" s="91"/>
    </row>
    <row r="136" spans="1:17" ht="15.75" customHeight="1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111"/>
      <c r="L136" s="91"/>
      <c r="M136" s="91"/>
      <c r="N136" s="91"/>
      <c r="O136" s="91"/>
      <c r="P136" s="91"/>
      <c r="Q136" s="91"/>
    </row>
    <row r="137" spans="1:17" ht="15.75" customHeight="1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111"/>
      <c r="L137" s="91"/>
      <c r="M137" s="91"/>
      <c r="N137" s="91"/>
      <c r="O137" s="91"/>
      <c r="P137" s="91"/>
      <c r="Q137" s="91"/>
    </row>
    <row r="138" spans="1:17" ht="15.75" customHeight="1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111"/>
      <c r="L138" s="91"/>
      <c r="M138" s="91"/>
      <c r="N138" s="91"/>
      <c r="O138" s="91"/>
      <c r="P138" s="91"/>
      <c r="Q138" s="91"/>
    </row>
    <row r="139" spans="1:17" ht="15.75" customHeight="1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111"/>
      <c r="L139" s="91"/>
      <c r="M139" s="91"/>
      <c r="N139" s="91"/>
      <c r="O139" s="91"/>
      <c r="P139" s="91"/>
      <c r="Q139" s="91"/>
    </row>
    <row r="140" spans="1:17" ht="15.75" customHeight="1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111"/>
      <c r="L140" s="91"/>
      <c r="M140" s="91"/>
      <c r="N140" s="91"/>
      <c r="O140" s="91"/>
      <c r="P140" s="91"/>
      <c r="Q140" s="91"/>
    </row>
    <row r="141" spans="1:17" ht="15.75" customHeight="1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111"/>
      <c r="L141" s="91"/>
      <c r="M141" s="91"/>
      <c r="N141" s="91"/>
      <c r="O141" s="91"/>
      <c r="P141" s="91"/>
      <c r="Q141" s="91"/>
    </row>
    <row r="142" spans="1:17" ht="15.75" customHeight="1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111"/>
      <c r="L142" s="91"/>
      <c r="M142" s="91"/>
      <c r="N142" s="91"/>
      <c r="O142" s="91"/>
      <c r="P142" s="91"/>
      <c r="Q142" s="91"/>
    </row>
    <row r="143" spans="1:17" ht="15.75" customHeight="1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111"/>
      <c r="L143" s="91"/>
      <c r="M143" s="91"/>
      <c r="N143" s="91"/>
      <c r="O143" s="91"/>
      <c r="P143" s="91"/>
      <c r="Q143" s="91"/>
    </row>
    <row r="144" spans="1:17" ht="15.75" customHeight="1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111"/>
      <c r="L144" s="91"/>
      <c r="M144" s="91"/>
      <c r="N144" s="91"/>
      <c r="O144" s="91"/>
      <c r="P144" s="91"/>
      <c r="Q144" s="91"/>
    </row>
    <row r="145" spans="1:17" ht="15.75" customHeight="1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102"/>
      <c r="L145" s="91"/>
      <c r="M145" s="91"/>
      <c r="N145" s="91"/>
      <c r="O145" s="91"/>
      <c r="P145" s="91"/>
      <c r="Q145" s="91"/>
    </row>
    <row r="146" spans="1:17" ht="15.75" customHeight="1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</row>
    <row r="147" spans="1:17" ht="15.75" customHeight="1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</row>
    <row r="148" spans="1:17" ht="15.75" customHeight="1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</row>
    <row r="149" spans="1:17" ht="15.75" customHeight="1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</row>
    <row r="150" spans="1:17" ht="15.75" customHeight="1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</row>
    <row r="151" spans="1:17" ht="15.75" customHeight="1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</row>
    <row r="152" spans="1:17" ht="15.75" customHeight="1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</row>
    <row r="153" spans="1:17" ht="15.75" customHeight="1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</row>
    <row r="154" spans="1:17" ht="15.75" customHeight="1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</row>
    <row r="155" spans="1:17" ht="15.75" customHeight="1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</row>
    <row r="156" spans="1:17" ht="15.75" customHeight="1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</row>
    <row r="157" spans="1:17" ht="15.75" customHeight="1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</row>
    <row r="158" spans="1:17" ht="15.75" customHeight="1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</row>
    <row r="159" spans="1:17" ht="15.75" customHeight="1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</row>
    <row r="160" spans="1:17" ht="15.75" customHeight="1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</row>
    <row r="161" spans="1:17" ht="15.75" customHeight="1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</row>
    <row r="162" spans="1:17" ht="15.75" customHeight="1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</row>
    <row r="163" spans="1:17" ht="15.75" customHeight="1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</row>
    <row r="164" spans="1:17" ht="15.75" customHeight="1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</row>
    <row r="165" spans="1:17" ht="15.75" customHeight="1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</row>
    <row r="166" spans="1:17" ht="15.75" customHeight="1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</row>
    <row r="167" spans="1:17" ht="15.75" customHeight="1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</row>
    <row r="168" spans="1:17" ht="15.75" customHeight="1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</row>
    <row r="169" spans="1:17" ht="15.75" customHeight="1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</row>
    <row r="170" spans="1:17" ht="15.75" customHeight="1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</row>
    <row r="171" spans="1:17" ht="15.75" customHeight="1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</row>
    <row r="172" spans="1:17" ht="15.75" customHeight="1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</row>
    <row r="173" spans="1:17" ht="15.75" customHeight="1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</row>
    <row r="174" spans="1:17" ht="15.75" customHeight="1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</row>
    <row r="175" spans="1:17" ht="15.75" customHeight="1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</row>
    <row r="176" spans="1:17" ht="15.75" customHeight="1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</row>
    <row r="177" spans="1:17" ht="15.75" customHeight="1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</row>
    <row r="178" spans="1:17" ht="15.75" customHeight="1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</row>
    <row r="179" spans="1:17" ht="15.75" customHeight="1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</row>
    <row r="180" spans="1:17" ht="15.75" customHeight="1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</row>
    <row r="181" spans="1:17" ht="15.75" customHeight="1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</row>
    <row r="182" spans="1:17" ht="15.75" customHeight="1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</row>
    <row r="183" spans="1:17" ht="15.75" customHeight="1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</row>
    <row r="184" spans="1:17" ht="15.75" customHeight="1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</row>
    <row r="185" spans="1:17" ht="15.75" customHeight="1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</row>
    <row r="186" spans="1:17" ht="15.75" customHeight="1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</row>
    <row r="187" spans="1:17" ht="15.75" customHeight="1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</row>
    <row r="188" spans="1:17" ht="15.75" customHeight="1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</row>
    <row r="189" spans="1:17" ht="15.75" customHeight="1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</row>
    <row r="190" spans="1:17" ht="15.75" customHeight="1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</row>
    <row r="191" spans="1:17" ht="15.75" customHeight="1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</row>
    <row r="192" spans="1:17" ht="15.7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</row>
    <row r="193" spans="1:17" ht="15.75" customHeight="1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</row>
    <row r="194" spans="1:17" ht="15.75" customHeight="1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</row>
    <row r="195" spans="1:17" ht="15.75" customHeight="1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</row>
    <row r="196" spans="1:17" ht="15.75" customHeight="1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</row>
    <row r="197" spans="1:17" ht="15.75" customHeight="1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</row>
    <row r="198" spans="1:17" ht="15.75" customHeight="1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</row>
    <row r="199" spans="1:17" ht="15.75" customHeight="1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</row>
    <row r="200" spans="1:17" ht="15.75" customHeight="1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</row>
    <row r="201" spans="1:17" ht="15.75" customHeight="1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</row>
    <row r="202" spans="1:17" ht="15.75" customHeight="1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</row>
    <row r="203" spans="1:17" ht="15.75" customHeight="1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</row>
    <row r="204" spans="1:17" ht="15.75" customHeight="1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</row>
    <row r="205" spans="1:17" ht="15.75" customHeight="1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</row>
    <row r="206" spans="1:17" ht="15.75" customHeight="1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</row>
    <row r="207" spans="1:17" ht="15.75" customHeight="1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</row>
    <row r="208" spans="1:17" ht="15.75" customHeight="1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</row>
    <row r="209" spans="1:17" ht="15.75" customHeight="1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</row>
    <row r="210" spans="1:17" ht="15.75" customHeight="1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</row>
    <row r="211" spans="1:17" ht="15.75" customHeight="1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</row>
    <row r="212" spans="1:17" ht="15.75" customHeight="1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</row>
    <row r="213" spans="1:17" ht="15.75" customHeight="1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</row>
    <row r="214" spans="1:17" ht="15.75" customHeight="1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</row>
    <row r="215" spans="1:17" ht="15.75" customHeight="1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</row>
    <row r="216" spans="1:17" ht="15.75" customHeight="1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</row>
    <row r="217" spans="1:17" ht="15.75" customHeight="1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</row>
    <row r="218" spans="1:17" ht="15.75" customHeight="1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</row>
    <row r="219" spans="1:17" ht="15.75" customHeight="1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</row>
    <row r="220" spans="1:17" ht="15.75" customHeight="1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</row>
    <row r="221" spans="1:17" ht="15.75" customHeight="1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</row>
    <row r="222" spans="1:17" ht="15.75" customHeight="1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</row>
    <row r="223" spans="1:17" ht="15.75" customHeight="1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</row>
    <row r="224" spans="1:17" ht="15.75" customHeight="1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</row>
    <row r="225" spans="1:17" ht="15.75" customHeight="1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</row>
    <row r="226" spans="1:17" ht="15.75" customHeight="1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</row>
    <row r="227" spans="1:17" ht="15.75" customHeight="1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</row>
    <row r="228" spans="1:17" ht="15.75" customHeight="1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</row>
    <row r="229" spans="1:17" ht="15.75" customHeight="1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</row>
    <row r="230" spans="1:17" ht="15.75" customHeight="1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</row>
    <row r="231" spans="1:17" ht="15.75" customHeight="1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</row>
    <row r="232" spans="1:17" ht="15.75" customHeight="1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</row>
    <row r="233" spans="1:17" ht="15.75" customHeight="1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</row>
    <row r="234" spans="1:17" ht="15.75" customHeight="1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</row>
    <row r="235" spans="1:17" ht="15.75" customHeight="1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</row>
    <row r="236" spans="1:17" ht="15.75" customHeight="1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</row>
    <row r="237" spans="1:17" ht="15.75" customHeight="1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</row>
    <row r="238" spans="1:17" ht="15.75" customHeight="1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</row>
    <row r="239" spans="1:17" ht="15.75" customHeight="1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</row>
    <row r="240" spans="1:17" ht="15.75" customHeight="1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</row>
    <row r="241" spans="1:17" ht="15.75" customHeight="1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</row>
    <row r="242" spans="1:17" ht="15.75" customHeight="1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</row>
    <row r="243" spans="1:17" ht="15.75" customHeight="1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</row>
    <row r="244" spans="1:17" ht="15.75" customHeight="1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</row>
    <row r="245" spans="1:17" ht="15.75" customHeight="1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</row>
    <row r="246" spans="1:17" ht="15.75" customHeight="1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</row>
    <row r="247" spans="1:17" ht="15.75" customHeight="1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</row>
    <row r="248" spans="1:17" ht="15.75" customHeight="1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</row>
    <row r="249" spans="1:17" ht="15.75" customHeight="1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</row>
    <row r="250" spans="1:17" ht="15.75" customHeight="1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</row>
    <row r="251" spans="1:17" ht="15.75" customHeight="1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</row>
    <row r="252" spans="1:17" ht="15.75" customHeight="1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</row>
    <row r="253" spans="1:17" ht="15.75" customHeight="1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</row>
    <row r="254" spans="1:17" ht="15.75" customHeight="1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</row>
    <row r="255" spans="1:17" ht="15.75" customHeight="1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</row>
    <row r="256" spans="1:17" ht="15.75" customHeight="1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</row>
    <row r="257" spans="1:17" ht="15.75" customHeight="1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</row>
    <row r="258" spans="1:17" ht="15.75" customHeight="1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</row>
    <row r="259" spans="1:17" ht="15.75" customHeight="1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</row>
    <row r="260" spans="1:17" ht="15.75" customHeight="1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</row>
    <row r="261" spans="1:17" ht="15.75" customHeight="1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</row>
    <row r="262" spans="1:17" ht="15.75" customHeight="1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</row>
    <row r="263" spans="1:17" ht="15.75" customHeight="1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</row>
    <row r="264" spans="1:17" ht="15.75" customHeight="1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</row>
    <row r="265" spans="1:17" ht="15.75" customHeight="1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</row>
    <row r="266" spans="1:17" ht="15.75" customHeight="1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</row>
    <row r="267" spans="1:17" ht="15.75" customHeight="1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</row>
    <row r="268" spans="1:17" ht="15.75" customHeight="1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</row>
    <row r="269" spans="1:17" ht="15.75" customHeight="1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</row>
    <row r="270" spans="1:17" ht="15.75" customHeight="1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</row>
    <row r="271" spans="1:17" ht="15.75" customHeight="1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</row>
    <row r="272" spans="1:17" ht="15.75" customHeight="1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</row>
    <row r="273" spans="1:17" ht="15.75" customHeight="1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</row>
    <row r="274" spans="1:17" ht="15.75" customHeight="1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</row>
    <row r="275" spans="1:17" ht="15.75" customHeight="1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</row>
    <row r="276" spans="1:17" ht="15.75" customHeight="1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</row>
    <row r="277" spans="1:17" ht="15.75" customHeight="1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</row>
    <row r="278" spans="1:17" ht="15.75" customHeight="1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</row>
    <row r="279" spans="1:17" ht="15.75" customHeight="1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</row>
    <row r="280" spans="1:17" ht="15.75" customHeight="1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</row>
    <row r="281" spans="1:17" ht="15.75" customHeight="1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</row>
    <row r="282" spans="1:17" ht="15.75" customHeight="1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</row>
    <row r="283" spans="1:17" ht="15.75" customHeight="1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</row>
    <row r="284" spans="1:17" ht="15.75" customHeight="1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</row>
    <row r="285" spans="1:17" ht="15.75" customHeight="1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</row>
    <row r="286" spans="1:17" ht="15.75" customHeight="1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</row>
    <row r="287" spans="1:17" ht="15.75" customHeight="1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</row>
    <row r="288" spans="1:17" ht="15.75" customHeight="1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</row>
    <row r="289" spans="1:17" ht="15.75" customHeight="1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</row>
    <row r="290" spans="1:17" ht="15.75" customHeight="1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</row>
    <row r="291" spans="1:17" ht="15.75" customHeight="1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</row>
    <row r="292" spans="1:17" ht="15.75" customHeight="1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</row>
    <row r="293" spans="1:17" ht="15.75" customHeight="1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</row>
    <row r="294" spans="1:17" ht="15.75" customHeight="1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</row>
    <row r="295" spans="1:17" ht="15.75" customHeight="1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</row>
    <row r="296" spans="1:17" ht="15.75" customHeight="1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</row>
    <row r="297" spans="1:17" ht="15.75" customHeight="1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</row>
    <row r="298" spans="1:17" ht="15.75" customHeight="1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</row>
    <row r="299" spans="1:17" ht="15.75" customHeight="1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</row>
    <row r="300" spans="1:17" ht="15.75" customHeight="1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</row>
    <row r="301" spans="1:17" ht="15.75" customHeight="1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</row>
    <row r="302" spans="1:17" ht="15.75" customHeight="1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</row>
    <row r="303" spans="1:17" ht="15.75" customHeight="1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</row>
    <row r="304" spans="1:17" ht="15.75" customHeight="1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</row>
    <row r="305" spans="1:17" ht="15.75" customHeight="1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</row>
    <row r="306" spans="1:17" ht="15.75" customHeight="1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</row>
    <row r="307" spans="1:17" ht="15.75" customHeight="1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</row>
    <row r="308" spans="1:17" ht="15.75" customHeight="1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</row>
    <row r="309" spans="1:17" ht="15.75" customHeight="1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</row>
    <row r="310" spans="1:17" ht="15.75" customHeight="1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</row>
    <row r="311" spans="1:17" ht="15.75" customHeight="1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</row>
    <row r="312" spans="1:17" ht="15.75" customHeight="1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</row>
    <row r="313" spans="1:17" ht="15.75" customHeight="1"/>
    <row r="314" spans="1:17" ht="15.75" customHeight="1"/>
    <row r="315" spans="1:17" ht="15.75" customHeight="1"/>
    <row r="316" spans="1:17" ht="15.75" customHeight="1"/>
    <row r="317" spans="1:17" ht="15.75" customHeight="1"/>
    <row r="318" spans="1:17" ht="15.75" customHeight="1"/>
    <row r="319" spans="1:17" ht="15.75" customHeight="1"/>
    <row r="320" spans="1:17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21:C22"/>
    <mergeCell ref="C24:C27"/>
    <mergeCell ref="C28:C30"/>
    <mergeCell ref="C2:C4"/>
    <mergeCell ref="C8:C9"/>
    <mergeCell ref="C10:C12"/>
    <mergeCell ref="C13:C14"/>
    <mergeCell ref="C17:C18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615"/>
  <sheetViews>
    <sheetView workbookViewId="0"/>
  </sheetViews>
  <sheetFormatPr baseColWidth="10" defaultColWidth="12.5703125" defaultRowHeight="15" customHeight="1"/>
  <sheetData>
    <row r="1" spans="1:3">
      <c r="A1" s="119" t="str">
        <f ca="1">IFERROR(__xludf.DUMMYFUNCTION("QUERY(IMPORTRANGE(""1zyBd8IQlNAQI1DEiTZxkkEb6cvqE5P_ZcRvK_jum_2c"",""'Campos meta'!A:C""),""SELECT *"",1)"),"ID")</f>
        <v>ID</v>
      </c>
      <c r="B1" s="119" t="str">
        <f ca="1">IFERROR(__xludf.DUMMYFUNCTION("""COMPUTED_VALUE"""),"UNIDAD DE MEDIDA")</f>
        <v>UNIDAD DE MEDIDA</v>
      </c>
      <c r="C1" s="119" t="str">
        <f ca="1">IFERROR(__xludf.DUMMYFUNCTION("""COMPUTED_VALUE"""),"META PROGRAMADA")</f>
        <v>META PROGRAMADA</v>
      </c>
    </row>
    <row r="2" spans="1:3">
      <c r="A2" s="119" t="str">
        <f ca="1">IFERROR(__xludf.DUMMYFUNCTION("""COMPUTED_VALUE"""),"1.0.0.0")</f>
        <v>1.0.0.0</v>
      </c>
      <c r="B2" s="119" t="str">
        <f ca="1">IFERROR(__xludf.DUMMYFUNCTION("""COMPUTED_VALUE"""),"Porcentaje")</f>
        <v>Porcentaje</v>
      </c>
      <c r="C2" s="118">
        <f ca="1">IFERROR(__xludf.DUMMYFUNCTION("""COMPUTED_VALUE"""),8)</f>
        <v>8</v>
      </c>
    </row>
    <row r="3" spans="1:3">
      <c r="A3" s="119" t="str">
        <f ca="1">IFERROR(__xludf.DUMMYFUNCTION("""COMPUTED_VALUE"""),"1.1.0.0")</f>
        <v>1.1.0.0</v>
      </c>
      <c r="B3" s="119" t="str">
        <f ca="1">IFERROR(__xludf.DUMMYFUNCTION("""COMPUTED_VALUE"""),"Porcentaje")</f>
        <v>Porcentaje</v>
      </c>
      <c r="C3" s="118">
        <f ca="1">IFERROR(__xludf.DUMMYFUNCTION("""COMPUTED_VALUE"""),7865)</f>
        <v>7865</v>
      </c>
    </row>
    <row r="4" spans="1:3">
      <c r="A4" s="119" t="str">
        <f ca="1">IFERROR(__xludf.DUMMYFUNCTION("""COMPUTED_VALUE"""),"1.1.1.0")</f>
        <v>1.1.1.0</v>
      </c>
      <c r="B4" s="119" t="str">
        <f ca="1">IFERROR(__xludf.DUMMYFUNCTION("""COMPUTED_VALUE"""),"Porcentaje")</f>
        <v>Porcentaje</v>
      </c>
      <c r="C4" s="118">
        <f ca="1">IFERROR(__xludf.DUMMYFUNCTION("""COMPUTED_VALUE"""),500)</f>
        <v>500</v>
      </c>
    </row>
    <row r="5" spans="1:3">
      <c r="A5" s="119" t="str">
        <f ca="1">IFERROR(__xludf.DUMMYFUNCTION("""COMPUTED_VALUE"""),"1.1.1.1")</f>
        <v>1.1.1.1</v>
      </c>
      <c r="B5" s="119" t="str">
        <f ca="1">IFERROR(__xludf.DUMMYFUNCTION("""COMPUTED_VALUE"""),"Porcentaje")</f>
        <v>Porcentaje</v>
      </c>
      <c r="C5" s="118">
        <f ca="1">IFERROR(__xludf.DUMMYFUNCTION("""COMPUTED_VALUE"""),24)</f>
        <v>24</v>
      </c>
    </row>
    <row r="6" spans="1:3">
      <c r="A6" s="119" t="str">
        <f ca="1">IFERROR(__xludf.DUMMYFUNCTION("""COMPUTED_VALUE"""),"1.1.1.2")</f>
        <v>1.1.1.2</v>
      </c>
      <c r="B6" s="119" t="str">
        <f ca="1">IFERROR(__xludf.DUMMYFUNCTION("""COMPUTED_VALUE"""),"Porcentaje")</f>
        <v>Porcentaje</v>
      </c>
      <c r="C6" s="118">
        <f ca="1">IFERROR(__xludf.DUMMYFUNCTION("""COMPUTED_VALUE"""),11)</f>
        <v>11</v>
      </c>
    </row>
    <row r="7" spans="1:3">
      <c r="A7" s="119" t="str">
        <f ca="1">IFERROR(__xludf.DUMMYFUNCTION("""COMPUTED_VALUE"""),"1.1.1.3")</f>
        <v>1.1.1.3</v>
      </c>
      <c r="B7" s="119" t="str">
        <f ca="1">IFERROR(__xludf.DUMMYFUNCTION("""COMPUTED_VALUE"""),"Promedio")</f>
        <v>Promedio</v>
      </c>
      <c r="C7" s="118">
        <f ca="1">IFERROR(__xludf.DUMMYFUNCTION("""COMPUTED_VALUE"""),270)</f>
        <v>270</v>
      </c>
    </row>
    <row r="8" spans="1:3">
      <c r="A8" s="119" t="str">
        <f ca="1">IFERROR(__xludf.DUMMYFUNCTION("""COMPUTED_VALUE"""),"1.1.1.4")</f>
        <v>1.1.1.4</v>
      </c>
      <c r="B8" s="119" t="str">
        <f ca="1">IFERROR(__xludf.DUMMYFUNCTION("""COMPUTED_VALUE"""),"Porcentaje")</f>
        <v>Porcentaje</v>
      </c>
      <c r="C8" s="118">
        <f ca="1">IFERROR(__xludf.DUMMYFUNCTION("""COMPUTED_VALUE"""),7)</f>
        <v>7</v>
      </c>
    </row>
    <row r="9" spans="1:3">
      <c r="A9" s="119" t="str">
        <f ca="1">IFERROR(__xludf.DUMMYFUNCTION("""COMPUTED_VALUE"""),"1.1.1.5")</f>
        <v>1.1.1.5</v>
      </c>
      <c r="B9" s="119" t="str">
        <f ca="1">IFERROR(__xludf.DUMMYFUNCTION("""COMPUTED_VALUE"""),"Porcentaje")</f>
        <v>Porcentaje</v>
      </c>
      <c r="C9" s="118">
        <f ca="1">IFERROR(__xludf.DUMMYFUNCTION("""COMPUTED_VALUE"""),422)</f>
        <v>422</v>
      </c>
    </row>
    <row r="10" spans="1:3">
      <c r="A10" s="119" t="str">
        <f ca="1">IFERROR(__xludf.DUMMYFUNCTION("""COMPUTED_VALUE"""),"1.1.2.0")</f>
        <v>1.1.2.0</v>
      </c>
      <c r="B10" s="119" t="str">
        <f ca="1">IFERROR(__xludf.DUMMYFUNCTION("""COMPUTED_VALUE"""),"Porcentaje")</f>
        <v>Porcentaje</v>
      </c>
      <c r="C10" s="118">
        <f ca="1">IFERROR(__xludf.DUMMYFUNCTION("""COMPUTED_VALUE"""),6)</f>
        <v>6</v>
      </c>
    </row>
    <row r="11" spans="1:3">
      <c r="A11" s="119" t="str">
        <f ca="1">IFERROR(__xludf.DUMMYFUNCTION("""COMPUTED_VALUE"""),"1.1.2.1")</f>
        <v>1.1.2.1</v>
      </c>
      <c r="B11" s="119" t="str">
        <f ca="1">IFERROR(__xludf.DUMMYFUNCTION("""COMPUTED_VALUE"""),"Porcentaje")</f>
        <v>Porcentaje</v>
      </c>
      <c r="C11" s="118">
        <f ca="1">IFERROR(__xludf.DUMMYFUNCTION("""COMPUTED_VALUE"""),2)</f>
        <v>2</v>
      </c>
    </row>
    <row r="12" spans="1:3">
      <c r="A12" s="119" t="str">
        <f ca="1">IFERROR(__xludf.DUMMYFUNCTION("""COMPUTED_VALUE"""),"1.1.3.0")</f>
        <v>1.1.3.0</v>
      </c>
      <c r="B12" s="119" t="str">
        <f ca="1">IFERROR(__xludf.DUMMYFUNCTION("""COMPUTED_VALUE"""),"Porcentaje")</f>
        <v>Porcentaje</v>
      </c>
      <c r="C12" s="118">
        <f ca="1">IFERROR(__xludf.DUMMYFUNCTION("""COMPUTED_VALUE"""),2)</f>
        <v>2</v>
      </c>
    </row>
    <row r="13" spans="1:3">
      <c r="A13" s="119" t="str">
        <f ca="1">IFERROR(__xludf.DUMMYFUNCTION("""COMPUTED_VALUE"""),"1.1.3.1")</f>
        <v>1.1.3.1</v>
      </c>
      <c r="B13" s="119" t="str">
        <f ca="1">IFERROR(__xludf.DUMMYFUNCTION("""COMPUTED_VALUE"""),"Porcentaje")</f>
        <v>Porcentaje</v>
      </c>
      <c r="C13" s="118">
        <f ca="1">IFERROR(__xludf.DUMMYFUNCTION("""COMPUTED_VALUE"""),12)</f>
        <v>12</v>
      </c>
    </row>
    <row r="14" spans="1:3">
      <c r="A14" s="119" t="str">
        <f ca="1">IFERROR(__xludf.DUMMYFUNCTION("""COMPUTED_VALUE"""),"1.1.4.0")</f>
        <v>1.1.4.0</v>
      </c>
      <c r="B14" s="119" t="str">
        <f ca="1">IFERROR(__xludf.DUMMYFUNCTION("""COMPUTED_VALUE"""),"Porcentaje")</f>
        <v>Porcentaje</v>
      </c>
      <c r="C14" s="118">
        <f ca="1">IFERROR(__xludf.DUMMYFUNCTION("""COMPUTED_VALUE"""),120)</f>
        <v>120</v>
      </c>
    </row>
    <row r="15" spans="1:3">
      <c r="A15" s="119" t="str">
        <f ca="1">IFERROR(__xludf.DUMMYFUNCTION("""COMPUTED_VALUE"""),"1.1.4.1")</f>
        <v>1.1.4.1</v>
      </c>
      <c r="B15" s="119" t="str">
        <f ca="1">IFERROR(__xludf.DUMMYFUNCTION("""COMPUTED_VALUE"""),"Porcentaje")</f>
        <v>Porcentaje</v>
      </c>
      <c r="C15" s="118">
        <f ca="1">IFERROR(__xludf.DUMMYFUNCTION("""COMPUTED_VALUE"""),3500)</f>
        <v>3500</v>
      </c>
    </row>
    <row r="16" spans="1:3">
      <c r="A16" s="119" t="str">
        <f ca="1">IFERROR(__xludf.DUMMYFUNCTION("""COMPUTED_VALUE"""),"1.1.4.2")</f>
        <v>1.1.4.2</v>
      </c>
      <c r="B16" s="119" t="str">
        <f ca="1">IFERROR(__xludf.DUMMYFUNCTION("""COMPUTED_VALUE"""),"Porcentaje")</f>
        <v>Porcentaje</v>
      </c>
      <c r="C16" s="118">
        <f ca="1">IFERROR(__xludf.DUMMYFUNCTION("""COMPUTED_VALUE"""),90)</f>
        <v>90</v>
      </c>
    </row>
    <row r="17" spans="1:3">
      <c r="A17" s="119" t="str">
        <f ca="1">IFERROR(__xludf.DUMMYFUNCTION("""COMPUTED_VALUE"""),"1.1.4.3")</f>
        <v>1.1.4.3</v>
      </c>
      <c r="B17" s="119" t="str">
        <f ca="1">IFERROR(__xludf.DUMMYFUNCTION("""COMPUTED_VALUE"""),"Porcentaje")</f>
        <v>Porcentaje</v>
      </c>
      <c r="C17" s="118">
        <f ca="1">IFERROR(__xludf.DUMMYFUNCTION("""COMPUTED_VALUE"""),200)</f>
        <v>200</v>
      </c>
    </row>
    <row r="18" spans="1:3">
      <c r="A18" s="119" t="str">
        <f ca="1">IFERROR(__xludf.DUMMYFUNCTION("""COMPUTED_VALUE"""),"1.1.4.4")</f>
        <v>1.1.4.4</v>
      </c>
      <c r="B18" s="119" t="str">
        <f ca="1">IFERROR(__xludf.DUMMYFUNCTION("""COMPUTED_VALUE"""),"Porcentaje")</f>
        <v>Porcentaje</v>
      </c>
      <c r="C18" s="118">
        <f ca="1">IFERROR(__xludf.DUMMYFUNCTION("""COMPUTED_VALUE"""),250)</f>
        <v>250</v>
      </c>
    </row>
    <row r="19" spans="1:3">
      <c r="A19" s="119" t="str">
        <f ca="1">IFERROR(__xludf.DUMMYFUNCTION("""COMPUTED_VALUE"""),"1.1.5.0")</f>
        <v>1.1.5.0</v>
      </c>
      <c r="B19" s="119" t="str">
        <f ca="1">IFERROR(__xludf.DUMMYFUNCTION("""COMPUTED_VALUE"""),"Porcentaje")</f>
        <v>Porcentaje</v>
      </c>
      <c r="C19" s="118">
        <f ca="1">IFERROR(__xludf.DUMMYFUNCTION("""COMPUTED_VALUE"""),80)</f>
        <v>80</v>
      </c>
    </row>
    <row r="20" spans="1:3">
      <c r="A20" s="119" t="str">
        <f ca="1">IFERROR(__xludf.DUMMYFUNCTION("""COMPUTED_VALUE"""),"1.1.5.1")</f>
        <v>1.1.5.1</v>
      </c>
      <c r="B20" s="119" t="str">
        <f ca="1">IFERROR(__xludf.DUMMYFUNCTION("""COMPUTED_VALUE"""),"Porcentaje")</f>
        <v>Porcentaje</v>
      </c>
      <c r="C20" s="118">
        <f ca="1">IFERROR(__xludf.DUMMYFUNCTION("""COMPUTED_VALUE"""),2)</f>
        <v>2</v>
      </c>
    </row>
    <row r="21" spans="1:3">
      <c r="A21" s="119" t="str">
        <f ca="1">IFERROR(__xludf.DUMMYFUNCTION("""COMPUTED_VALUE"""),"1.1.5.2")</f>
        <v>1.1.5.2</v>
      </c>
      <c r="B21" s="119" t="str">
        <f ca="1">IFERROR(__xludf.DUMMYFUNCTION("""COMPUTED_VALUE"""),"Porcentaje")</f>
        <v>Porcentaje</v>
      </c>
      <c r="C21" s="118">
        <f ca="1">IFERROR(__xludf.DUMMYFUNCTION("""COMPUTED_VALUE"""),1300)</f>
        <v>1300</v>
      </c>
    </row>
    <row r="22" spans="1:3">
      <c r="A22" s="119" t="str">
        <f ca="1">IFERROR(__xludf.DUMMYFUNCTION("""COMPUTED_VALUE"""),"1.1.5.3")</f>
        <v>1.1.5.3</v>
      </c>
      <c r="B22" s="119" t="str">
        <f ca="1">IFERROR(__xludf.DUMMYFUNCTION("""COMPUTED_VALUE"""),"Porcentaje")</f>
        <v>Porcentaje</v>
      </c>
      <c r="C22" s="118">
        <f ca="1">IFERROR(__xludf.DUMMYFUNCTION("""COMPUTED_VALUE"""),12)</f>
        <v>12</v>
      </c>
    </row>
    <row r="23" spans="1:3">
      <c r="A23" s="119" t="str">
        <f ca="1">IFERROR(__xludf.DUMMYFUNCTION("""COMPUTED_VALUE"""),"1.1.6.0")</f>
        <v>1.1.6.0</v>
      </c>
      <c r="B23" s="119" t="str">
        <f ca="1">IFERROR(__xludf.DUMMYFUNCTION("""COMPUTED_VALUE"""),"Porcentaje")</f>
        <v>Porcentaje</v>
      </c>
      <c r="C23" s="118">
        <f ca="1">IFERROR(__xludf.DUMMYFUNCTION("""COMPUTED_VALUE"""),2400)</f>
        <v>2400</v>
      </c>
    </row>
    <row r="24" spans="1:3">
      <c r="A24" s="119" t="str">
        <f ca="1">IFERROR(__xludf.DUMMYFUNCTION("""COMPUTED_VALUE"""),"1.1.6.1")</f>
        <v>1.1.6.1</v>
      </c>
      <c r="B24" s="119" t="str">
        <f ca="1">IFERROR(__xludf.DUMMYFUNCTION("""COMPUTED_VALUE"""),"Porcentaje")</f>
        <v>Porcentaje</v>
      </c>
      <c r="C24" s="118">
        <f ca="1">IFERROR(__xludf.DUMMYFUNCTION("""COMPUTED_VALUE"""),200)</f>
        <v>200</v>
      </c>
    </row>
    <row r="25" spans="1:3">
      <c r="A25" s="119" t="str">
        <f ca="1">IFERROR(__xludf.DUMMYFUNCTION("""COMPUTED_VALUE"""),"1.1.7.0")</f>
        <v>1.1.7.0</v>
      </c>
      <c r="B25" s="119" t="str">
        <f ca="1">IFERROR(__xludf.DUMMYFUNCTION("""COMPUTED_VALUE"""),"Porcentaje")</f>
        <v>Porcentaje</v>
      </c>
      <c r="C25" s="118">
        <f ca="1">IFERROR(__xludf.DUMMYFUNCTION("""COMPUTED_VALUE"""),2500)</f>
        <v>2500</v>
      </c>
    </row>
    <row r="26" spans="1:3">
      <c r="A26" s="119" t="str">
        <f ca="1">IFERROR(__xludf.DUMMYFUNCTION("""COMPUTED_VALUE"""),"1.1.7.1")</f>
        <v>1.1.7.1</v>
      </c>
      <c r="B26" s="119" t="str">
        <f ca="1">IFERROR(__xludf.DUMMYFUNCTION("""COMPUTED_VALUE"""),"Porcentaje")</f>
        <v>Porcentaje</v>
      </c>
      <c r="C26" s="118">
        <f ca="1">IFERROR(__xludf.DUMMYFUNCTION("""COMPUTED_VALUE"""),45)</f>
        <v>45</v>
      </c>
    </row>
    <row r="27" spans="1:3">
      <c r="A27" s="119" t="str">
        <f ca="1">IFERROR(__xludf.DUMMYFUNCTION("""COMPUTED_VALUE"""),"1.1.7.2")</f>
        <v>1.1.7.2</v>
      </c>
      <c r="B27" s="119" t="str">
        <f ca="1">IFERROR(__xludf.DUMMYFUNCTION("""COMPUTED_VALUE"""),"Porcentaje")</f>
        <v>Porcentaje</v>
      </c>
      <c r="C27" s="118">
        <f ca="1">IFERROR(__xludf.DUMMYFUNCTION("""COMPUTED_VALUE"""),180)</f>
        <v>180</v>
      </c>
    </row>
    <row r="28" spans="1:3">
      <c r="A28" s="119" t="str">
        <f ca="1">IFERROR(__xludf.DUMMYFUNCTION("""COMPUTED_VALUE"""),"1.1.7.3")</f>
        <v>1.1.7.3</v>
      </c>
      <c r="B28" s="119" t="str">
        <f ca="1">IFERROR(__xludf.DUMMYFUNCTION("""COMPUTED_VALUE"""),"Porcentaje")</f>
        <v>Porcentaje</v>
      </c>
      <c r="C28" s="118">
        <f ca="1">IFERROR(__xludf.DUMMYFUNCTION("""COMPUTED_VALUE"""),720)</f>
        <v>720</v>
      </c>
    </row>
    <row r="29" spans="1:3">
      <c r="A29" s="119" t="str">
        <f ca="1">IFERROR(__xludf.DUMMYFUNCTION("""COMPUTED_VALUE"""),"1.1.8.0")</f>
        <v>1.1.8.0</v>
      </c>
      <c r="B29" s="119" t="str">
        <f ca="1">IFERROR(__xludf.DUMMYFUNCTION("""COMPUTED_VALUE"""),"Porcentaje")</f>
        <v>Porcentaje</v>
      </c>
      <c r="C29" s="118">
        <f ca="1">IFERROR(__xludf.DUMMYFUNCTION("""COMPUTED_VALUE"""),440)</f>
        <v>440</v>
      </c>
    </row>
    <row r="30" spans="1:3">
      <c r="A30" s="119" t="str">
        <f ca="1">IFERROR(__xludf.DUMMYFUNCTION("""COMPUTED_VALUE"""),"1.1.8.1")</f>
        <v>1.1.8.1</v>
      </c>
      <c r="B30" s="119" t="str">
        <f ca="1">IFERROR(__xludf.DUMMYFUNCTION("""COMPUTED_VALUE"""),"Porcentaje")</f>
        <v>Porcentaje</v>
      </c>
      <c r="C30" s="118">
        <f ca="1">IFERROR(__xludf.DUMMYFUNCTION("""COMPUTED_VALUE"""),410)</f>
        <v>410</v>
      </c>
    </row>
    <row r="31" spans="1:3">
      <c r="A31" s="119" t="str">
        <f ca="1">IFERROR(__xludf.DUMMYFUNCTION("""COMPUTED_VALUE"""),"1.1.8.2")</f>
        <v>1.1.8.2</v>
      </c>
      <c r="B31" s="119" t="str">
        <f ca="1">IFERROR(__xludf.DUMMYFUNCTION("""COMPUTED_VALUE"""),"Porcentaje")</f>
        <v>Porcentaje</v>
      </c>
      <c r="C31" s="118">
        <f ca="1">IFERROR(__xludf.DUMMYFUNCTION("""COMPUTED_VALUE"""),30)</f>
        <v>30</v>
      </c>
    </row>
    <row r="32" spans="1:3">
      <c r="A32" s="119" t="str">
        <f ca="1">IFERROR(__xludf.DUMMYFUNCTION("""COMPUTED_VALUE"""),"1.1.9.0")</f>
        <v>1.1.9.0</v>
      </c>
      <c r="B32" s="119" t="str">
        <f ca="1">IFERROR(__xludf.DUMMYFUNCTION("""COMPUTED_VALUE"""),"Porcentaje")</f>
        <v>Porcentaje</v>
      </c>
      <c r="C32" s="118">
        <f ca="1">IFERROR(__xludf.DUMMYFUNCTION("""COMPUTED_VALUE"""),50)</f>
        <v>50</v>
      </c>
    </row>
    <row r="33" spans="1:3">
      <c r="A33" s="119" t="str">
        <f ca="1">IFERROR(__xludf.DUMMYFUNCTION("""COMPUTED_VALUE"""),"1.1.9.1")</f>
        <v>1.1.9.1</v>
      </c>
      <c r="B33" s="119" t="str">
        <f ca="1">IFERROR(__xludf.DUMMYFUNCTION("""COMPUTED_VALUE"""),"Porcentaje")</f>
        <v>Porcentaje</v>
      </c>
      <c r="C33" s="118">
        <f ca="1">IFERROR(__xludf.DUMMYFUNCTION("""COMPUTED_VALUE"""),400)</f>
        <v>400</v>
      </c>
    </row>
    <row r="34" spans="1:3">
      <c r="A34" s="119" t="str">
        <f ca="1">IFERROR(__xludf.DUMMYFUNCTION("""COMPUTED_VALUE"""),"1.1.9.2")</f>
        <v>1.1.9.2</v>
      </c>
      <c r="B34" s="119" t="str">
        <f ca="1">IFERROR(__xludf.DUMMYFUNCTION("""COMPUTED_VALUE"""),"Porcentaje")</f>
        <v>Porcentaje</v>
      </c>
      <c r="C34" s="118">
        <f ca="1">IFERROR(__xludf.DUMMYFUNCTION("""COMPUTED_VALUE"""),40)</f>
        <v>40</v>
      </c>
    </row>
    <row r="35" spans="1:3">
      <c r="A35" s="119" t="str">
        <f ca="1">IFERROR(__xludf.DUMMYFUNCTION("""COMPUTED_VALUE"""),"1.1.9.3")</f>
        <v>1.1.9.3</v>
      </c>
      <c r="B35" s="119" t="str">
        <f ca="1">IFERROR(__xludf.DUMMYFUNCTION("""COMPUTED_VALUE"""),"Porcentaje")</f>
        <v>Porcentaje</v>
      </c>
      <c r="C35" s="118">
        <f ca="1">IFERROR(__xludf.DUMMYFUNCTION("""COMPUTED_VALUE"""),20)</f>
        <v>20</v>
      </c>
    </row>
    <row r="36" spans="1:3">
      <c r="A36" s="119" t="str">
        <f ca="1">IFERROR(__xludf.DUMMYFUNCTION("""COMPUTED_VALUE"""),"2.0.0.0")</f>
        <v>2.0.0.0</v>
      </c>
      <c r="B36" s="119" t="str">
        <f ca="1">IFERROR(__xludf.DUMMYFUNCTION("""COMPUTED_VALUE"""),"Porcentaje")</f>
        <v>Porcentaje</v>
      </c>
      <c r="C36" s="118">
        <f ca="1">IFERROR(__xludf.DUMMYFUNCTION("""COMPUTED_VALUE"""),44359)</f>
        <v>44359</v>
      </c>
    </row>
    <row r="37" spans="1:3">
      <c r="A37" s="119" t="str">
        <f ca="1">IFERROR(__xludf.DUMMYFUNCTION("""COMPUTED_VALUE"""),"2.1.0.0")</f>
        <v>2.1.0.0</v>
      </c>
      <c r="B37" s="119" t="str">
        <f ca="1">IFERROR(__xludf.DUMMYFUNCTION("""COMPUTED_VALUE"""),"Porcentaje")</f>
        <v>Porcentaje</v>
      </c>
      <c r="C37" s="118">
        <f ca="1">IFERROR(__xludf.DUMMYFUNCTION("""COMPUTED_VALUE"""),1531976)</f>
        <v>1531976</v>
      </c>
    </row>
    <row r="38" spans="1:3">
      <c r="A38" s="119" t="str">
        <f ca="1">IFERROR(__xludf.DUMMYFUNCTION("""COMPUTED_VALUE"""),"2.1.1.0")</f>
        <v>2.1.1.0</v>
      </c>
      <c r="B38" s="119" t="str">
        <f ca="1">IFERROR(__xludf.DUMMYFUNCTION("""COMPUTED_VALUE"""),"Porcentaje")</f>
        <v>Porcentaje</v>
      </c>
      <c r="C38" s="118">
        <f ca="1">IFERROR(__xludf.DUMMYFUNCTION("""COMPUTED_VALUE"""),9)</f>
        <v>9</v>
      </c>
    </row>
    <row r="39" spans="1:3">
      <c r="A39" s="119" t="str">
        <f ca="1">IFERROR(__xludf.DUMMYFUNCTION("""COMPUTED_VALUE"""),"2.1.1.1")</f>
        <v>2.1.1.1</v>
      </c>
      <c r="B39" s="119" t="str">
        <f ca="1">IFERROR(__xludf.DUMMYFUNCTION("""COMPUTED_VALUE"""),"Porcentaje")</f>
        <v>Porcentaje</v>
      </c>
      <c r="C39" s="118">
        <f ca="1">IFERROR(__xludf.DUMMYFUNCTION("""COMPUTED_VALUE"""),7500)</f>
        <v>7500</v>
      </c>
    </row>
    <row r="40" spans="1:3">
      <c r="A40" s="119" t="str">
        <f ca="1">IFERROR(__xludf.DUMMYFUNCTION("""COMPUTED_VALUE"""),"2.1.1.2")</f>
        <v>2.1.1.2</v>
      </c>
      <c r="B40" s="119" t="str">
        <f ca="1">IFERROR(__xludf.DUMMYFUNCTION("""COMPUTED_VALUE"""),"Porcentaje")</f>
        <v>Porcentaje</v>
      </c>
      <c r="C40" s="118">
        <f ca="1">IFERROR(__xludf.DUMMYFUNCTION("""COMPUTED_VALUE"""),1500)</f>
        <v>1500</v>
      </c>
    </row>
    <row r="41" spans="1:3">
      <c r="A41" s="119" t="str">
        <f ca="1">IFERROR(__xludf.DUMMYFUNCTION("""COMPUTED_VALUE"""),"2.1.1.3")</f>
        <v>2.1.1.3</v>
      </c>
      <c r="B41" s="119" t="str">
        <f ca="1">IFERROR(__xludf.DUMMYFUNCTION("""COMPUTED_VALUE"""),"Porcentaje")</f>
        <v>Porcentaje</v>
      </c>
      <c r="C41" s="118">
        <f ca="1">IFERROR(__xludf.DUMMYFUNCTION("""COMPUTED_VALUE"""),5000)</f>
        <v>5000</v>
      </c>
    </row>
    <row r="42" spans="1:3">
      <c r="A42" s="119" t="str">
        <f ca="1">IFERROR(__xludf.DUMMYFUNCTION("""COMPUTED_VALUE"""),"2.1.1.4")</f>
        <v>2.1.1.4</v>
      </c>
      <c r="B42" s="119" t="str">
        <f ca="1">IFERROR(__xludf.DUMMYFUNCTION("""COMPUTED_VALUE"""),"Porcentaje")</f>
        <v>Porcentaje</v>
      </c>
      <c r="C42" s="118">
        <f ca="1">IFERROR(__xludf.DUMMYFUNCTION("""COMPUTED_VALUE"""),8769)</f>
        <v>8769</v>
      </c>
    </row>
    <row r="43" spans="1:3">
      <c r="A43" s="119" t="str">
        <f ca="1">IFERROR(__xludf.DUMMYFUNCTION("""COMPUTED_VALUE"""),"2.1.1.5")</f>
        <v>2.1.1.5</v>
      </c>
      <c r="B43" s="119" t="str">
        <f ca="1">IFERROR(__xludf.DUMMYFUNCTION("""COMPUTED_VALUE"""),"Porcentaje")</f>
        <v>Porcentaje</v>
      </c>
      <c r="C43" s="118">
        <f ca="1">IFERROR(__xludf.DUMMYFUNCTION("""COMPUTED_VALUE"""),1190350)</f>
        <v>1190350</v>
      </c>
    </row>
    <row r="44" spans="1:3">
      <c r="A44" s="119" t="str">
        <f ca="1">IFERROR(__xludf.DUMMYFUNCTION("""COMPUTED_VALUE"""),"2.1.1.6")</f>
        <v>2.1.1.6</v>
      </c>
      <c r="B44" s="119" t="str">
        <f ca="1">IFERROR(__xludf.DUMMYFUNCTION("""COMPUTED_VALUE"""),"Porcentaje")</f>
        <v>Porcentaje</v>
      </c>
      <c r="C44" s="118">
        <f ca="1">IFERROR(__xludf.DUMMYFUNCTION("""COMPUTED_VALUE"""),27852)</f>
        <v>27852</v>
      </c>
    </row>
    <row r="45" spans="1:3">
      <c r="A45" s="119" t="str">
        <f ca="1">IFERROR(__xludf.DUMMYFUNCTION("""COMPUTED_VALUE"""),"2.1.1.7")</f>
        <v>2.1.1.7</v>
      </c>
      <c r="B45" s="119" t="str">
        <f ca="1">IFERROR(__xludf.DUMMYFUNCTION("""COMPUTED_VALUE"""),"Porcentaje")</f>
        <v>Porcentaje</v>
      </c>
      <c r="C45" s="118">
        <f ca="1">IFERROR(__xludf.DUMMYFUNCTION("""COMPUTED_VALUE"""),2196)</f>
        <v>2196</v>
      </c>
    </row>
    <row r="46" spans="1:3">
      <c r="A46" s="119" t="str">
        <f ca="1">IFERROR(__xludf.DUMMYFUNCTION("""COMPUTED_VALUE"""),"2.1.1.8")</f>
        <v>2.1.1.8</v>
      </c>
      <c r="B46" s="119" t="str">
        <f ca="1">IFERROR(__xludf.DUMMYFUNCTION("""COMPUTED_VALUE"""),"Porcentaje")</f>
        <v>Porcentaje</v>
      </c>
      <c r="C46" s="118">
        <f ca="1">IFERROR(__xludf.DUMMYFUNCTION("""COMPUTED_VALUE"""),6500)</f>
        <v>6500</v>
      </c>
    </row>
    <row r="47" spans="1:3">
      <c r="A47" s="119" t="str">
        <f ca="1">IFERROR(__xludf.DUMMYFUNCTION("""COMPUTED_VALUE"""),"2.1.1.9")</f>
        <v>2.1.1.9</v>
      </c>
      <c r="B47" s="119" t="str">
        <f ca="1">IFERROR(__xludf.DUMMYFUNCTION("""COMPUTED_VALUE"""),"Promedio")</f>
        <v>Promedio</v>
      </c>
      <c r="C47" s="118">
        <f ca="1">IFERROR(__xludf.DUMMYFUNCTION("""COMPUTED_VALUE"""),2280)</f>
        <v>2280</v>
      </c>
    </row>
    <row r="48" spans="1:3">
      <c r="A48" s="119" t="str">
        <f ca="1">IFERROR(__xludf.DUMMYFUNCTION("""COMPUTED_VALUE"""),"2.1.1.10")</f>
        <v>2.1.1.10</v>
      </c>
      <c r="B48" s="119" t="str">
        <f ca="1">IFERROR(__xludf.DUMMYFUNCTION("""COMPUTED_VALUE"""),"Porcentaje")</f>
        <v>Porcentaje</v>
      </c>
      <c r="C48" s="118">
        <f ca="1">IFERROR(__xludf.DUMMYFUNCTION("""COMPUTED_VALUE"""),14000)</f>
        <v>14000</v>
      </c>
    </row>
    <row r="49" spans="1:3">
      <c r="A49" s="119" t="str">
        <f ca="1">IFERROR(__xludf.DUMMYFUNCTION("""COMPUTED_VALUE"""),"2.1.1.11")</f>
        <v>2.1.1.11</v>
      </c>
      <c r="B49" s="119" t="str">
        <f ca="1">IFERROR(__xludf.DUMMYFUNCTION("""COMPUTED_VALUE"""),"Porcentaje")</f>
        <v>Porcentaje</v>
      </c>
      <c r="C49" s="118">
        <f ca="1">IFERROR(__xludf.DUMMYFUNCTION("""COMPUTED_VALUE"""),29000)</f>
        <v>29000</v>
      </c>
    </row>
    <row r="50" spans="1:3">
      <c r="A50" s="119" t="str">
        <f ca="1">IFERROR(__xludf.DUMMYFUNCTION("""COMPUTED_VALUE"""),"2.1.1.12")</f>
        <v>2.1.1.12</v>
      </c>
      <c r="B50" s="119" t="str">
        <f ca="1">IFERROR(__xludf.DUMMYFUNCTION("""COMPUTED_VALUE"""),"Promedio")</f>
        <v>Promedio</v>
      </c>
      <c r="C50" s="118">
        <f ca="1">IFERROR(__xludf.DUMMYFUNCTION("""COMPUTED_VALUE"""),1650)</f>
        <v>1650</v>
      </c>
    </row>
    <row r="51" spans="1:3">
      <c r="A51" s="119" t="str">
        <f ca="1">IFERROR(__xludf.DUMMYFUNCTION("""COMPUTED_VALUE"""),"2.1.1.13")</f>
        <v>2.1.1.13</v>
      </c>
      <c r="B51" s="119" t="str">
        <f ca="1">IFERROR(__xludf.DUMMYFUNCTION("""COMPUTED_VALUE"""),"Porcentaje")</f>
        <v>Porcentaje</v>
      </c>
      <c r="C51" s="118">
        <f ca="1">IFERROR(__xludf.DUMMYFUNCTION("""COMPUTED_VALUE"""),250000)</f>
        <v>250000</v>
      </c>
    </row>
    <row r="52" spans="1:3">
      <c r="A52" s="119" t="str">
        <f ca="1">IFERROR(__xludf.DUMMYFUNCTION("""COMPUTED_VALUE"""),"2.1.1.14")</f>
        <v>2.1.1.14</v>
      </c>
      <c r="B52" s="119" t="str">
        <f ca="1">IFERROR(__xludf.DUMMYFUNCTION("""COMPUTED_VALUE"""),"Promedio")</f>
        <v>Promedio</v>
      </c>
      <c r="C52" s="118">
        <f ca="1">IFERROR(__xludf.DUMMYFUNCTION("""COMPUTED_VALUE"""),4500)</f>
        <v>4500</v>
      </c>
    </row>
    <row r="53" spans="1:3">
      <c r="A53" s="119" t="str">
        <f ca="1">IFERROR(__xludf.DUMMYFUNCTION("""COMPUTED_VALUE"""),"2.1.1.15")</f>
        <v>2.1.1.15</v>
      </c>
      <c r="B53" s="119" t="str">
        <f ca="1">IFERROR(__xludf.DUMMYFUNCTION("""COMPUTED_VALUE"""),"Promedio")</f>
        <v>Promedio</v>
      </c>
      <c r="C53" s="118">
        <f ca="1">IFERROR(__xludf.DUMMYFUNCTION("""COMPUTED_VALUE"""),780)</f>
        <v>780</v>
      </c>
    </row>
    <row r="54" spans="1:3">
      <c r="A54" s="119" t="str">
        <f ca="1">IFERROR(__xludf.DUMMYFUNCTION("""COMPUTED_VALUE"""),"2.1.1.16")</f>
        <v>2.1.1.16</v>
      </c>
      <c r="B54" s="119" t="str">
        <f ca="1">IFERROR(__xludf.DUMMYFUNCTION("""COMPUTED_VALUE"""),"Porcentaje")</f>
        <v>Porcentaje</v>
      </c>
      <c r="C54" s="118">
        <f ca="1">IFERROR(__xludf.DUMMYFUNCTION("""COMPUTED_VALUE"""),2030)</f>
        <v>2030</v>
      </c>
    </row>
    <row r="55" spans="1:3">
      <c r="A55" s="119" t="str">
        <f ca="1">IFERROR(__xludf.DUMMYFUNCTION("""COMPUTED_VALUE"""),"2.1.1.17")</f>
        <v>2.1.1.17</v>
      </c>
      <c r="B55" s="119" t="str">
        <f ca="1">IFERROR(__xludf.DUMMYFUNCTION("""COMPUTED_VALUE"""),"Porcentaje")</f>
        <v>Porcentaje</v>
      </c>
      <c r="C55" s="118">
        <f ca="1">IFERROR(__xludf.DUMMYFUNCTION("""COMPUTED_VALUE"""),1188)</f>
        <v>1188</v>
      </c>
    </row>
    <row r="56" spans="1:3">
      <c r="A56" s="119" t="str">
        <f ca="1">IFERROR(__xludf.DUMMYFUNCTION("""COMPUTED_VALUE"""),"2.1.2.0")</f>
        <v>2.1.2.0</v>
      </c>
      <c r="B56" s="119" t="str">
        <f ca="1">IFERROR(__xludf.DUMMYFUNCTION("""COMPUTED_VALUE"""),"Porcentaje")</f>
        <v>Porcentaje</v>
      </c>
      <c r="C56" s="118">
        <f ca="1">IFERROR(__xludf.DUMMYFUNCTION("""COMPUTED_VALUE"""),5000)</f>
        <v>5000</v>
      </c>
    </row>
    <row r="57" spans="1:3">
      <c r="A57" s="119" t="str">
        <f ca="1">IFERROR(__xludf.DUMMYFUNCTION("""COMPUTED_VALUE"""),"2.1.2.1")</f>
        <v>2.1.2.1</v>
      </c>
      <c r="B57" s="119" t="str">
        <f ca="1">IFERROR(__xludf.DUMMYFUNCTION("""COMPUTED_VALUE"""),"Porcentaje")</f>
        <v>Porcentaje</v>
      </c>
      <c r="C57" s="118">
        <f ca="1">IFERROR(__xludf.DUMMYFUNCTION("""COMPUTED_VALUE"""),10)</f>
        <v>10</v>
      </c>
    </row>
    <row r="58" spans="1:3">
      <c r="A58" s="119" t="str">
        <f ca="1">IFERROR(__xludf.DUMMYFUNCTION("""COMPUTED_VALUE"""),"2.1.3.0")</f>
        <v>2.1.3.0</v>
      </c>
      <c r="B58" s="119" t="str">
        <f ca="1">IFERROR(__xludf.DUMMYFUNCTION("""COMPUTED_VALUE"""),"Porcentaje")</f>
        <v>Porcentaje</v>
      </c>
      <c r="C58" s="118">
        <f ca="1">IFERROR(__xludf.DUMMYFUNCTION("""COMPUTED_VALUE"""),1250)</f>
        <v>1250</v>
      </c>
    </row>
    <row r="59" spans="1:3">
      <c r="A59" s="119" t="str">
        <f ca="1">IFERROR(__xludf.DUMMYFUNCTION("""COMPUTED_VALUE"""),"2.1.3.1")</f>
        <v>2.1.3.1</v>
      </c>
      <c r="B59" s="119" t="str">
        <f ca="1">IFERROR(__xludf.DUMMYFUNCTION("""COMPUTED_VALUE"""),"Porcentaje")</f>
        <v>Porcentaje</v>
      </c>
      <c r="C59" s="118">
        <f ca="1">IFERROR(__xludf.DUMMYFUNCTION("""COMPUTED_VALUE"""),800)</f>
        <v>800</v>
      </c>
    </row>
    <row r="60" spans="1:3">
      <c r="A60" s="119" t="str">
        <f ca="1">IFERROR(__xludf.DUMMYFUNCTION("""COMPUTED_VALUE"""),"2.1.3.2")</f>
        <v>2.1.3.2</v>
      </c>
      <c r="B60" s="119" t="str">
        <f ca="1">IFERROR(__xludf.DUMMYFUNCTION("""COMPUTED_VALUE"""),"Porcentaje")</f>
        <v>Porcentaje</v>
      </c>
      <c r="C60" s="118">
        <f ca="1">IFERROR(__xludf.DUMMYFUNCTION("""COMPUTED_VALUE"""),450)</f>
        <v>450</v>
      </c>
    </row>
    <row r="61" spans="1:3">
      <c r="A61" s="119" t="str">
        <f ca="1">IFERROR(__xludf.DUMMYFUNCTION("""COMPUTED_VALUE"""),"2.1.4.0")</f>
        <v>2.1.4.0</v>
      </c>
      <c r="B61" s="119" t="str">
        <f ca="1">IFERROR(__xludf.DUMMYFUNCTION("""COMPUTED_VALUE"""),"Porcentaje")</f>
        <v>Porcentaje</v>
      </c>
      <c r="C61" s="118">
        <f ca="1">IFERROR(__xludf.DUMMYFUNCTION("""COMPUTED_VALUE"""),11)</f>
        <v>11</v>
      </c>
    </row>
    <row r="62" spans="1:3">
      <c r="A62" s="119" t="str">
        <f ca="1">IFERROR(__xludf.DUMMYFUNCTION("""COMPUTED_VALUE"""),"2.1.4.1")</f>
        <v>2.1.4.1</v>
      </c>
      <c r="B62" s="119" t="str">
        <f ca="1">IFERROR(__xludf.DUMMYFUNCTION("""COMPUTED_VALUE"""),"Promedio")</f>
        <v>Promedio</v>
      </c>
      <c r="C62" s="118">
        <f ca="1">IFERROR(__xludf.DUMMYFUNCTION("""COMPUTED_VALUE"""),330)</f>
        <v>330</v>
      </c>
    </row>
    <row r="63" spans="1:3">
      <c r="A63" s="119" t="str">
        <f ca="1">IFERROR(__xludf.DUMMYFUNCTION("""COMPUTED_VALUE"""),"2.1.4.2")</f>
        <v>2.1.4.2</v>
      </c>
      <c r="B63" s="119" t="str">
        <f ca="1">IFERROR(__xludf.DUMMYFUNCTION("""COMPUTED_VALUE"""),"Porcentaje")</f>
        <v>Porcentaje</v>
      </c>
      <c r="C63" s="118">
        <f ca="1">IFERROR(__xludf.DUMMYFUNCTION("""COMPUTED_VALUE"""),1900)</f>
        <v>1900</v>
      </c>
    </row>
    <row r="64" spans="1:3">
      <c r="A64" s="119" t="str">
        <f ca="1">IFERROR(__xludf.DUMMYFUNCTION("""COMPUTED_VALUE"""),"3.0.0.0")</f>
        <v>3.0.0.0</v>
      </c>
      <c r="B64" s="119" t="str">
        <f ca="1">IFERROR(__xludf.DUMMYFUNCTION("""COMPUTED_VALUE"""),"Porcentaje")</f>
        <v>Porcentaje</v>
      </c>
      <c r="C64" s="118">
        <f ca="1">IFERROR(__xludf.DUMMYFUNCTION("""COMPUTED_VALUE"""),1140)</f>
        <v>1140</v>
      </c>
    </row>
    <row r="65" spans="1:3">
      <c r="A65" s="119" t="str">
        <f ca="1">IFERROR(__xludf.DUMMYFUNCTION("""COMPUTED_VALUE"""),"3.1.0.0")</f>
        <v>3.1.0.0</v>
      </c>
      <c r="B65" s="119" t="str">
        <f ca="1">IFERROR(__xludf.DUMMYFUNCTION("""COMPUTED_VALUE"""),"Porcentaje")</f>
        <v>Porcentaje</v>
      </c>
      <c r="C65" s="118">
        <f ca="1">IFERROR(__xludf.DUMMYFUNCTION("""COMPUTED_VALUE"""),110873)</f>
        <v>110873</v>
      </c>
    </row>
    <row r="66" spans="1:3">
      <c r="A66" s="119" t="str">
        <f ca="1">IFERROR(__xludf.DUMMYFUNCTION("""COMPUTED_VALUE"""),"3.1.1.0")</f>
        <v>3.1.1.0</v>
      </c>
      <c r="B66" s="119" t="str">
        <f ca="1">IFERROR(__xludf.DUMMYFUNCTION("""COMPUTED_VALUE"""),"Porcentaje")</f>
        <v>Porcentaje</v>
      </c>
      <c r="C66" s="118">
        <f ca="1">IFERROR(__xludf.DUMMYFUNCTION("""COMPUTED_VALUE"""),50)</f>
        <v>50</v>
      </c>
    </row>
    <row r="67" spans="1:3">
      <c r="A67" s="119" t="str">
        <f ca="1">IFERROR(__xludf.DUMMYFUNCTION("""COMPUTED_VALUE"""),"3.1.1.1")</f>
        <v>3.1.1.1</v>
      </c>
      <c r="B67" s="119" t="str">
        <f ca="1">IFERROR(__xludf.DUMMYFUNCTION("""COMPUTED_VALUE"""),"Porcentaje")</f>
        <v>Porcentaje</v>
      </c>
      <c r="C67" s="118">
        <f ca="1">IFERROR(__xludf.DUMMYFUNCTION("""COMPUTED_VALUE"""),1500)</f>
        <v>1500</v>
      </c>
    </row>
    <row r="68" spans="1:3">
      <c r="A68" s="119" t="str">
        <f ca="1">IFERROR(__xludf.DUMMYFUNCTION("""COMPUTED_VALUE"""),"3.1.2.0")</f>
        <v>3.1.2.0</v>
      </c>
      <c r="B68" s="119" t="str">
        <f ca="1">IFERROR(__xludf.DUMMYFUNCTION("""COMPUTED_VALUE"""),"Promedio")</f>
        <v>Promedio</v>
      </c>
      <c r="C68" s="118">
        <f ca="1">IFERROR(__xludf.DUMMYFUNCTION("""COMPUTED_VALUE"""),240)</f>
        <v>240</v>
      </c>
    </row>
    <row r="69" spans="1:3">
      <c r="A69" s="119" t="str">
        <f ca="1">IFERROR(__xludf.DUMMYFUNCTION("""COMPUTED_VALUE"""),"3.1.2.1")</f>
        <v>3.1.2.1</v>
      </c>
      <c r="B69" s="119" t="str">
        <f ca="1">IFERROR(__xludf.DUMMYFUNCTION("""COMPUTED_VALUE"""),"Porcentaje")</f>
        <v>Porcentaje</v>
      </c>
      <c r="C69" s="118">
        <f ca="1">IFERROR(__xludf.DUMMYFUNCTION("""COMPUTED_VALUE"""),25)</f>
        <v>25</v>
      </c>
    </row>
    <row r="70" spans="1:3">
      <c r="A70" s="119" t="str">
        <f ca="1">IFERROR(__xludf.DUMMYFUNCTION("""COMPUTED_VALUE"""),"3.1.3.0")</f>
        <v>3.1.3.0</v>
      </c>
      <c r="B70" s="119" t="str">
        <f ca="1">IFERROR(__xludf.DUMMYFUNCTION("""COMPUTED_VALUE"""),"Porcentaje")</f>
        <v>Porcentaje</v>
      </c>
      <c r="C70" s="118">
        <f ca="1">IFERROR(__xludf.DUMMYFUNCTION("""COMPUTED_VALUE"""),109348)</f>
        <v>109348</v>
      </c>
    </row>
    <row r="71" spans="1:3">
      <c r="A71" s="119" t="str">
        <f ca="1">IFERROR(__xludf.DUMMYFUNCTION("""COMPUTED_VALUE"""),"3.1.3.1")</f>
        <v>3.1.3.1</v>
      </c>
      <c r="B71" s="119" t="str">
        <f ca="1">IFERROR(__xludf.DUMMYFUNCTION("""COMPUTED_VALUE"""),"Porcentaje")</f>
        <v>Porcentaje</v>
      </c>
      <c r="C71" s="118">
        <f ca="1">IFERROR(__xludf.DUMMYFUNCTION("""COMPUTED_VALUE"""),2200)</f>
        <v>2200</v>
      </c>
    </row>
    <row r="72" spans="1:3">
      <c r="A72" s="119" t="str">
        <f ca="1">IFERROR(__xludf.DUMMYFUNCTION("""COMPUTED_VALUE"""),"3.1.3.2")</f>
        <v>3.1.3.2</v>
      </c>
      <c r="B72" s="119" t="str">
        <f ca="1">IFERROR(__xludf.DUMMYFUNCTION("""COMPUTED_VALUE"""),"Porcentaje")</f>
        <v>Porcentaje</v>
      </c>
      <c r="C72" s="118">
        <f ca="1">IFERROR(__xludf.DUMMYFUNCTION("""COMPUTED_VALUE"""),1098)</f>
        <v>1098</v>
      </c>
    </row>
    <row r="73" spans="1:3">
      <c r="A73" s="119" t="str">
        <f ca="1">IFERROR(__xludf.DUMMYFUNCTION("""COMPUTED_VALUE"""),"3.1.3.3")</f>
        <v>3.1.3.3</v>
      </c>
      <c r="B73" s="119" t="str">
        <f ca="1">IFERROR(__xludf.DUMMYFUNCTION("""COMPUTED_VALUE"""),"Porcentaje")</f>
        <v>Porcentaje</v>
      </c>
      <c r="C73" s="118">
        <f ca="1">IFERROR(__xludf.DUMMYFUNCTION("""COMPUTED_VALUE"""),104000)</f>
        <v>104000</v>
      </c>
    </row>
    <row r="74" spans="1:3">
      <c r="A74" s="119" t="str">
        <f ca="1">IFERROR(__xludf.DUMMYFUNCTION("""COMPUTED_VALUE"""),"3.1.3.4")</f>
        <v>3.1.3.4</v>
      </c>
      <c r="B74" s="119" t="str">
        <f ca="1">IFERROR(__xludf.DUMMYFUNCTION("""COMPUTED_VALUE"""),"Porcentaje")</f>
        <v>Porcentaje</v>
      </c>
      <c r="C74" s="118">
        <f ca="1">IFERROR(__xludf.DUMMYFUNCTION("""COMPUTED_VALUE"""),1200)</f>
        <v>1200</v>
      </c>
    </row>
    <row r="75" spans="1:3">
      <c r="A75" s="119" t="str">
        <f ca="1">IFERROR(__xludf.DUMMYFUNCTION("""COMPUTED_VALUE"""),"3.1.3.5")</f>
        <v>3.1.3.5</v>
      </c>
      <c r="B75" s="119" t="str">
        <f ca="1">IFERROR(__xludf.DUMMYFUNCTION("""COMPUTED_VALUE"""),"Porcentaje")</f>
        <v>Porcentaje</v>
      </c>
      <c r="C75" s="118">
        <f ca="1">IFERROR(__xludf.DUMMYFUNCTION("""COMPUTED_VALUE"""),850)</f>
        <v>850</v>
      </c>
    </row>
    <row r="76" spans="1:3">
      <c r="A76" s="119" t="str">
        <f ca="1">IFERROR(__xludf.DUMMYFUNCTION("""COMPUTED_VALUE"""),"4.0.0.0")</f>
        <v>4.0.0.0</v>
      </c>
      <c r="B76" s="119" t="str">
        <f ca="1">IFERROR(__xludf.DUMMYFUNCTION("""COMPUTED_VALUE"""),"Porcentaje")</f>
        <v>Porcentaje</v>
      </c>
      <c r="C76" s="118">
        <f ca="1">IFERROR(__xludf.DUMMYFUNCTION("""COMPUTED_VALUE"""),29697)</f>
        <v>29697</v>
      </c>
    </row>
    <row r="77" spans="1:3">
      <c r="A77" s="119" t="str">
        <f ca="1">IFERROR(__xludf.DUMMYFUNCTION("""COMPUTED_VALUE"""),"4.1.0.0")</f>
        <v>4.1.0.0</v>
      </c>
      <c r="B77" s="119" t="str">
        <f ca="1">IFERROR(__xludf.DUMMYFUNCTION("""COMPUTED_VALUE"""),"Porcentaje")</f>
        <v>Porcentaje</v>
      </c>
      <c r="C77" s="118">
        <f ca="1">IFERROR(__xludf.DUMMYFUNCTION("""COMPUTED_VALUE"""),11000)</f>
        <v>11000</v>
      </c>
    </row>
    <row r="78" spans="1:3">
      <c r="A78" s="119" t="str">
        <f ca="1">IFERROR(__xludf.DUMMYFUNCTION("""COMPUTED_VALUE"""),"4.1.1.0")</f>
        <v>4.1.1.0</v>
      </c>
      <c r="B78" s="119" t="str">
        <f ca="1">IFERROR(__xludf.DUMMYFUNCTION("""COMPUTED_VALUE"""),"Porcentaje")</f>
        <v>Porcentaje</v>
      </c>
      <c r="C78" s="118">
        <f ca="1">IFERROR(__xludf.DUMMYFUNCTION("""COMPUTED_VALUE"""),7000)</f>
        <v>7000</v>
      </c>
    </row>
    <row r="79" spans="1:3">
      <c r="A79" s="119" t="str">
        <f ca="1">IFERROR(__xludf.DUMMYFUNCTION("""COMPUTED_VALUE"""),"4.1.1.1")</f>
        <v>4.1.1.1</v>
      </c>
      <c r="B79" s="119" t="str">
        <f ca="1">IFERROR(__xludf.DUMMYFUNCTION("""COMPUTED_VALUE"""),"Porcentaje")</f>
        <v>Porcentaje</v>
      </c>
      <c r="C79" s="118">
        <f ca="1">IFERROR(__xludf.DUMMYFUNCTION("""COMPUTED_VALUE"""),5000)</f>
        <v>5000</v>
      </c>
    </row>
    <row r="80" spans="1:3">
      <c r="A80" s="119" t="str">
        <f ca="1">IFERROR(__xludf.DUMMYFUNCTION("""COMPUTED_VALUE"""),"4.1.1.2")</f>
        <v>4.1.1.2</v>
      </c>
      <c r="B80" s="119" t="str">
        <f ca="1">IFERROR(__xludf.DUMMYFUNCTION("""COMPUTED_VALUE"""),"Porcentaje")</f>
        <v>Porcentaje</v>
      </c>
      <c r="C80" s="118">
        <f ca="1">IFERROR(__xludf.DUMMYFUNCTION("""COMPUTED_VALUE"""),2000)</f>
        <v>2000</v>
      </c>
    </row>
    <row r="81" spans="1:3">
      <c r="A81" s="119" t="str">
        <f ca="1">IFERROR(__xludf.DUMMYFUNCTION("""COMPUTED_VALUE"""),"4.1.2.0")</f>
        <v>4.1.2.0</v>
      </c>
      <c r="B81" s="119" t="str">
        <f ca="1">IFERROR(__xludf.DUMMYFUNCTION("""COMPUTED_VALUE"""),"Porcentaje")</f>
        <v>Porcentaje</v>
      </c>
      <c r="C81" s="118">
        <f ca="1">IFERROR(__xludf.DUMMYFUNCTION("""COMPUTED_VALUE"""),10600)</f>
        <v>10600</v>
      </c>
    </row>
    <row r="82" spans="1:3">
      <c r="A82" s="119" t="str">
        <f ca="1">IFERROR(__xludf.DUMMYFUNCTION("""COMPUTED_VALUE"""),"4.1.2.1")</f>
        <v>4.1.2.1</v>
      </c>
      <c r="B82" s="119" t="str">
        <f ca="1">IFERROR(__xludf.DUMMYFUNCTION("""COMPUTED_VALUE"""),"Porcentaje")</f>
        <v>Porcentaje</v>
      </c>
      <c r="C82" s="118">
        <f ca="1">IFERROR(__xludf.DUMMYFUNCTION("""COMPUTED_VALUE"""),3100)</f>
        <v>3100</v>
      </c>
    </row>
    <row r="83" spans="1:3">
      <c r="A83" s="119" t="str">
        <f ca="1">IFERROR(__xludf.DUMMYFUNCTION("""COMPUTED_VALUE"""),"4.1.2.2")</f>
        <v>4.1.2.2</v>
      </c>
      <c r="B83" s="119" t="str">
        <f ca="1">IFERROR(__xludf.DUMMYFUNCTION("""COMPUTED_VALUE"""),"Porcentaje")</f>
        <v>Porcentaje</v>
      </c>
      <c r="C83" s="118">
        <f ca="1">IFERROR(__xludf.DUMMYFUNCTION("""COMPUTED_VALUE"""),7500)</f>
        <v>7500</v>
      </c>
    </row>
    <row r="84" spans="1:3">
      <c r="A84" s="119" t="str">
        <f ca="1">IFERROR(__xludf.DUMMYFUNCTION("""COMPUTED_VALUE"""),"4.1.3.0")</f>
        <v>4.1.3.0</v>
      </c>
      <c r="B84" s="119" t="str">
        <f ca="1">IFERROR(__xludf.DUMMYFUNCTION("""COMPUTED_VALUE"""),"Porcentaje")</f>
        <v>Porcentaje</v>
      </c>
      <c r="C84" s="118">
        <f ca="1">IFERROR(__xludf.DUMMYFUNCTION("""COMPUTED_VALUE"""),1400)</f>
        <v>1400</v>
      </c>
    </row>
    <row r="85" spans="1:3">
      <c r="A85" s="119" t="str">
        <f ca="1">IFERROR(__xludf.DUMMYFUNCTION("""COMPUTED_VALUE"""),"4.1.3.1")</f>
        <v>4.1.3.1</v>
      </c>
      <c r="B85" s="119" t="str">
        <f ca="1">IFERROR(__xludf.DUMMYFUNCTION("""COMPUTED_VALUE"""),"Porcentaje")</f>
        <v>Porcentaje</v>
      </c>
      <c r="C85" s="118">
        <f ca="1">IFERROR(__xludf.DUMMYFUNCTION("""COMPUTED_VALUE"""),200)</f>
        <v>200</v>
      </c>
    </row>
    <row r="86" spans="1:3">
      <c r="A86" s="119" t="str">
        <f ca="1">IFERROR(__xludf.DUMMYFUNCTION("""COMPUTED_VALUE"""),"4.1.3.2")</f>
        <v>4.1.3.2</v>
      </c>
      <c r="B86" s="119" t="str">
        <f ca="1">IFERROR(__xludf.DUMMYFUNCTION("""COMPUTED_VALUE"""),"Porcentaje")</f>
        <v>Porcentaje</v>
      </c>
      <c r="C86" s="118">
        <f ca="1">IFERROR(__xludf.DUMMYFUNCTION("""COMPUTED_VALUE"""),1265)</f>
        <v>1265</v>
      </c>
    </row>
    <row r="87" spans="1:3">
      <c r="A87" s="119" t="str">
        <f ca="1">IFERROR(__xludf.DUMMYFUNCTION("""COMPUTED_VALUE"""),"4.1.3.3")</f>
        <v>4.1.3.3</v>
      </c>
      <c r="B87" s="119" t="str">
        <f ca="1">IFERROR(__xludf.DUMMYFUNCTION("""COMPUTED_VALUE"""),"Porcentaje")</f>
        <v>Porcentaje</v>
      </c>
      <c r="C87" s="118">
        <f ca="1">IFERROR(__xludf.DUMMYFUNCTION("""COMPUTED_VALUE"""),200)</f>
        <v>200</v>
      </c>
    </row>
    <row r="88" spans="1:3">
      <c r="A88" s="119" t="str">
        <f ca="1">IFERROR(__xludf.DUMMYFUNCTION("""COMPUTED_VALUE"""),"4.1.3.4")</f>
        <v>4.1.3.4</v>
      </c>
      <c r="B88" s="119" t="str">
        <f ca="1">IFERROR(__xludf.DUMMYFUNCTION("""COMPUTED_VALUE"""),"Porcentaje")</f>
        <v>Porcentaje</v>
      </c>
      <c r="C88" s="118">
        <f ca="1">IFERROR(__xludf.DUMMYFUNCTION("""COMPUTED_VALUE"""),150)</f>
        <v>150</v>
      </c>
    </row>
    <row r="89" spans="1:3">
      <c r="A89" s="119" t="str">
        <f ca="1">IFERROR(__xludf.DUMMYFUNCTION("""COMPUTED_VALUE"""),"4.1.3.5")</f>
        <v>4.1.3.5</v>
      </c>
      <c r="B89" s="119" t="str">
        <f ca="1">IFERROR(__xludf.DUMMYFUNCTION("""COMPUTED_VALUE"""),"Porcentaje")</f>
        <v>Porcentaje</v>
      </c>
      <c r="C89" s="118">
        <f ca="1">IFERROR(__xludf.DUMMYFUNCTION("""COMPUTED_VALUE"""),700)</f>
        <v>700</v>
      </c>
    </row>
    <row r="90" spans="1:3">
      <c r="A90" s="119" t="str">
        <f ca="1">IFERROR(__xludf.DUMMYFUNCTION("""COMPUTED_VALUE"""),"5.0.0.0")</f>
        <v>5.0.0.0</v>
      </c>
      <c r="B90" s="119" t="str">
        <f ca="1">IFERROR(__xludf.DUMMYFUNCTION("""COMPUTED_VALUE"""),"Porcentaje")</f>
        <v>Porcentaje</v>
      </c>
      <c r="C90" s="118">
        <f ca="1">IFERROR(__xludf.DUMMYFUNCTION("""COMPUTED_VALUE"""),1650)</f>
        <v>1650</v>
      </c>
    </row>
    <row r="91" spans="1:3">
      <c r="A91" s="119" t="str">
        <f ca="1">IFERROR(__xludf.DUMMYFUNCTION("""COMPUTED_VALUE"""),"5.1.0.0")</f>
        <v>5.1.0.0</v>
      </c>
      <c r="B91" s="119" t="str">
        <f ca="1">IFERROR(__xludf.DUMMYFUNCTION("""COMPUTED_VALUE"""),"Porcentaje")</f>
        <v>Porcentaje</v>
      </c>
      <c r="C91" s="118">
        <f ca="1">IFERROR(__xludf.DUMMYFUNCTION("""COMPUTED_VALUE"""),54400)</f>
        <v>54400</v>
      </c>
    </row>
    <row r="92" spans="1:3">
      <c r="A92" s="119" t="str">
        <f ca="1">IFERROR(__xludf.DUMMYFUNCTION("""COMPUTED_VALUE"""),"5.1.1.0")</f>
        <v>5.1.1.0</v>
      </c>
      <c r="B92" s="119" t="str">
        <f ca="1">IFERROR(__xludf.DUMMYFUNCTION("""COMPUTED_VALUE"""),"Porcentaje")</f>
        <v>Porcentaje</v>
      </c>
      <c r="C92" s="118">
        <f ca="1">IFERROR(__xludf.DUMMYFUNCTION("""COMPUTED_VALUE"""),550)</f>
        <v>550</v>
      </c>
    </row>
    <row r="93" spans="1:3">
      <c r="A93" s="119" t="str">
        <f ca="1">IFERROR(__xludf.DUMMYFUNCTION("""COMPUTED_VALUE"""),"5.1.1.1")</f>
        <v>5.1.1.1</v>
      </c>
      <c r="B93" s="119" t="str">
        <f ca="1">IFERROR(__xludf.DUMMYFUNCTION("""COMPUTED_VALUE"""),"Porcentaje")</f>
        <v>Porcentaje</v>
      </c>
      <c r="C93" s="118">
        <f ca="1">IFERROR(__xludf.DUMMYFUNCTION("""COMPUTED_VALUE"""),1550)</f>
        <v>1550</v>
      </c>
    </row>
    <row r="94" spans="1:3">
      <c r="A94" s="119" t="str">
        <f ca="1">IFERROR(__xludf.DUMMYFUNCTION("""COMPUTED_VALUE"""),"5.1.1.2")</f>
        <v>5.1.1.2</v>
      </c>
      <c r="B94" s="119" t="str">
        <f ca="1">IFERROR(__xludf.DUMMYFUNCTION("""COMPUTED_VALUE"""),"Porcentaje")</f>
        <v>Porcentaje</v>
      </c>
      <c r="C94" s="118">
        <f ca="1">IFERROR(__xludf.DUMMYFUNCTION("""COMPUTED_VALUE"""),48000)</f>
        <v>48000</v>
      </c>
    </row>
    <row r="95" spans="1:3">
      <c r="A95" s="119" t="str">
        <f ca="1">IFERROR(__xludf.DUMMYFUNCTION("""COMPUTED_VALUE"""),"5.1.2.0")</f>
        <v>5.1.2.0</v>
      </c>
      <c r="B95" s="119" t="str">
        <f ca="1">IFERROR(__xludf.DUMMYFUNCTION("""COMPUTED_VALUE"""),"Promedio")</f>
        <v>Promedio</v>
      </c>
      <c r="C95" s="118">
        <f ca="1">IFERROR(__xludf.DUMMYFUNCTION("""COMPUTED_VALUE"""),300)</f>
        <v>300</v>
      </c>
    </row>
    <row r="96" spans="1:3">
      <c r="A96" s="119" t="str">
        <f ca="1">IFERROR(__xludf.DUMMYFUNCTION("""COMPUTED_VALUE"""),"5.1.2.1")</f>
        <v>5.1.2.1</v>
      </c>
      <c r="B96" s="119" t="str">
        <f ca="1">IFERROR(__xludf.DUMMYFUNCTION("""COMPUTED_VALUE"""),"Porcentaje")</f>
        <v>Porcentaje</v>
      </c>
      <c r="C96" s="118">
        <f ca="1">IFERROR(__xludf.DUMMYFUNCTION("""COMPUTED_VALUE"""),160)</f>
        <v>160</v>
      </c>
    </row>
    <row r="97" spans="1:3">
      <c r="A97" s="119" t="str">
        <f ca="1">IFERROR(__xludf.DUMMYFUNCTION("""COMPUTED_VALUE"""),"5.1.2.2")</f>
        <v>5.1.2.2</v>
      </c>
      <c r="B97" s="119" t="str">
        <f ca="1">IFERROR(__xludf.DUMMYFUNCTION("""COMPUTED_VALUE"""),"Porcentaje")</f>
        <v>Porcentaje</v>
      </c>
      <c r="C97" s="118">
        <f ca="1">IFERROR(__xludf.DUMMYFUNCTION("""COMPUTED_VALUE"""),6400)</f>
        <v>6400</v>
      </c>
    </row>
    <row r="98" spans="1:3">
      <c r="A98" s="119" t="str">
        <f ca="1">IFERROR(__xludf.DUMMYFUNCTION("""COMPUTED_VALUE"""),"6.0.0.0")</f>
        <v>6.0.0.0</v>
      </c>
      <c r="B98" s="119" t="str">
        <f ca="1">IFERROR(__xludf.DUMMYFUNCTION("""COMPUTED_VALUE"""),"Porcentaje")</f>
        <v>Porcentaje</v>
      </c>
      <c r="C98" s="118">
        <f ca="1">IFERROR(__xludf.DUMMYFUNCTION("""COMPUTED_VALUE"""),19346)</f>
        <v>19346</v>
      </c>
    </row>
    <row r="99" spans="1:3">
      <c r="A99" s="119" t="str">
        <f ca="1">IFERROR(__xludf.DUMMYFUNCTION("""COMPUTED_VALUE"""),"6.1.0.0")</f>
        <v>6.1.0.0</v>
      </c>
      <c r="B99" s="119" t="str">
        <f ca="1">IFERROR(__xludf.DUMMYFUNCTION("""COMPUTED_VALUE"""),"Porcentaje")</f>
        <v>Porcentaje</v>
      </c>
      <c r="C99" s="118">
        <f ca="1">IFERROR(__xludf.DUMMYFUNCTION("""COMPUTED_VALUE"""),55686)</f>
        <v>55686</v>
      </c>
    </row>
    <row r="100" spans="1:3">
      <c r="A100" s="119" t="str">
        <f ca="1">IFERROR(__xludf.DUMMYFUNCTION("""COMPUTED_VALUE"""),"6.1.1.0")</f>
        <v>6.1.1.0</v>
      </c>
      <c r="B100" s="119" t="str">
        <f ca="1">IFERROR(__xludf.DUMMYFUNCTION("""COMPUTED_VALUE"""),"Promedio")</f>
        <v>Promedio</v>
      </c>
      <c r="C100" s="118">
        <f ca="1">IFERROR(__xludf.DUMMYFUNCTION("""COMPUTED_VALUE"""),415)</f>
        <v>415</v>
      </c>
    </row>
    <row r="101" spans="1:3">
      <c r="A101" s="119" t="str">
        <f ca="1">IFERROR(__xludf.DUMMYFUNCTION("""COMPUTED_VALUE"""),"6.1.1.1")</f>
        <v>6.1.1.1</v>
      </c>
      <c r="B101" s="119" t="str">
        <f ca="1">IFERROR(__xludf.DUMMYFUNCTION("""COMPUTED_VALUE"""),"Porcentaje")</f>
        <v>Porcentaje</v>
      </c>
      <c r="C101" s="118">
        <f ca="1">IFERROR(__xludf.DUMMYFUNCTION("""COMPUTED_VALUE"""),900)</f>
        <v>900</v>
      </c>
    </row>
    <row r="102" spans="1:3">
      <c r="A102" s="119" t="str">
        <f ca="1">IFERROR(__xludf.DUMMYFUNCTION("""COMPUTED_VALUE"""),"6.1.1.2")</f>
        <v>6.1.1.2</v>
      </c>
      <c r="B102" s="119" t="str">
        <f ca="1">IFERROR(__xludf.DUMMYFUNCTION("""COMPUTED_VALUE"""),"Porcentaje")</f>
        <v>Porcentaje</v>
      </c>
      <c r="C102" s="118">
        <f ca="1">IFERROR(__xludf.DUMMYFUNCTION("""COMPUTED_VALUE"""),1100)</f>
        <v>1100</v>
      </c>
    </row>
    <row r="103" spans="1:3">
      <c r="A103" s="119" t="str">
        <f ca="1">IFERROR(__xludf.DUMMYFUNCTION("""COMPUTED_VALUE"""),"6.1.2.0")</f>
        <v>6.1.2.0</v>
      </c>
      <c r="B103" s="119" t="str">
        <f ca="1">IFERROR(__xludf.DUMMYFUNCTION("""COMPUTED_VALUE"""),"Promedio")</f>
        <v>Promedio</v>
      </c>
      <c r="C103" s="118">
        <f ca="1">IFERROR(__xludf.DUMMYFUNCTION("""COMPUTED_VALUE"""),600)</f>
        <v>600</v>
      </c>
    </row>
    <row r="104" spans="1:3">
      <c r="A104" s="119" t="str">
        <f ca="1">IFERROR(__xludf.DUMMYFUNCTION("""COMPUTED_VALUE"""),"6.1.2.1")</f>
        <v>6.1.2.1</v>
      </c>
      <c r="B104" s="119" t="str">
        <f ca="1">IFERROR(__xludf.DUMMYFUNCTION("""COMPUTED_VALUE"""),"Porcentaje")</f>
        <v>Porcentaje</v>
      </c>
      <c r="C104" s="118">
        <f ca="1">IFERROR(__xludf.DUMMYFUNCTION("""COMPUTED_VALUE"""),14000)</f>
        <v>14000</v>
      </c>
    </row>
    <row r="105" spans="1:3">
      <c r="A105" s="119" t="str">
        <f ca="1">IFERROR(__xludf.DUMMYFUNCTION("""COMPUTED_VALUE"""),"6.1.3.0")</f>
        <v>6.1.3.0</v>
      </c>
      <c r="B105" s="119" t="str">
        <f ca="1">IFERROR(__xludf.DUMMYFUNCTION("""COMPUTED_VALUE"""),"Porcentaje")</f>
        <v>Porcentaje</v>
      </c>
      <c r="C105" s="118">
        <f ca="1">IFERROR(__xludf.DUMMYFUNCTION("""COMPUTED_VALUE"""),600)</f>
        <v>600</v>
      </c>
    </row>
    <row r="106" spans="1:3">
      <c r="A106" s="119" t="str">
        <f ca="1">IFERROR(__xludf.DUMMYFUNCTION("""COMPUTED_VALUE"""),"6.1.3.1")</f>
        <v>6.1.3.1</v>
      </c>
      <c r="B106" s="119" t="str">
        <f ca="1">IFERROR(__xludf.DUMMYFUNCTION("""COMPUTED_VALUE"""),"Promedio")</f>
        <v>Promedio</v>
      </c>
      <c r="C106" s="118">
        <f ca="1">IFERROR(__xludf.DUMMYFUNCTION("""COMPUTED_VALUE"""),86)</f>
        <v>86</v>
      </c>
    </row>
    <row r="107" spans="1:3">
      <c r="A107" s="119" t="str">
        <f ca="1">IFERROR(__xludf.DUMMYFUNCTION("""COMPUTED_VALUE"""),"6.1.3.2")</f>
        <v>6.1.3.2</v>
      </c>
      <c r="B107" s="119" t="str">
        <f ca="1">IFERROR(__xludf.DUMMYFUNCTION("""COMPUTED_VALUE"""),"Porcentaje")</f>
        <v>Porcentaje</v>
      </c>
      <c r="C107" s="118">
        <f ca="1">IFERROR(__xludf.DUMMYFUNCTION("""COMPUTED_VALUE"""),36)</f>
        <v>36</v>
      </c>
    </row>
    <row r="108" spans="1:3">
      <c r="A108" s="119" t="str">
        <f ca="1">IFERROR(__xludf.DUMMYFUNCTION("""COMPUTED_VALUE"""),"6.1.3.3")</f>
        <v>6.1.3.3</v>
      </c>
      <c r="B108" s="119" t="str">
        <f ca="1">IFERROR(__xludf.DUMMYFUNCTION("""COMPUTED_VALUE"""),"Porcentaje")</f>
        <v>Porcentaje</v>
      </c>
      <c r="C108" s="118">
        <f ca="1">IFERROR(__xludf.DUMMYFUNCTION("""COMPUTED_VALUE"""),45)</f>
        <v>45</v>
      </c>
    </row>
    <row r="109" spans="1:3">
      <c r="A109" s="119" t="str">
        <f ca="1">IFERROR(__xludf.DUMMYFUNCTION("""COMPUTED_VALUE"""),"6.1.4.0")</f>
        <v>6.1.4.0</v>
      </c>
      <c r="B109" s="119" t="str">
        <f ca="1">IFERROR(__xludf.DUMMYFUNCTION("""COMPUTED_VALUE"""),"Promedio")</f>
        <v>Promedio</v>
      </c>
      <c r="C109" s="118">
        <f ca="1">IFERROR(__xludf.DUMMYFUNCTION("""COMPUTED_VALUE"""),7000)</f>
        <v>7000</v>
      </c>
    </row>
    <row r="110" spans="1:3">
      <c r="A110" s="119" t="str">
        <f ca="1">IFERROR(__xludf.DUMMYFUNCTION("""COMPUTED_VALUE"""),"6.1.4.1")</f>
        <v>6.1.4.1</v>
      </c>
      <c r="B110" s="119" t="str">
        <f ca="1">IFERROR(__xludf.DUMMYFUNCTION("""COMPUTED_VALUE"""),"Porcentaje")</f>
        <v>Porcentaje</v>
      </c>
      <c r="C110" s="118">
        <f ca="1">IFERROR(__xludf.DUMMYFUNCTION("""COMPUTED_VALUE"""),25)</f>
        <v>25</v>
      </c>
    </row>
    <row r="111" spans="1:3">
      <c r="A111" s="119" t="str">
        <f ca="1">IFERROR(__xludf.DUMMYFUNCTION("""COMPUTED_VALUE"""),"6.1.4.2")</f>
        <v>6.1.4.2</v>
      </c>
      <c r="B111" s="119" t="str">
        <f ca="1">IFERROR(__xludf.DUMMYFUNCTION("""COMPUTED_VALUE"""),"Porcentaje")</f>
        <v>Porcentaje</v>
      </c>
      <c r="C111" s="118">
        <f ca="1">IFERROR(__xludf.DUMMYFUNCTION("""COMPUTED_VALUE"""),23540)</f>
        <v>23540</v>
      </c>
    </row>
    <row r="112" spans="1:3">
      <c r="A112" s="119" t="str">
        <f ca="1">IFERROR(__xludf.DUMMYFUNCTION("""COMPUTED_VALUE"""),"6.1.5.0")</f>
        <v>6.1.5.0</v>
      </c>
      <c r="B112" s="119" t="str">
        <f ca="1">IFERROR(__xludf.DUMMYFUNCTION("""COMPUTED_VALUE"""),"Porcentaje")</f>
        <v>Porcentaje</v>
      </c>
      <c r="C112" s="118">
        <f ca="1">IFERROR(__xludf.DUMMYFUNCTION("""COMPUTED_VALUE"""),16646)</f>
        <v>16646</v>
      </c>
    </row>
    <row r="113" spans="1:3">
      <c r="A113" s="119" t="str">
        <f ca="1">IFERROR(__xludf.DUMMYFUNCTION("""COMPUTED_VALUE"""),"6.1.5.1")</f>
        <v>6.1.5.1</v>
      </c>
      <c r="B113" s="119" t="str">
        <f ca="1">IFERROR(__xludf.DUMMYFUNCTION("""COMPUTED_VALUE"""),"Porcentaje")</f>
        <v>Porcentaje</v>
      </c>
      <c r="C113" s="118">
        <f ca="1">IFERROR(__xludf.DUMMYFUNCTION("""COMPUTED_VALUE"""),13688)</f>
        <v>13688</v>
      </c>
    </row>
    <row r="114" spans="1:3">
      <c r="A114" s="119" t="str">
        <f ca="1">IFERROR(__xludf.DUMMYFUNCTION("""COMPUTED_VALUE"""),"6.1.5.2")</f>
        <v>6.1.5.2</v>
      </c>
      <c r="B114" s="119" t="str">
        <f ca="1">IFERROR(__xludf.DUMMYFUNCTION("""COMPUTED_VALUE"""),"Porcentaje")</f>
        <v>Porcentaje</v>
      </c>
      <c r="C114" s="118">
        <f ca="1">IFERROR(__xludf.DUMMYFUNCTION("""COMPUTED_VALUE"""),2958)</f>
        <v>2958</v>
      </c>
    </row>
    <row r="115" spans="1:3">
      <c r="A115" s="119"/>
      <c r="B115" s="119"/>
      <c r="C115" s="118"/>
    </row>
    <row r="116" spans="1:3">
      <c r="A116" s="119"/>
      <c r="B116" s="119"/>
      <c r="C116" s="118"/>
    </row>
    <row r="117" spans="1:3">
      <c r="A117" s="119"/>
      <c r="B117" s="119"/>
      <c r="C117" s="118"/>
    </row>
    <row r="118" spans="1:3">
      <c r="A118" s="119"/>
      <c r="B118" s="119"/>
      <c r="C118" s="118"/>
    </row>
    <row r="119" spans="1:3">
      <c r="A119" s="119"/>
      <c r="B119" s="119"/>
      <c r="C119" s="118"/>
    </row>
    <row r="120" spans="1:3">
      <c r="A120" s="119"/>
      <c r="B120" s="119"/>
      <c r="C120" s="118"/>
    </row>
    <row r="121" spans="1:3">
      <c r="A121" s="119"/>
      <c r="B121" s="119"/>
      <c r="C121" s="118"/>
    </row>
    <row r="122" spans="1:3">
      <c r="A122" s="119"/>
      <c r="B122" s="119"/>
      <c r="C122" s="118"/>
    </row>
    <row r="123" spans="1:3">
      <c r="A123" s="119"/>
      <c r="B123" s="119"/>
      <c r="C123" s="118"/>
    </row>
    <row r="124" spans="1:3">
      <c r="A124" s="119"/>
      <c r="B124" s="119"/>
      <c r="C124" s="118"/>
    </row>
    <row r="125" spans="1:3">
      <c r="A125" s="119"/>
      <c r="B125" s="119"/>
      <c r="C125" s="118"/>
    </row>
    <row r="126" spans="1:3">
      <c r="A126" s="119"/>
      <c r="B126" s="119"/>
      <c r="C126" s="118"/>
    </row>
    <row r="127" spans="1:3">
      <c r="A127" s="119"/>
      <c r="B127" s="119"/>
      <c r="C127" s="118"/>
    </row>
    <row r="128" spans="1:3">
      <c r="A128" s="119"/>
      <c r="B128" s="119"/>
      <c r="C128" s="118"/>
    </row>
    <row r="129" spans="1:3">
      <c r="A129" s="119"/>
      <c r="B129" s="119"/>
      <c r="C129" s="118"/>
    </row>
    <row r="130" spans="1:3">
      <c r="A130" s="119"/>
      <c r="B130" s="119"/>
      <c r="C130" s="118"/>
    </row>
    <row r="131" spans="1:3">
      <c r="A131" s="119"/>
      <c r="B131" s="119"/>
      <c r="C131" s="118"/>
    </row>
    <row r="132" spans="1:3">
      <c r="A132" s="119"/>
      <c r="B132" s="119"/>
      <c r="C132" s="118"/>
    </row>
    <row r="133" spans="1:3">
      <c r="A133" s="119"/>
      <c r="B133" s="119"/>
      <c r="C133" s="118"/>
    </row>
    <row r="134" spans="1:3">
      <c r="A134" s="119"/>
      <c r="B134" s="119"/>
      <c r="C134" s="118"/>
    </row>
    <row r="135" spans="1:3">
      <c r="A135" s="119"/>
      <c r="B135" s="119"/>
      <c r="C135" s="118"/>
    </row>
    <row r="136" spans="1:3">
      <c r="A136" s="119"/>
      <c r="B136" s="119"/>
      <c r="C136" s="118"/>
    </row>
    <row r="137" spans="1:3">
      <c r="A137" s="119"/>
      <c r="B137" s="119"/>
      <c r="C137" s="118"/>
    </row>
    <row r="138" spans="1:3">
      <c r="A138" s="119"/>
      <c r="B138" s="119"/>
      <c r="C138" s="118"/>
    </row>
    <row r="139" spans="1:3">
      <c r="A139" s="119"/>
      <c r="B139" s="119"/>
      <c r="C139" s="118"/>
    </row>
    <row r="140" spans="1:3">
      <c r="A140" s="119"/>
      <c r="B140" s="119"/>
      <c r="C140" s="118"/>
    </row>
    <row r="141" spans="1:3">
      <c r="A141" s="119"/>
      <c r="B141" s="119"/>
      <c r="C141" s="118"/>
    </row>
    <row r="142" spans="1:3">
      <c r="A142" s="119"/>
      <c r="B142" s="119"/>
      <c r="C142" s="118"/>
    </row>
    <row r="143" spans="1:3">
      <c r="A143" s="119"/>
      <c r="B143" s="119"/>
      <c r="C143" s="118"/>
    </row>
    <row r="144" spans="1:3">
      <c r="A144" s="119"/>
      <c r="B144" s="119"/>
      <c r="C144" s="118"/>
    </row>
    <row r="145" spans="1:3">
      <c r="A145" s="119"/>
      <c r="B145" s="119"/>
      <c r="C145" s="118"/>
    </row>
    <row r="146" spans="1:3">
      <c r="A146" s="119"/>
      <c r="B146" s="119"/>
      <c r="C146" s="118"/>
    </row>
    <row r="147" spans="1:3">
      <c r="A147" s="119"/>
      <c r="B147" s="119"/>
      <c r="C147" s="118"/>
    </row>
    <row r="148" spans="1:3">
      <c r="A148" s="119"/>
      <c r="B148" s="119"/>
      <c r="C148" s="118"/>
    </row>
    <row r="149" spans="1:3">
      <c r="A149" s="119"/>
      <c r="B149" s="119"/>
      <c r="C149" s="118"/>
    </row>
    <row r="150" spans="1:3">
      <c r="A150" s="119"/>
      <c r="B150" s="119"/>
      <c r="C150" s="118"/>
    </row>
    <row r="151" spans="1:3">
      <c r="A151" s="119"/>
      <c r="B151" s="119"/>
      <c r="C151" s="118"/>
    </row>
    <row r="152" spans="1:3">
      <c r="A152" s="119"/>
      <c r="B152" s="119"/>
      <c r="C152" s="118"/>
    </row>
    <row r="153" spans="1:3">
      <c r="A153" s="119"/>
      <c r="B153" s="119"/>
      <c r="C153" s="118"/>
    </row>
    <row r="154" spans="1:3">
      <c r="A154" s="119"/>
      <c r="B154" s="119"/>
      <c r="C154" s="118"/>
    </row>
    <row r="155" spans="1:3">
      <c r="A155" s="119"/>
      <c r="B155" s="119"/>
      <c r="C155" s="118"/>
    </row>
    <row r="156" spans="1:3">
      <c r="A156" s="119"/>
      <c r="B156" s="119"/>
      <c r="C156" s="118"/>
    </row>
    <row r="157" spans="1:3">
      <c r="A157" s="119"/>
      <c r="B157" s="119"/>
      <c r="C157" s="118"/>
    </row>
    <row r="158" spans="1:3">
      <c r="A158" s="119"/>
      <c r="B158" s="119"/>
      <c r="C158" s="118"/>
    </row>
    <row r="159" spans="1:3">
      <c r="A159" s="119"/>
      <c r="B159" s="119"/>
      <c r="C159" s="118"/>
    </row>
    <row r="160" spans="1:3">
      <c r="A160" s="119"/>
      <c r="B160" s="119"/>
      <c r="C160" s="118"/>
    </row>
    <row r="161" spans="1:3">
      <c r="A161" s="119"/>
      <c r="B161" s="119"/>
      <c r="C161" s="118"/>
    </row>
    <row r="162" spans="1:3">
      <c r="A162" s="119"/>
      <c r="B162" s="119"/>
      <c r="C162" s="118"/>
    </row>
    <row r="163" spans="1:3">
      <c r="A163" s="119"/>
      <c r="B163" s="119"/>
      <c r="C163" s="118"/>
    </row>
    <row r="164" spans="1:3">
      <c r="A164" s="119"/>
      <c r="B164" s="119"/>
      <c r="C164" s="118"/>
    </row>
    <row r="165" spans="1:3">
      <c r="A165" s="119"/>
      <c r="B165" s="119"/>
      <c r="C165" s="118"/>
    </row>
    <row r="166" spans="1:3">
      <c r="A166" s="119"/>
      <c r="B166" s="119"/>
      <c r="C166" s="118"/>
    </row>
    <row r="167" spans="1:3">
      <c r="A167" s="119"/>
      <c r="B167" s="119"/>
      <c r="C167" s="118"/>
    </row>
    <row r="168" spans="1:3">
      <c r="A168" s="119"/>
      <c r="B168" s="119"/>
      <c r="C168" s="118"/>
    </row>
    <row r="169" spans="1:3">
      <c r="A169" s="119"/>
      <c r="B169" s="119"/>
      <c r="C169" s="118"/>
    </row>
    <row r="170" spans="1:3">
      <c r="A170" s="119"/>
      <c r="B170" s="119"/>
      <c r="C170" s="118"/>
    </row>
    <row r="171" spans="1:3">
      <c r="A171" s="119"/>
      <c r="B171" s="119"/>
      <c r="C171" s="118"/>
    </row>
    <row r="172" spans="1:3">
      <c r="A172" s="119"/>
      <c r="B172" s="119"/>
      <c r="C172" s="118"/>
    </row>
    <row r="173" spans="1:3">
      <c r="A173" s="119"/>
      <c r="B173" s="119"/>
      <c r="C173" s="118"/>
    </row>
    <row r="174" spans="1:3">
      <c r="A174" s="119"/>
      <c r="B174" s="119"/>
      <c r="C174" s="118"/>
    </row>
    <row r="175" spans="1:3">
      <c r="A175" s="119"/>
      <c r="B175" s="119"/>
      <c r="C175" s="118"/>
    </row>
    <row r="176" spans="1:3">
      <c r="A176" s="119"/>
      <c r="B176" s="119"/>
      <c r="C176" s="118"/>
    </row>
    <row r="177" spans="1:3">
      <c r="A177" s="119"/>
      <c r="B177" s="119"/>
      <c r="C177" s="118"/>
    </row>
    <row r="178" spans="1:3">
      <c r="A178" s="119"/>
      <c r="B178" s="119"/>
      <c r="C178" s="118"/>
    </row>
    <row r="179" spans="1:3">
      <c r="A179" s="119"/>
      <c r="B179" s="119"/>
      <c r="C179" s="118"/>
    </row>
    <row r="180" spans="1:3">
      <c r="A180" s="119"/>
      <c r="B180" s="119"/>
      <c r="C180" s="118"/>
    </row>
    <row r="181" spans="1:3">
      <c r="A181" s="119"/>
      <c r="B181" s="119"/>
      <c r="C181" s="118"/>
    </row>
    <row r="182" spans="1:3">
      <c r="A182" s="119"/>
      <c r="B182" s="119"/>
      <c r="C182" s="118"/>
    </row>
    <row r="183" spans="1:3">
      <c r="A183" s="119"/>
      <c r="B183" s="119"/>
      <c r="C183" s="118"/>
    </row>
    <row r="184" spans="1:3">
      <c r="A184" s="119"/>
      <c r="B184" s="119"/>
      <c r="C184" s="118"/>
    </row>
    <row r="185" spans="1:3">
      <c r="A185" s="119"/>
      <c r="B185" s="119"/>
      <c r="C185" s="118"/>
    </row>
    <row r="186" spans="1:3">
      <c r="A186" s="119"/>
      <c r="B186" s="119"/>
      <c r="C186" s="118"/>
    </row>
    <row r="187" spans="1:3">
      <c r="A187" s="119"/>
      <c r="B187" s="119"/>
      <c r="C187" s="118"/>
    </row>
    <row r="188" spans="1:3">
      <c r="A188" s="119"/>
      <c r="B188" s="119"/>
      <c r="C188" s="118"/>
    </row>
    <row r="189" spans="1:3">
      <c r="A189" s="119"/>
      <c r="B189" s="119"/>
      <c r="C189" s="118"/>
    </row>
    <row r="190" spans="1:3">
      <c r="A190" s="119"/>
      <c r="B190" s="119"/>
      <c r="C190" s="118"/>
    </row>
    <row r="191" spans="1:3">
      <c r="A191" s="119"/>
      <c r="B191" s="119"/>
      <c r="C191" s="118"/>
    </row>
    <row r="192" spans="1:3">
      <c r="A192" s="119"/>
      <c r="B192" s="119"/>
      <c r="C192" s="118"/>
    </row>
    <row r="193" spans="1:3">
      <c r="A193" s="119"/>
      <c r="B193" s="119"/>
      <c r="C193" s="118"/>
    </row>
    <row r="194" spans="1:3">
      <c r="A194" s="119"/>
      <c r="B194" s="119"/>
      <c r="C194" s="118"/>
    </row>
    <row r="195" spans="1:3">
      <c r="A195" s="119"/>
      <c r="B195" s="119"/>
      <c r="C195" s="118"/>
    </row>
    <row r="196" spans="1:3">
      <c r="A196" s="119"/>
      <c r="B196" s="119"/>
      <c r="C196" s="118"/>
    </row>
    <row r="197" spans="1:3">
      <c r="A197" s="119"/>
      <c r="B197" s="119"/>
      <c r="C197" s="118"/>
    </row>
    <row r="198" spans="1:3">
      <c r="A198" s="119"/>
      <c r="B198" s="119"/>
      <c r="C198" s="118"/>
    </row>
    <row r="199" spans="1:3">
      <c r="A199" s="119"/>
      <c r="B199" s="119"/>
      <c r="C199" s="118"/>
    </row>
    <row r="200" spans="1:3">
      <c r="A200" s="119"/>
      <c r="B200" s="119"/>
      <c r="C200" s="118"/>
    </row>
    <row r="201" spans="1:3">
      <c r="A201" s="119"/>
      <c r="B201" s="119"/>
      <c r="C201" s="118"/>
    </row>
    <row r="202" spans="1:3">
      <c r="A202" s="119"/>
      <c r="B202" s="119"/>
      <c r="C202" s="118"/>
    </row>
    <row r="203" spans="1:3">
      <c r="A203" s="119"/>
      <c r="B203" s="119"/>
      <c r="C203" s="118"/>
    </row>
    <row r="204" spans="1:3">
      <c r="A204" s="119"/>
      <c r="B204" s="119"/>
      <c r="C204" s="118"/>
    </row>
    <row r="205" spans="1:3">
      <c r="A205" s="119"/>
      <c r="B205" s="119"/>
      <c r="C205" s="118"/>
    </row>
    <row r="206" spans="1:3">
      <c r="A206" s="119"/>
      <c r="B206" s="119"/>
      <c r="C206" s="118"/>
    </row>
    <row r="207" spans="1:3">
      <c r="A207" s="119"/>
      <c r="B207" s="119"/>
      <c r="C207" s="118"/>
    </row>
    <row r="208" spans="1:3">
      <c r="A208" s="119"/>
      <c r="B208" s="119"/>
      <c r="C208" s="118"/>
    </row>
    <row r="209" spans="1:3">
      <c r="A209" s="119"/>
      <c r="B209" s="119"/>
      <c r="C209" s="118"/>
    </row>
    <row r="210" spans="1:3">
      <c r="A210" s="119"/>
      <c r="B210" s="119"/>
      <c r="C210" s="118"/>
    </row>
    <row r="211" spans="1:3">
      <c r="A211" s="119"/>
      <c r="B211" s="119"/>
      <c r="C211" s="118"/>
    </row>
    <row r="212" spans="1:3">
      <c r="A212" s="119"/>
      <c r="B212" s="119"/>
      <c r="C212" s="118"/>
    </row>
    <row r="213" spans="1:3">
      <c r="A213" s="119"/>
      <c r="B213" s="119"/>
      <c r="C213" s="118"/>
    </row>
    <row r="214" spans="1:3">
      <c r="A214" s="119"/>
      <c r="B214" s="119"/>
      <c r="C214" s="118"/>
    </row>
    <row r="215" spans="1:3">
      <c r="A215" s="119"/>
      <c r="B215" s="119"/>
      <c r="C215" s="118"/>
    </row>
    <row r="216" spans="1:3">
      <c r="A216" s="119"/>
      <c r="B216" s="119"/>
      <c r="C216" s="118"/>
    </row>
    <row r="217" spans="1:3">
      <c r="A217" s="119"/>
      <c r="B217" s="119"/>
      <c r="C217" s="118"/>
    </row>
    <row r="218" spans="1:3">
      <c r="A218" s="119"/>
      <c r="B218" s="119"/>
      <c r="C218" s="118"/>
    </row>
    <row r="219" spans="1:3">
      <c r="A219" s="119"/>
      <c r="B219" s="119"/>
      <c r="C219" s="118"/>
    </row>
    <row r="220" spans="1:3">
      <c r="A220" s="119"/>
      <c r="B220" s="119"/>
      <c r="C220" s="118"/>
    </row>
    <row r="221" spans="1:3">
      <c r="A221" s="119"/>
      <c r="B221" s="119"/>
      <c r="C221" s="118"/>
    </row>
    <row r="222" spans="1:3">
      <c r="A222" s="119"/>
      <c r="B222" s="119"/>
      <c r="C222" s="118"/>
    </row>
    <row r="223" spans="1:3">
      <c r="A223" s="119"/>
      <c r="B223" s="119"/>
      <c r="C223" s="118"/>
    </row>
    <row r="224" spans="1:3">
      <c r="A224" s="119"/>
      <c r="B224" s="119"/>
      <c r="C224" s="118"/>
    </row>
    <row r="225" spans="1:3">
      <c r="A225" s="119"/>
      <c r="B225" s="119"/>
      <c r="C225" s="118"/>
    </row>
    <row r="226" spans="1:3">
      <c r="A226" s="119"/>
      <c r="B226" s="119"/>
      <c r="C226" s="118"/>
    </row>
    <row r="227" spans="1:3">
      <c r="A227" s="119"/>
      <c r="B227" s="119"/>
      <c r="C227" s="118"/>
    </row>
    <row r="228" spans="1:3">
      <c r="A228" s="119"/>
      <c r="B228" s="119"/>
      <c r="C228" s="118"/>
    </row>
    <row r="229" spans="1:3">
      <c r="A229" s="119"/>
      <c r="B229" s="119"/>
      <c r="C229" s="118"/>
    </row>
    <row r="230" spans="1:3">
      <c r="A230" s="119"/>
      <c r="B230" s="119"/>
      <c r="C230" s="118"/>
    </row>
    <row r="231" spans="1:3">
      <c r="A231" s="119"/>
      <c r="B231" s="119"/>
      <c r="C231" s="118"/>
    </row>
    <row r="232" spans="1:3">
      <c r="A232" s="119"/>
      <c r="B232" s="119"/>
      <c r="C232" s="118"/>
    </row>
    <row r="233" spans="1:3">
      <c r="A233" s="119"/>
      <c r="B233" s="119"/>
      <c r="C233" s="118"/>
    </row>
    <row r="234" spans="1:3">
      <c r="A234" s="119"/>
      <c r="B234" s="119"/>
      <c r="C234" s="118"/>
    </row>
    <row r="235" spans="1:3">
      <c r="A235" s="119"/>
      <c r="B235" s="119"/>
      <c r="C235" s="118"/>
    </row>
    <row r="236" spans="1:3">
      <c r="A236" s="119"/>
      <c r="B236" s="119"/>
      <c r="C236" s="118"/>
    </row>
    <row r="237" spans="1:3">
      <c r="A237" s="119"/>
      <c r="B237" s="119"/>
      <c r="C237" s="118"/>
    </row>
    <row r="238" spans="1:3">
      <c r="A238" s="119"/>
      <c r="B238" s="119"/>
      <c r="C238" s="118"/>
    </row>
    <row r="239" spans="1:3">
      <c r="A239" s="119"/>
      <c r="B239" s="119"/>
      <c r="C239" s="118"/>
    </row>
    <row r="240" spans="1:3">
      <c r="A240" s="119"/>
      <c r="B240" s="119"/>
      <c r="C240" s="118"/>
    </row>
    <row r="241" spans="1:3">
      <c r="A241" s="119"/>
      <c r="B241" s="119"/>
      <c r="C241" s="118"/>
    </row>
    <row r="242" spans="1:3">
      <c r="A242" s="119"/>
      <c r="B242" s="119"/>
      <c r="C242" s="118"/>
    </row>
    <row r="243" spans="1:3">
      <c r="A243" s="119"/>
      <c r="B243" s="119"/>
      <c r="C243" s="118"/>
    </row>
    <row r="244" spans="1:3">
      <c r="A244" s="119"/>
      <c r="B244" s="119"/>
      <c r="C244" s="118"/>
    </row>
    <row r="245" spans="1:3">
      <c r="A245" s="119"/>
      <c r="B245" s="119"/>
      <c r="C245" s="118"/>
    </row>
    <row r="246" spans="1:3">
      <c r="A246" s="119"/>
      <c r="B246" s="119"/>
      <c r="C246" s="118"/>
    </row>
    <row r="247" spans="1:3">
      <c r="A247" s="119"/>
      <c r="B247" s="119"/>
      <c r="C247" s="118"/>
    </row>
    <row r="248" spans="1:3">
      <c r="A248" s="119"/>
      <c r="B248" s="119"/>
      <c r="C248" s="118"/>
    </row>
    <row r="249" spans="1:3">
      <c r="A249" s="119"/>
      <c r="B249" s="119"/>
      <c r="C249" s="118"/>
    </row>
    <row r="250" spans="1:3">
      <c r="A250" s="119"/>
      <c r="B250" s="119"/>
      <c r="C250" s="118"/>
    </row>
    <row r="251" spans="1:3">
      <c r="A251" s="119"/>
      <c r="B251" s="119"/>
      <c r="C251" s="118"/>
    </row>
    <row r="252" spans="1:3">
      <c r="A252" s="119"/>
      <c r="B252" s="119"/>
      <c r="C252" s="118"/>
    </row>
    <row r="253" spans="1:3">
      <c r="A253" s="119"/>
      <c r="B253" s="119"/>
      <c r="C253" s="118"/>
    </row>
    <row r="254" spans="1:3">
      <c r="A254" s="119"/>
      <c r="B254" s="119"/>
      <c r="C254" s="118"/>
    </row>
    <row r="255" spans="1:3">
      <c r="A255" s="119"/>
      <c r="B255" s="119"/>
      <c r="C255" s="118"/>
    </row>
    <row r="256" spans="1:3">
      <c r="A256" s="119"/>
      <c r="B256" s="119"/>
      <c r="C256" s="118"/>
    </row>
    <row r="257" spans="1:3">
      <c r="A257" s="119"/>
      <c r="B257" s="119"/>
      <c r="C257" s="118"/>
    </row>
    <row r="258" spans="1:3">
      <c r="A258" s="119"/>
      <c r="B258" s="119"/>
      <c r="C258" s="118"/>
    </row>
    <row r="259" spans="1:3">
      <c r="A259" s="119"/>
      <c r="B259" s="119"/>
      <c r="C259" s="118"/>
    </row>
    <row r="260" spans="1:3">
      <c r="A260" s="119"/>
      <c r="B260" s="119"/>
      <c r="C260" s="118"/>
    </row>
    <row r="261" spans="1:3">
      <c r="A261" s="119"/>
      <c r="B261" s="119"/>
      <c r="C261" s="118"/>
    </row>
    <row r="262" spans="1:3">
      <c r="A262" s="119"/>
      <c r="B262" s="119"/>
      <c r="C262" s="118"/>
    </row>
    <row r="263" spans="1:3">
      <c r="A263" s="119"/>
      <c r="B263" s="119"/>
      <c r="C263" s="118"/>
    </row>
    <row r="264" spans="1:3">
      <c r="A264" s="119"/>
      <c r="B264" s="119"/>
      <c r="C264" s="118"/>
    </row>
    <row r="265" spans="1:3">
      <c r="A265" s="119"/>
      <c r="B265" s="119"/>
      <c r="C265" s="118"/>
    </row>
    <row r="266" spans="1:3">
      <c r="A266" s="119"/>
      <c r="B266" s="119"/>
      <c r="C266" s="118"/>
    </row>
    <row r="267" spans="1:3">
      <c r="A267" s="119"/>
      <c r="B267" s="119"/>
      <c r="C267" s="118"/>
    </row>
    <row r="268" spans="1:3">
      <c r="A268" s="119"/>
      <c r="B268" s="119"/>
      <c r="C268" s="118"/>
    </row>
    <row r="269" spans="1:3">
      <c r="A269" s="119"/>
      <c r="B269" s="119"/>
      <c r="C269" s="118"/>
    </row>
    <row r="270" spans="1:3">
      <c r="A270" s="119"/>
      <c r="B270" s="119"/>
      <c r="C270" s="118"/>
    </row>
    <row r="271" spans="1:3">
      <c r="A271" s="119"/>
      <c r="B271" s="119"/>
      <c r="C271" s="118"/>
    </row>
    <row r="272" spans="1:3">
      <c r="A272" s="119"/>
      <c r="B272" s="119"/>
      <c r="C272" s="118"/>
    </row>
    <row r="273" spans="1:3">
      <c r="A273" s="119"/>
      <c r="B273" s="119"/>
      <c r="C273" s="118"/>
    </row>
    <row r="274" spans="1:3">
      <c r="A274" s="119"/>
      <c r="B274" s="119"/>
      <c r="C274" s="118"/>
    </row>
    <row r="275" spans="1:3">
      <c r="A275" s="119"/>
      <c r="B275" s="119"/>
      <c r="C275" s="118"/>
    </row>
    <row r="276" spans="1:3">
      <c r="A276" s="119"/>
      <c r="B276" s="119"/>
      <c r="C276" s="118"/>
    </row>
    <row r="277" spans="1:3">
      <c r="A277" s="119"/>
      <c r="B277" s="119"/>
      <c r="C277" s="118"/>
    </row>
    <row r="278" spans="1:3">
      <c r="A278" s="119"/>
      <c r="B278" s="119"/>
      <c r="C278" s="118"/>
    </row>
    <row r="279" spans="1:3">
      <c r="A279" s="119"/>
      <c r="B279" s="119"/>
      <c r="C279" s="118"/>
    </row>
    <row r="280" spans="1:3">
      <c r="A280" s="119"/>
      <c r="B280" s="119"/>
      <c r="C280" s="118"/>
    </row>
    <row r="281" spans="1:3">
      <c r="A281" s="119"/>
      <c r="B281" s="119"/>
      <c r="C281" s="118"/>
    </row>
    <row r="282" spans="1:3">
      <c r="A282" s="119"/>
      <c r="B282" s="119"/>
      <c r="C282" s="118"/>
    </row>
    <row r="283" spans="1:3">
      <c r="A283" s="119"/>
      <c r="B283" s="119"/>
      <c r="C283" s="118"/>
    </row>
    <row r="284" spans="1:3">
      <c r="A284" s="119"/>
      <c r="B284" s="119"/>
      <c r="C284" s="118"/>
    </row>
    <row r="285" spans="1:3">
      <c r="A285" s="119"/>
      <c r="B285" s="119"/>
      <c r="C285" s="118"/>
    </row>
    <row r="286" spans="1:3">
      <c r="A286" s="119"/>
      <c r="B286" s="119"/>
      <c r="C286" s="118"/>
    </row>
    <row r="287" spans="1:3">
      <c r="A287" s="119"/>
      <c r="B287" s="119"/>
      <c r="C287" s="118"/>
    </row>
    <row r="288" spans="1:3">
      <c r="A288" s="119"/>
      <c r="B288" s="119"/>
      <c r="C288" s="118"/>
    </row>
    <row r="289" spans="1:3">
      <c r="A289" s="119"/>
      <c r="B289" s="119"/>
      <c r="C289" s="118"/>
    </row>
    <row r="290" spans="1:3">
      <c r="A290" s="119"/>
      <c r="B290" s="119"/>
      <c r="C290" s="118"/>
    </row>
    <row r="291" spans="1:3">
      <c r="A291" s="119"/>
      <c r="B291" s="119"/>
      <c r="C291" s="118"/>
    </row>
    <row r="292" spans="1:3">
      <c r="A292" s="119"/>
      <c r="B292" s="119"/>
      <c r="C292" s="118"/>
    </row>
    <row r="293" spans="1:3">
      <c r="A293" s="119"/>
      <c r="B293" s="119"/>
      <c r="C293" s="118"/>
    </row>
    <row r="294" spans="1:3">
      <c r="A294" s="119"/>
      <c r="B294" s="119"/>
      <c r="C294" s="118"/>
    </row>
    <row r="295" spans="1:3">
      <c r="A295" s="119"/>
      <c r="B295" s="119"/>
      <c r="C295" s="118"/>
    </row>
    <row r="296" spans="1:3">
      <c r="A296" s="119"/>
      <c r="B296" s="119"/>
      <c r="C296" s="118"/>
    </row>
    <row r="297" spans="1:3">
      <c r="A297" s="119"/>
      <c r="B297" s="119"/>
      <c r="C297" s="118"/>
    </row>
    <row r="298" spans="1:3">
      <c r="A298" s="119"/>
      <c r="B298" s="119"/>
      <c r="C298" s="118"/>
    </row>
    <row r="299" spans="1:3">
      <c r="A299" s="119"/>
      <c r="B299" s="119"/>
      <c r="C299" s="118"/>
    </row>
    <row r="300" spans="1:3">
      <c r="A300" s="119"/>
      <c r="B300" s="119"/>
      <c r="C300" s="118"/>
    </row>
    <row r="301" spans="1:3">
      <c r="A301" s="119"/>
      <c r="B301" s="119"/>
      <c r="C301" s="118"/>
    </row>
    <row r="302" spans="1:3">
      <c r="A302" s="119"/>
      <c r="B302" s="119"/>
      <c r="C302" s="118"/>
    </row>
    <row r="303" spans="1:3">
      <c r="A303" s="119"/>
      <c r="B303" s="119"/>
      <c r="C303" s="118"/>
    </row>
    <row r="304" spans="1:3">
      <c r="A304" s="119"/>
      <c r="B304" s="119"/>
      <c r="C304" s="118"/>
    </row>
    <row r="305" spans="1:3">
      <c r="A305" s="119"/>
      <c r="B305" s="119"/>
      <c r="C305" s="118"/>
    </row>
    <row r="306" spans="1:3">
      <c r="A306" s="119"/>
      <c r="B306" s="119"/>
      <c r="C306" s="118"/>
    </row>
    <row r="307" spans="1:3">
      <c r="A307" s="119"/>
      <c r="B307" s="119"/>
      <c r="C307" s="118"/>
    </row>
    <row r="308" spans="1:3">
      <c r="A308" s="119"/>
      <c r="B308" s="119"/>
      <c r="C308" s="118"/>
    </row>
    <row r="309" spans="1:3">
      <c r="A309" s="119"/>
      <c r="B309" s="119"/>
      <c r="C309" s="118"/>
    </row>
    <row r="310" spans="1:3">
      <c r="A310" s="119"/>
      <c r="B310" s="119"/>
      <c r="C310" s="118"/>
    </row>
    <row r="311" spans="1:3">
      <c r="A311" s="119"/>
      <c r="B311" s="119"/>
      <c r="C311" s="118"/>
    </row>
    <row r="312" spans="1:3">
      <c r="A312" s="119"/>
      <c r="B312" s="119"/>
      <c r="C312" s="118"/>
    </row>
    <row r="313" spans="1:3">
      <c r="A313" s="119"/>
      <c r="B313" s="119"/>
      <c r="C313" s="118"/>
    </row>
    <row r="314" spans="1:3">
      <c r="A314" s="119"/>
      <c r="B314" s="119"/>
      <c r="C314" s="118"/>
    </row>
    <row r="315" spans="1:3">
      <c r="A315" s="119"/>
      <c r="B315" s="119"/>
      <c r="C315" s="118"/>
    </row>
    <row r="316" spans="1:3">
      <c r="A316" s="119"/>
      <c r="B316" s="119"/>
      <c r="C316" s="118"/>
    </row>
    <row r="317" spans="1:3">
      <c r="A317" s="119"/>
      <c r="B317" s="119"/>
      <c r="C317" s="118"/>
    </row>
    <row r="318" spans="1:3">
      <c r="A318" s="119"/>
      <c r="B318" s="119"/>
      <c r="C318" s="118"/>
    </row>
    <row r="319" spans="1:3">
      <c r="A319" s="119"/>
      <c r="B319" s="119"/>
      <c r="C319" s="118"/>
    </row>
    <row r="320" spans="1:3">
      <c r="A320" s="119"/>
      <c r="B320" s="119"/>
      <c r="C320" s="118"/>
    </row>
    <row r="321" spans="1:3">
      <c r="A321" s="119"/>
      <c r="B321" s="119"/>
      <c r="C321" s="118"/>
    </row>
    <row r="322" spans="1:3">
      <c r="A322" s="119"/>
      <c r="B322" s="119"/>
      <c r="C322" s="118"/>
    </row>
    <row r="323" spans="1:3">
      <c r="A323" s="119"/>
      <c r="B323" s="119"/>
      <c r="C323" s="118"/>
    </row>
    <row r="324" spans="1:3">
      <c r="A324" s="119"/>
      <c r="B324" s="119"/>
      <c r="C324" s="118"/>
    </row>
    <row r="325" spans="1:3">
      <c r="A325" s="119"/>
      <c r="B325" s="119"/>
      <c r="C325" s="118"/>
    </row>
    <row r="326" spans="1:3">
      <c r="A326" s="119"/>
      <c r="B326" s="119"/>
      <c r="C326" s="118"/>
    </row>
    <row r="327" spans="1:3">
      <c r="A327" s="119"/>
      <c r="B327" s="119"/>
      <c r="C327" s="118"/>
    </row>
    <row r="328" spans="1:3">
      <c r="A328" s="119"/>
      <c r="B328" s="119"/>
      <c r="C328" s="118"/>
    </row>
    <row r="329" spans="1:3">
      <c r="A329" s="119"/>
      <c r="B329" s="119"/>
      <c r="C329" s="118"/>
    </row>
    <row r="330" spans="1:3">
      <c r="A330" s="119"/>
      <c r="B330" s="119"/>
      <c r="C330" s="118"/>
    </row>
    <row r="331" spans="1:3">
      <c r="A331" s="119"/>
      <c r="B331" s="119"/>
      <c r="C331" s="118"/>
    </row>
    <row r="332" spans="1:3">
      <c r="A332" s="119"/>
      <c r="B332" s="119"/>
      <c r="C332" s="118"/>
    </row>
    <row r="333" spans="1:3">
      <c r="A333" s="119"/>
      <c r="B333" s="119"/>
      <c r="C333" s="118"/>
    </row>
    <row r="334" spans="1:3">
      <c r="A334" s="119"/>
      <c r="B334" s="119"/>
      <c r="C334" s="118"/>
    </row>
    <row r="335" spans="1:3">
      <c r="A335" s="119"/>
      <c r="B335" s="119"/>
      <c r="C335" s="118"/>
    </row>
    <row r="336" spans="1:3">
      <c r="A336" s="119"/>
      <c r="B336" s="119"/>
      <c r="C336" s="118"/>
    </row>
    <row r="337" spans="1:3">
      <c r="A337" s="119"/>
      <c r="B337" s="119"/>
      <c r="C337" s="118"/>
    </row>
    <row r="338" spans="1:3">
      <c r="A338" s="119"/>
      <c r="B338" s="119"/>
      <c r="C338" s="118"/>
    </row>
    <row r="339" spans="1:3">
      <c r="A339" s="119"/>
      <c r="B339" s="119"/>
      <c r="C339" s="118"/>
    </row>
    <row r="340" spans="1:3">
      <c r="A340" s="119"/>
      <c r="B340" s="119"/>
      <c r="C340" s="118"/>
    </row>
    <row r="341" spans="1:3">
      <c r="A341" s="119"/>
      <c r="B341" s="119"/>
      <c r="C341" s="118"/>
    </row>
    <row r="342" spans="1:3">
      <c r="A342" s="119"/>
      <c r="B342" s="119"/>
      <c r="C342" s="118"/>
    </row>
    <row r="343" spans="1:3">
      <c r="A343" s="119"/>
      <c r="B343" s="119"/>
      <c r="C343" s="118"/>
    </row>
    <row r="344" spans="1:3">
      <c r="A344" s="119"/>
      <c r="B344" s="119"/>
      <c r="C344" s="118"/>
    </row>
    <row r="345" spans="1:3">
      <c r="A345" s="119"/>
      <c r="B345" s="119"/>
      <c r="C345" s="118"/>
    </row>
    <row r="346" spans="1:3">
      <c r="A346" s="119"/>
      <c r="B346" s="119"/>
      <c r="C346" s="118"/>
    </row>
    <row r="347" spans="1:3">
      <c r="A347" s="119"/>
      <c r="B347" s="119"/>
      <c r="C347" s="118"/>
    </row>
    <row r="348" spans="1:3">
      <c r="A348" s="119"/>
      <c r="B348" s="119"/>
      <c r="C348" s="118"/>
    </row>
    <row r="349" spans="1:3">
      <c r="A349" s="119"/>
      <c r="B349" s="119"/>
      <c r="C349" s="118"/>
    </row>
    <row r="350" spans="1:3">
      <c r="A350" s="119"/>
      <c r="B350" s="119"/>
      <c r="C350" s="118"/>
    </row>
    <row r="351" spans="1:3">
      <c r="A351" s="119"/>
      <c r="B351" s="119"/>
      <c r="C351" s="118"/>
    </row>
    <row r="352" spans="1:3">
      <c r="A352" s="119"/>
      <c r="B352" s="119"/>
      <c r="C352" s="118"/>
    </row>
    <row r="353" spans="1:3">
      <c r="A353" s="119"/>
      <c r="B353" s="119"/>
      <c r="C353" s="118"/>
    </row>
    <row r="354" spans="1:3">
      <c r="A354" s="119"/>
      <c r="B354" s="119"/>
      <c r="C354" s="118"/>
    </row>
    <row r="355" spans="1:3">
      <c r="A355" s="119"/>
      <c r="B355" s="119"/>
      <c r="C355" s="118"/>
    </row>
    <row r="356" spans="1:3">
      <c r="A356" s="119"/>
      <c r="B356" s="119"/>
      <c r="C356" s="118"/>
    </row>
    <row r="357" spans="1:3">
      <c r="A357" s="119"/>
      <c r="B357" s="119"/>
      <c r="C357" s="118"/>
    </row>
    <row r="358" spans="1:3">
      <c r="A358" s="119"/>
      <c r="B358" s="119"/>
      <c r="C358" s="118"/>
    </row>
    <row r="359" spans="1:3">
      <c r="A359" s="119"/>
      <c r="B359" s="119"/>
      <c r="C359" s="118"/>
    </row>
    <row r="360" spans="1:3">
      <c r="A360" s="119"/>
      <c r="B360" s="119"/>
      <c r="C360" s="118"/>
    </row>
    <row r="361" spans="1:3">
      <c r="A361" s="119"/>
      <c r="B361" s="119"/>
      <c r="C361" s="118"/>
    </row>
    <row r="362" spans="1:3">
      <c r="A362" s="119"/>
      <c r="B362" s="119"/>
      <c r="C362" s="118"/>
    </row>
    <row r="363" spans="1:3">
      <c r="A363" s="119"/>
      <c r="B363" s="119"/>
      <c r="C363" s="118"/>
    </row>
    <row r="364" spans="1:3">
      <c r="A364" s="119"/>
      <c r="B364" s="119"/>
      <c r="C364" s="118"/>
    </row>
    <row r="365" spans="1:3">
      <c r="A365" s="119"/>
      <c r="B365" s="119"/>
      <c r="C365" s="118"/>
    </row>
    <row r="366" spans="1:3">
      <c r="A366" s="119"/>
      <c r="B366" s="119"/>
      <c r="C366" s="118"/>
    </row>
    <row r="367" spans="1:3">
      <c r="A367" s="119"/>
      <c r="B367" s="119"/>
      <c r="C367" s="118"/>
    </row>
    <row r="368" spans="1:3">
      <c r="A368" s="119"/>
      <c r="B368" s="119"/>
      <c r="C368" s="118"/>
    </row>
    <row r="369" spans="1:3">
      <c r="A369" s="119"/>
      <c r="B369" s="119"/>
      <c r="C369" s="118"/>
    </row>
    <row r="370" spans="1:3">
      <c r="A370" s="119"/>
      <c r="B370" s="119"/>
      <c r="C370" s="118"/>
    </row>
    <row r="371" spans="1:3">
      <c r="A371" s="119"/>
      <c r="B371" s="119"/>
      <c r="C371" s="118"/>
    </row>
    <row r="372" spans="1:3">
      <c r="A372" s="119"/>
      <c r="B372" s="119"/>
      <c r="C372" s="118"/>
    </row>
    <row r="373" spans="1:3">
      <c r="A373" s="119"/>
      <c r="B373" s="119"/>
      <c r="C373" s="118"/>
    </row>
    <row r="374" spans="1:3">
      <c r="A374" s="119"/>
      <c r="B374" s="119"/>
      <c r="C374" s="118"/>
    </row>
    <row r="375" spans="1:3">
      <c r="A375" s="119"/>
      <c r="B375" s="119"/>
      <c r="C375" s="118"/>
    </row>
    <row r="376" spans="1:3">
      <c r="A376" s="119"/>
      <c r="B376" s="119"/>
      <c r="C376" s="118"/>
    </row>
    <row r="377" spans="1:3">
      <c r="A377" s="119"/>
      <c r="B377" s="119"/>
      <c r="C377" s="118"/>
    </row>
    <row r="378" spans="1:3">
      <c r="A378" s="119"/>
      <c r="B378" s="119"/>
      <c r="C378" s="118"/>
    </row>
    <row r="379" spans="1:3">
      <c r="A379" s="119"/>
      <c r="B379" s="119"/>
      <c r="C379" s="118"/>
    </row>
    <row r="380" spans="1:3">
      <c r="A380" s="119"/>
      <c r="B380" s="119"/>
      <c r="C380" s="118"/>
    </row>
    <row r="381" spans="1:3">
      <c r="A381" s="119"/>
      <c r="B381" s="119"/>
      <c r="C381" s="118"/>
    </row>
    <row r="382" spans="1:3">
      <c r="A382" s="119"/>
      <c r="B382" s="119"/>
      <c r="C382" s="118"/>
    </row>
    <row r="383" spans="1:3">
      <c r="A383" s="119"/>
      <c r="B383" s="119"/>
      <c r="C383" s="118"/>
    </row>
    <row r="384" spans="1:3">
      <c r="A384" s="119"/>
      <c r="B384" s="119"/>
      <c r="C384" s="118"/>
    </row>
    <row r="385" spans="1:3">
      <c r="A385" s="119"/>
      <c r="B385" s="119"/>
      <c r="C385" s="118"/>
    </row>
    <row r="386" spans="1:3">
      <c r="A386" s="119"/>
      <c r="B386" s="119"/>
      <c r="C386" s="118"/>
    </row>
    <row r="387" spans="1:3">
      <c r="A387" s="119"/>
      <c r="B387" s="119"/>
      <c r="C387" s="118"/>
    </row>
    <row r="388" spans="1:3">
      <c r="A388" s="119"/>
      <c r="B388" s="119"/>
      <c r="C388" s="118"/>
    </row>
    <row r="389" spans="1:3">
      <c r="A389" s="119"/>
      <c r="B389" s="119"/>
      <c r="C389" s="118"/>
    </row>
    <row r="390" spans="1:3">
      <c r="A390" s="119"/>
      <c r="B390" s="119"/>
      <c r="C390" s="118"/>
    </row>
    <row r="391" spans="1:3">
      <c r="A391" s="119"/>
      <c r="B391" s="119"/>
      <c r="C391" s="118"/>
    </row>
    <row r="392" spans="1:3">
      <c r="A392" s="119"/>
      <c r="B392" s="119"/>
      <c r="C392" s="118"/>
    </row>
    <row r="393" spans="1:3">
      <c r="A393" s="119"/>
      <c r="B393" s="119"/>
      <c r="C393" s="118"/>
    </row>
    <row r="394" spans="1:3">
      <c r="A394" s="119"/>
      <c r="B394" s="119"/>
      <c r="C394" s="118"/>
    </row>
    <row r="395" spans="1:3">
      <c r="A395" s="119"/>
      <c r="B395" s="119"/>
      <c r="C395" s="118"/>
    </row>
    <row r="396" spans="1:3">
      <c r="A396" s="119"/>
      <c r="B396" s="119"/>
      <c r="C396" s="118"/>
    </row>
    <row r="397" spans="1:3">
      <c r="A397" s="119"/>
      <c r="B397" s="119"/>
      <c r="C397" s="118"/>
    </row>
    <row r="398" spans="1:3">
      <c r="A398" s="119"/>
      <c r="B398" s="119"/>
      <c r="C398" s="118"/>
    </row>
    <row r="399" spans="1:3">
      <c r="A399" s="119"/>
      <c r="B399" s="119"/>
      <c r="C399" s="118"/>
    </row>
    <row r="400" spans="1:3">
      <c r="A400" s="119"/>
      <c r="B400" s="119"/>
      <c r="C400" s="118"/>
    </row>
    <row r="401" spans="1:3">
      <c r="A401" s="119"/>
      <c r="B401" s="119"/>
      <c r="C401" s="118"/>
    </row>
    <row r="402" spans="1:3">
      <c r="A402" s="119"/>
      <c r="B402" s="119"/>
      <c r="C402" s="118"/>
    </row>
    <row r="403" spans="1:3">
      <c r="A403" s="119"/>
      <c r="B403" s="119"/>
      <c r="C403" s="118"/>
    </row>
    <row r="404" spans="1:3">
      <c r="A404" s="119"/>
      <c r="B404" s="119"/>
      <c r="C404" s="118"/>
    </row>
    <row r="405" spans="1:3">
      <c r="A405" s="119"/>
      <c r="B405" s="119"/>
      <c r="C405" s="118"/>
    </row>
    <row r="406" spans="1:3">
      <c r="A406" s="119"/>
      <c r="B406" s="119"/>
      <c r="C406" s="118"/>
    </row>
    <row r="407" spans="1:3">
      <c r="A407" s="119"/>
      <c r="B407" s="119"/>
      <c r="C407" s="118"/>
    </row>
    <row r="408" spans="1:3">
      <c r="A408" s="119"/>
      <c r="B408" s="119"/>
      <c r="C408" s="118"/>
    </row>
    <row r="409" spans="1:3">
      <c r="A409" s="119"/>
      <c r="B409" s="119"/>
      <c r="C409" s="118"/>
    </row>
    <row r="410" spans="1:3">
      <c r="A410" s="119"/>
      <c r="B410" s="119"/>
      <c r="C410" s="118"/>
    </row>
    <row r="411" spans="1:3">
      <c r="A411" s="119"/>
      <c r="B411" s="119"/>
      <c r="C411" s="118"/>
    </row>
    <row r="412" spans="1:3">
      <c r="A412" s="119"/>
      <c r="B412" s="119"/>
      <c r="C412" s="118"/>
    </row>
    <row r="413" spans="1:3">
      <c r="A413" s="119"/>
      <c r="B413" s="119"/>
      <c r="C413" s="118"/>
    </row>
    <row r="414" spans="1:3">
      <c r="A414" s="119"/>
      <c r="B414" s="119"/>
      <c r="C414" s="118"/>
    </row>
    <row r="415" spans="1:3">
      <c r="A415" s="119"/>
      <c r="B415" s="119"/>
      <c r="C415" s="118"/>
    </row>
    <row r="416" spans="1:3">
      <c r="A416" s="119"/>
      <c r="B416" s="119"/>
      <c r="C416" s="118"/>
    </row>
    <row r="417" spans="1:3">
      <c r="A417" s="119"/>
      <c r="B417" s="119"/>
      <c r="C417" s="118"/>
    </row>
    <row r="418" spans="1:3">
      <c r="A418" s="119"/>
      <c r="B418" s="119"/>
      <c r="C418" s="118"/>
    </row>
    <row r="419" spans="1:3">
      <c r="A419" s="119"/>
      <c r="B419" s="119"/>
      <c r="C419" s="118"/>
    </row>
    <row r="420" spans="1:3">
      <c r="A420" s="119"/>
      <c r="B420" s="119"/>
      <c r="C420" s="118"/>
    </row>
    <row r="421" spans="1:3">
      <c r="A421" s="119"/>
      <c r="B421" s="119"/>
      <c r="C421" s="118"/>
    </row>
    <row r="422" spans="1:3">
      <c r="A422" s="119"/>
      <c r="B422" s="119"/>
      <c r="C422" s="118"/>
    </row>
    <row r="423" spans="1:3">
      <c r="A423" s="119"/>
      <c r="B423" s="119"/>
      <c r="C423" s="118"/>
    </row>
    <row r="424" spans="1:3">
      <c r="A424" s="119"/>
      <c r="B424" s="119"/>
      <c r="C424" s="118"/>
    </row>
    <row r="425" spans="1:3">
      <c r="A425" s="119"/>
      <c r="B425" s="119"/>
      <c r="C425" s="118"/>
    </row>
    <row r="426" spans="1:3">
      <c r="A426" s="119"/>
      <c r="B426" s="119"/>
      <c r="C426" s="118"/>
    </row>
    <row r="427" spans="1:3">
      <c r="A427" s="119"/>
      <c r="B427" s="119"/>
      <c r="C427" s="118"/>
    </row>
    <row r="428" spans="1:3">
      <c r="A428" s="119"/>
      <c r="B428" s="119"/>
      <c r="C428" s="118"/>
    </row>
    <row r="429" spans="1:3">
      <c r="A429" s="119"/>
      <c r="B429" s="119"/>
      <c r="C429" s="118"/>
    </row>
    <row r="430" spans="1:3">
      <c r="A430" s="119"/>
      <c r="B430" s="119"/>
      <c r="C430" s="118"/>
    </row>
    <row r="431" spans="1:3">
      <c r="A431" s="119"/>
      <c r="B431" s="119"/>
      <c r="C431" s="118"/>
    </row>
    <row r="432" spans="1:3">
      <c r="A432" s="119"/>
      <c r="B432" s="119"/>
      <c r="C432" s="118"/>
    </row>
    <row r="433" spans="1:3">
      <c r="A433" s="119"/>
      <c r="B433" s="119"/>
      <c r="C433" s="118"/>
    </row>
    <row r="434" spans="1:3">
      <c r="A434" s="119"/>
      <c r="B434" s="119"/>
      <c r="C434" s="118"/>
    </row>
    <row r="435" spans="1:3">
      <c r="A435" s="119"/>
      <c r="B435" s="119"/>
      <c r="C435" s="118"/>
    </row>
    <row r="436" spans="1:3">
      <c r="A436" s="119"/>
      <c r="B436" s="119"/>
      <c r="C436" s="118"/>
    </row>
    <row r="437" spans="1:3">
      <c r="A437" s="119"/>
      <c r="B437" s="119"/>
      <c r="C437" s="118"/>
    </row>
    <row r="438" spans="1:3">
      <c r="A438" s="119"/>
      <c r="B438" s="119"/>
      <c r="C438" s="118"/>
    </row>
    <row r="439" spans="1:3">
      <c r="A439" s="119"/>
      <c r="B439" s="119"/>
      <c r="C439" s="118"/>
    </row>
    <row r="440" spans="1:3">
      <c r="A440" s="119"/>
      <c r="B440" s="119"/>
      <c r="C440" s="118"/>
    </row>
    <row r="441" spans="1:3">
      <c r="A441" s="119"/>
      <c r="B441" s="119"/>
      <c r="C441" s="118"/>
    </row>
    <row r="442" spans="1:3">
      <c r="A442" s="119"/>
      <c r="B442" s="119"/>
      <c r="C442" s="118"/>
    </row>
    <row r="443" spans="1:3">
      <c r="A443" s="119"/>
      <c r="B443" s="119"/>
      <c r="C443" s="118"/>
    </row>
    <row r="444" spans="1:3">
      <c r="A444" s="119"/>
      <c r="B444" s="119"/>
      <c r="C444" s="118"/>
    </row>
    <row r="445" spans="1:3">
      <c r="A445" s="119"/>
      <c r="B445" s="119"/>
      <c r="C445" s="118"/>
    </row>
    <row r="446" spans="1:3">
      <c r="A446" s="119"/>
      <c r="B446" s="119"/>
      <c r="C446" s="118"/>
    </row>
    <row r="447" spans="1:3">
      <c r="A447" s="119"/>
      <c r="B447" s="119"/>
      <c r="C447" s="118"/>
    </row>
    <row r="448" spans="1:3">
      <c r="A448" s="119"/>
      <c r="B448" s="119"/>
      <c r="C448" s="118"/>
    </row>
    <row r="449" spans="1:3">
      <c r="A449" s="119"/>
      <c r="B449" s="119"/>
      <c r="C449" s="118"/>
    </row>
    <row r="450" spans="1:3">
      <c r="A450" s="119"/>
      <c r="B450" s="119"/>
      <c r="C450" s="118"/>
    </row>
    <row r="451" spans="1:3">
      <c r="A451" s="119"/>
      <c r="B451" s="119"/>
      <c r="C451" s="118"/>
    </row>
    <row r="452" spans="1:3">
      <c r="A452" s="119"/>
      <c r="B452" s="119"/>
      <c r="C452" s="118"/>
    </row>
    <row r="453" spans="1:3">
      <c r="A453" s="119"/>
      <c r="B453" s="119"/>
      <c r="C453" s="118"/>
    </row>
    <row r="454" spans="1:3">
      <c r="A454" s="119"/>
      <c r="B454" s="119"/>
      <c r="C454" s="118"/>
    </row>
    <row r="455" spans="1:3">
      <c r="A455" s="119"/>
      <c r="B455" s="119"/>
      <c r="C455" s="118"/>
    </row>
    <row r="456" spans="1:3">
      <c r="A456" s="119"/>
      <c r="B456" s="119"/>
      <c r="C456" s="118"/>
    </row>
    <row r="457" spans="1:3">
      <c r="A457" s="119"/>
      <c r="B457" s="119"/>
      <c r="C457" s="118"/>
    </row>
    <row r="458" spans="1:3">
      <c r="A458" s="119"/>
      <c r="B458" s="119"/>
      <c r="C458" s="118"/>
    </row>
    <row r="459" spans="1:3">
      <c r="A459" s="119"/>
      <c r="B459" s="119"/>
      <c r="C459" s="118"/>
    </row>
    <row r="460" spans="1:3">
      <c r="A460" s="119"/>
      <c r="B460" s="119"/>
      <c r="C460" s="118"/>
    </row>
    <row r="461" spans="1:3">
      <c r="A461" s="119"/>
      <c r="B461" s="119"/>
      <c r="C461" s="118"/>
    </row>
    <row r="462" spans="1:3">
      <c r="A462" s="119"/>
      <c r="B462" s="119"/>
      <c r="C462" s="118"/>
    </row>
    <row r="463" spans="1:3">
      <c r="A463" s="119"/>
      <c r="B463" s="119"/>
      <c r="C463" s="118"/>
    </row>
    <row r="464" spans="1:3">
      <c r="A464" s="119"/>
      <c r="B464" s="119"/>
      <c r="C464" s="118"/>
    </row>
    <row r="465" spans="1:3">
      <c r="A465" s="119"/>
      <c r="B465" s="119"/>
      <c r="C465" s="118"/>
    </row>
    <row r="466" spans="1:3">
      <c r="A466" s="119"/>
      <c r="B466" s="119"/>
      <c r="C466" s="118"/>
    </row>
    <row r="467" spans="1:3">
      <c r="A467" s="119"/>
      <c r="B467" s="119"/>
      <c r="C467" s="118"/>
    </row>
    <row r="468" spans="1:3">
      <c r="A468" s="119"/>
      <c r="B468" s="119"/>
      <c r="C468" s="118"/>
    </row>
    <row r="469" spans="1:3">
      <c r="A469" s="119"/>
      <c r="B469" s="119"/>
      <c r="C469" s="118"/>
    </row>
    <row r="470" spans="1:3">
      <c r="A470" s="119"/>
      <c r="B470" s="119"/>
      <c r="C470" s="118"/>
    </row>
    <row r="471" spans="1:3">
      <c r="A471" s="119"/>
      <c r="B471" s="119"/>
      <c r="C471" s="118"/>
    </row>
    <row r="472" spans="1:3">
      <c r="A472" s="119"/>
      <c r="B472" s="119"/>
      <c r="C472" s="118"/>
    </row>
    <row r="473" spans="1:3">
      <c r="A473" s="119"/>
      <c r="B473" s="119"/>
      <c r="C473" s="118"/>
    </row>
    <row r="474" spans="1:3">
      <c r="A474" s="119"/>
      <c r="B474" s="119"/>
      <c r="C474" s="118"/>
    </row>
    <row r="475" spans="1:3">
      <c r="A475" s="119"/>
      <c r="B475" s="119"/>
      <c r="C475" s="118"/>
    </row>
    <row r="476" spans="1:3">
      <c r="A476" s="119"/>
      <c r="B476" s="119"/>
      <c r="C476" s="118"/>
    </row>
    <row r="477" spans="1:3">
      <c r="A477" s="119"/>
      <c r="B477" s="119"/>
      <c r="C477" s="118"/>
    </row>
    <row r="478" spans="1:3">
      <c r="A478" s="119"/>
      <c r="B478" s="119"/>
      <c r="C478" s="118"/>
    </row>
    <row r="479" spans="1:3">
      <c r="A479" s="119"/>
      <c r="B479" s="119"/>
      <c r="C479" s="118"/>
    </row>
    <row r="480" spans="1:3">
      <c r="A480" s="119"/>
      <c r="B480" s="119"/>
      <c r="C480" s="118"/>
    </row>
    <row r="481" spans="1:3">
      <c r="A481" s="119"/>
      <c r="B481" s="119"/>
      <c r="C481" s="118"/>
    </row>
    <row r="482" spans="1:3">
      <c r="A482" s="119"/>
      <c r="B482" s="119"/>
      <c r="C482" s="118"/>
    </row>
    <row r="483" spans="1:3">
      <c r="A483" s="119"/>
      <c r="B483" s="119"/>
      <c r="C483" s="118"/>
    </row>
    <row r="484" spans="1:3">
      <c r="A484" s="119"/>
      <c r="B484" s="119"/>
      <c r="C484" s="118"/>
    </row>
    <row r="485" spans="1:3">
      <c r="A485" s="119"/>
      <c r="B485" s="119"/>
      <c r="C485" s="118"/>
    </row>
    <row r="486" spans="1:3">
      <c r="A486" s="119"/>
      <c r="B486" s="119"/>
      <c r="C486" s="118"/>
    </row>
    <row r="487" spans="1:3">
      <c r="A487" s="119"/>
      <c r="B487" s="119"/>
      <c r="C487" s="118"/>
    </row>
    <row r="488" spans="1:3">
      <c r="A488" s="119"/>
      <c r="B488" s="119"/>
      <c r="C488" s="118"/>
    </row>
    <row r="489" spans="1:3">
      <c r="A489" s="119"/>
      <c r="B489" s="119"/>
      <c r="C489" s="118"/>
    </row>
    <row r="490" spans="1:3">
      <c r="A490" s="119"/>
      <c r="B490" s="119"/>
      <c r="C490" s="118"/>
    </row>
    <row r="491" spans="1:3">
      <c r="A491" s="119"/>
      <c r="B491" s="119"/>
      <c r="C491" s="118"/>
    </row>
    <row r="492" spans="1:3">
      <c r="A492" s="119"/>
      <c r="B492" s="119"/>
      <c r="C492" s="118"/>
    </row>
    <row r="493" spans="1:3">
      <c r="A493" s="119"/>
      <c r="B493" s="119"/>
      <c r="C493" s="118"/>
    </row>
    <row r="494" spans="1:3">
      <c r="A494" s="119"/>
      <c r="B494" s="119"/>
      <c r="C494" s="118"/>
    </row>
    <row r="495" spans="1:3">
      <c r="A495" s="119"/>
      <c r="B495" s="119"/>
      <c r="C495" s="118"/>
    </row>
    <row r="496" spans="1:3">
      <c r="A496" s="119"/>
      <c r="B496" s="119"/>
      <c r="C496" s="118"/>
    </row>
    <row r="497" spans="1:3">
      <c r="A497" s="119"/>
      <c r="B497" s="119"/>
      <c r="C497" s="118"/>
    </row>
    <row r="498" spans="1:3">
      <c r="A498" s="119"/>
      <c r="B498" s="119"/>
      <c r="C498" s="118"/>
    </row>
    <row r="499" spans="1:3">
      <c r="A499" s="119"/>
      <c r="B499" s="119"/>
      <c r="C499" s="118"/>
    </row>
    <row r="500" spans="1:3">
      <c r="A500" s="119"/>
      <c r="B500" s="119"/>
      <c r="C500" s="118"/>
    </row>
    <row r="501" spans="1:3">
      <c r="A501" s="119"/>
      <c r="B501" s="119"/>
      <c r="C501" s="118"/>
    </row>
    <row r="502" spans="1:3">
      <c r="A502" s="119"/>
      <c r="B502" s="119"/>
      <c r="C502" s="118"/>
    </row>
    <row r="503" spans="1:3">
      <c r="A503" s="119"/>
      <c r="B503" s="119"/>
      <c r="C503" s="118"/>
    </row>
    <row r="504" spans="1:3">
      <c r="A504" s="119"/>
      <c r="B504" s="119"/>
      <c r="C504" s="118"/>
    </row>
    <row r="505" spans="1:3">
      <c r="A505" s="119"/>
      <c r="B505" s="119"/>
      <c r="C505" s="118"/>
    </row>
    <row r="506" spans="1:3">
      <c r="A506" s="119"/>
      <c r="B506" s="119"/>
      <c r="C506" s="118"/>
    </row>
    <row r="507" spans="1:3">
      <c r="A507" s="119"/>
      <c r="B507" s="119"/>
      <c r="C507" s="118"/>
    </row>
    <row r="508" spans="1:3">
      <c r="A508" s="119"/>
      <c r="B508" s="119"/>
      <c r="C508" s="118"/>
    </row>
    <row r="509" spans="1:3">
      <c r="A509" s="119"/>
      <c r="B509" s="119"/>
      <c r="C509" s="118"/>
    </row>
    <row r="510" spans="1:3">
      <c r="A510" s="119"/>
      <c r="B510" s="119"/>
      <c r="C510" s="118"/>
    </row>
    <row r="511" spans="1:3">
      <c r="A511" s="119"/>
      <c r="B511" s="119"/>
      <c r="C511" s="118"/>
    </row>
    <row r="512" spans="1:3">
      <c r="A512" s="119"/>
      <c r="B512" s="119"/>
      <c r="C512" s="118"/>
    </row>
    <row r="513" spans="1:3">
      <c r="A513" s="119"/>
      <c r="B513" s="119"/>
      <c r="C513" s="118"/>
    </row>
    <row r="514" spans="1:3">
      <c r="A514" s="119"/>
      <c r="B514" s="119"/>
      <c r="C514" s="118"/>
    </row>
    <row r="515" spans="1:3">
      <c r="A515" s="119"/>
      <c r="B515" s="119"/>
      <c r="C515" s="118"/>
    </row>
    <row r="516" spans="1:3">
      <c r="A516" s="119"/>
      <c r="B516" s="119"/>
      <c r="C516" s="118"/>
    </row>
    <row r="517" spans="1:3">
      <c r="A517" s="119"/>
      <c r="B517" s="119"/>
      <c r="C517" s="118"/>
    </row>
    <row r="518" spans="1:3">
      <c r="A518" s="119"/>
      <c r="B518" s="119"/>
      <c r="C518" s="118"/>
    </row>
    <row r="519" spans="1:3">
      <c r="A519" s="119"/>
      <c r="B519" s="119"/>
      <c r="C519" s="118"/>
    </row>
    <row r="520" spans="1:3">
      <c r="A520" s="119"/>
      <c r="B520" s="119"/>
      <c r="C520" s="118"/>
    </row>
    <row r="521" spans="1:3">
      <c r="A521" s="119"/>
      <c r="B521" s="119"/>
      <c r="C521" s="118"/>
    </row>
    <row r="522" spans="1:3">
      <c r="A522" s="119"/>
      <c r="B522" s="119"/>
      <c r="C522" s="118"/>
    </row>
    <row r="523" spans="1:3">
      <c r="A523" s="119"/>
      <c r="B523" s="119"/>
      <c r="C523" s="118"/>
    </row>
    <row r="524" spans="1:3">
      <c r="A524" s="119"/>
      <c r="B524" s="119"/>
      <c r="C524" s="118"/>
    </row>
    <row r="525" spans="1:3">
      <c r="A525" s="119"/>
      <c r="B525" s="119"/>
      <c r="C525" s="118"/>
    </row>
    <row r="526" spans="1:3">
      <c r="A526" s="119"/>
      <c r="B526" s="119"/>
      <c r="C526" s="118"/>
    </row>
    <row r="527" spans="1:3">
      <c r="A527" s="119"/>
      <c r="B527" s="119"/>
      <c r="C527" s="118"/>
    </row>
    <row r="528" spans="1:3">
      <c r="A528" s="119"/>
      <c r="B528" s="119"/>
      <c r="C528" s="118"/>
    </row>
    <row r="529" spans="1:3">
      <c r="A529" s="119"/>
      <c r="B529" s="119"/>
      <c r="C529" s="118"/>
    </row>
    <row r="530" spans="1:3">
      <c r="A530" s="119"/>
      <c r="B530" s="119"/>
      <c r="C530" s="118"/>
    </row>
    <row r="531" spans="1:3">
      <c r="A531" s="119"/>
      <c r="B531" s="119"/>
      <c r="C531" s="118"/>
    </row>
    <row r="532" spans="1:3">
      <c r="A532" s="119"/>
      <c r="B532" s="119"/>
      <c r="C532" s="118"/>
    </row>
    <row r="533" spans="1:3">
      <c r="A533" s="119"/>
      <c r="B533" s="119"/>
      <c r="C533" s="118"/>
    </row>
    <row r="534" spans="1:3">
      <c r="A534" s="119"/>
      <c r="B534" s="119"/>
      <c r="C534" s="118"/>
    </row>
    <row r="535" spans="1:3">
      <c r="A535" s="119"/>
      <c r="B535" s="119"/>
      <c r="C535" s="118"/>
    </row>
    <row r="536" spans="1:3">
      <c r="A536" s="119"/>
      <c r="B536" s="119"/>
      <c r="C536" s="118"/>
    </row>
    <row r="537" spans="1:3">
      <c r="A537" s="119"/>
      <c r="B537" s="119"/>
      <c r="C537" s="118"/>
    </row>
    <row r="538" spans="1:3">
      <c r="A538" s="119"/>
      <c r="B538" s="119"/>
      <c r="C538" s="118"/>
    </row>
    <row r="539" spans="1:3">
      <c r="A539" s="119"/>
      <c r="B539" s="119"/>
      <c r="C539" s="118"/>
    </row>
    <row r="540" spans="1:3">
      <c r="A540" s="119"/>
      <c r="B540" s="119"/>
      <c r="C540" s="118"/>
    </row>
    <row r="541" spans="1:3">
      <c r="A541" s="119"/>
      <c r="B541" s="119"/>
      <c r="C541" s="118"/>
    </row>
    <row r="542" spans="1:3">
      <c r="A542" s="119"/>
      <c r="B542" s="119"/>
      <c r="C542" s="118"/>
    </row>
    <row r="543" spans="1:3">
      <c r="A543" s="119"/>
      <c r="B543" s="119"/>
      <c r="C543" s="118"/>
    </row>
    <row r="544" spans="1:3">
      <c r="A544" s="119"/>
      <c r="B544" s="119"/>
      <c r="C544" s="118"/>
    </row>
    <row r="545" spans="1:3">
      <c r="A545" s="119"/>
      <c r="B545" s="119"/>
      <c r="C545" s="118"/>
    </row>
    <row r="546" spans="1:3">
      <c r="A546" s="119"/>
      <c r="B546" s="119"/>
      <c r="C546" s="118"/>
    </row>
    <row r="547" spans="1:3">
      <c r="A547" s="119"/>
      <c r="B547" s="119"/>
      <c r="C547" s="118"/>
    </row>
    <row r="548" spans="1:3">
      <c r="A548" s="119"/>
      <c r="B548" s="119"/>
      <c r="C548" s="118"/>
    </row>
    <row r="549" spans="1:3">
      <c r="A549" s="119"/>
      <c r="B549" s="119"/>
      <c r="C549" s="118"/>
    </row>
    <row r="550" spans="1:3">
      <c r="A550" s="119"/>
      <c r="B550" s="119"/>
      <c r="C550" s="118"/>
    </row>
    <row r="551" spans="1:3">
      <c r="A551" s="119"/>
      <c r="B551" s="119"/>
      <c r="C551" s="118"/>
    </row>
    <row r="552" spans="1:3">
      <c r="A552" s="119"/>
      <c r="B552" s="119"/>
      <c r="C552" s="118"/>
    </row>
    <row r="553" spans="1:3">
      <c r="A553" s="119"/>
      <c r="B553" s="119"/>
      <c r="C553" s="118"/>
    </row>
    <row r="554" spans="1:3">
      <c r="A554" s="119"/>
      <c r="B554" s="119"/>
      <c r="C554" s="118"/>
    </row>
    <row r="555" spans="1:3">
      <c r="A555" s="119"/>
      <c r="B555" s="119"/>
      <c r="C555" s="118"/>
    </row>
    <row r="556" spans="1:3">
      <c r="A556" s="119"/>
      <c r="B556" s="119"/>
      <c r="C556" s="118"/>
    </row>
    <row r="557" spans="1:3">
      <c r="A557" s="119"/>
      <c r="B557" s="119"/>
      <c r="C557" s="118"/>
    </row>
    <row r="558" spans="1:3">
      <c r="A558" s="119"/>
      <c r="B558" s="119"/>
      <c r="C558" s="118"/>
    </row>
    <row r="559" spans="1:3">
      <c r="A559" s="119"/>
      <c r="B559" s="119"/>
      <c r="C559" s="118"/>
    </row>
    <row r="560" spans="1:3">
      <c r="A560" s="119"/>
      <c r="B560" s="119"/>
      <c r="C560" s="118"/>
    </row>
    <row r="561" spans="1:3">
      <c r="A561" s="119"/>
      <c r="B561" s="119"/>
      <c r="C561" s="118"/>
    </row>
    <row r="562" spans="1:3">
      <c r="A562" s="119"/>
      <c r="B562" s="119"/>
      <c r="C562" s="118"/>
    </row>
    <row r="563" spans="1:3">
      <c r="A563" s="119"/>
      <c r="B563" s="119"/>
      <c r="C563" s="118"/>
    </row>
    <row r="564" spans="1:3">
      <c r="A564" s="119"/>
      <c r="B564" s="119"/>
      <c r="C564" s="118"/>
    </row>
    <row r="565" spans="1:3">
      <c r="A565" s="119"/>
      <c r="B565" s="119"/>
      <c r="C565" s="118"/>
    </row>
    <row r="566" spans="1:3">
      <c r="A566" s="119"/>
      <c r="B566" s="119"/>
      <c r="C566" s="118"/>
    </row>
    <row r="567" spans="1:3">
      <c r="A567" s="119"/>
      <c r="B567" s="119"/>
      <c r="C567" s="118"/>
    </row>
    <row r="568" spans="1:3">
      <c r="A568" s="119"/>
      <c r="B568" s="119"/>
      <c r="C568" s="118"/>
    </row>
    <row r="569" spans="1:3">
      <c r="A569" s="119"/>
      <c r="B569" s="119"/>
      <c r="C569" s="118"/>
    </row>
    <row r="570" spans="1:3">
      <c r="A570" s="119"/>
      <c r="B570" s="119"/>
      <c r="C570" s="118"/>
    </row>
    <row r="571" spans="1:3">
      <c r="A571" s="119"/>
      <c r="B571" s="119"/>
      <c r="C571" s="118"/>
    </row>
    <row r="572" spans="1:3">
      <c r="A572" s="119"/>
      <c r="B572" s="119"/>
      <c r="C572" s="118"/>
    </row>
    <row r="573" spans="1:3">
      <c r="A573" s="119"/>
      <c r="B573" s="119"/>
      <c r="C573" s="118"/>
    </row>
    <row r="574" spans="1:3">
      <c r="A574" s="119"/>
      <c r="B574" s="119"/>
      <c r="C574" s="118"/>
    </row>
    <row r="575" spans="1:3">
      <c r="A575" s="119"/>
      <c r="B575" s="119"/>
      <c r="C575" s="118"/>
    </row>
    <row r="576" spans="1:3">
      <c r="A576" s="119"/>
      <c r="B576" s="119"/>
      <c r="C576" s="118"/>
    </row>
    <row r="577" spans="1:3">
      <c r="A577" s="119"/>
      <c r="B577" s="119"/>
      <c r="C577" s="118"/>
    </row>
    <row r="578" spans="1:3">
      <c r="A578" s="119"/>
      <c r="B578" s="119"/>
      <c r="C578" s="118"/>
    </row>
    <row r="579" spans="1:3">
      <c r="A579" s="119"/>
      <c r="B579" s="119"/>
      <c r="C579" s="118"/>
    </row>
    <row r="580" spans="1:3">
      <c r="A580" s="119"/>
      <c r="B580" s="119"/>
      <c r="C580" s="118"/>
    </row>
    <row r="581" spans="1:3">
      <c r="A581" s="119"/>
      <c r="B581" s="119"/>
      <c r="C581" s="118"/>
    </row>
    <row r="582" spans="1:3">
      <c r="A582" s="119"/>
      <c r="B582" s="119"/>
      <c r="C582" s="118"/>
    </row>
    <row r="583" spans="1:3">
      <c r="A583" s="119"/>
      <c r="B583" s="119"/>
      <c r="C583" s="118"/>
    </row>
    <row r="584" spans="1:3">
      <c r="A584" s="119"/>
      <c r="B584" s="119"/>
      <c r="C584" s="118"/>
    </row>
    <row r="585" spans="1:3">
      <c r="A585" s="119"/>
      <c r="B585" s="119"/>
      <c r="C585" s="118"/>
    </row>
    <row r="586" spans="1:3">
      <c r="A586" s="119"/>
      <c r="B586" s="119"/>
      <c r="C586" s="118"/>
    </row>
    <row r="587" spans="1:3">
      <c r="A587" s="119"/>
      <c r="B587" s="119"/>
      <c r="C587" s="118"/>
    </row>
    <row r="588" spans="1:3">
      <c r="A588" s="119"/>
      <c r="B588" s="119"/>
      <c r="C588" s="118"/>
    </row>
    <row r="589" spans="1:3">
      <c r="A589" s="119"/>
      <c r="B589" s="119"/>
      <c r="C589" s="118"/>
    </row>
    <row r="590" spans="1:3">
      <c r="A590" s="119"/>
      <c r="B590" s="119"/>
      <c r="C590" s="118"/>
    </row>
    <row r="591" spans="1:3">
      <c r="A591" s="119"/>
      <c r="B591" s="119"/>
      <c r="C591" s="118"/>
    </row>
    <row r="592" spans="1:3">
      <c r="A592" s="119"/>
      <c r="B592" s="119"/>
      <c r="C592" s="118"/>
    </row>
    <row r="593" spans="1:3">
      <c r="A593" s="119"/>
      <c r="B593" s="119"/>
      <c r="C593" s="118"/>
    </row>
    <row r="594" spans="1:3">
      <c r="A594" s="119"/>
      <c r="B594" s="119"/>
      <c r="C594" s="118"/>
    </row>
    <row r="595" spans="1:3">
      <c r="A595" s="119"/>
      <c r="B595" s="119"/>
      <c r="C595" s="118"/>
    </row>
    <row r="596" spans="1:3">
      <c r="A596" s="119"/>
      <c r="B596" s="119"/>
      <c r="C596" s="118"/>
    </row>
    <row r="597" spans="1:3">
      <c r="A597" s="119"/>
      <c r="B597" s="119"/>
      <c r="C597" s="118"/>
    </row>
    <row r="598" spans="1:3">
      <c r="A598" s="119"/>
      <c r="B598" s="119"/>
      <c r="C598" s="118"/>
    </row>
    <row r="599" spans="1:3">
      <c r="A599" s="119"/>
      <c r="B599" s="119"/>
      <c r="C599" s="118"/>
    </row>
    <row r="600" spans="1:3">
      <c r="A600" s="119"/>
      <c r="B600" s="119"/>
      <c r="C600" s="118"/>
    </row>
    <row r="601" spans="1:3">
      <c r="A601" s="119"/>
      <c r="B601" s="119"/>
      <c r="C601" s="118"/>
    </row>
    <row r="602" spans="1:3">
      <c r="A602" s="119"/>
      <c r="B602" s="119"/>
      <c r="C602" s="118"/>
    </row>
    <row r="603" spans="1:3">
      <c r="A603" s="119"/>
      <c r="B603" s="119"/>
      <c r="C603" s="118"/>
    </row>
    <row r="604" spans="1:3">
      <c r="A604" s="119"/>
      <c r="B604" s="119"/>
      <c r="C604" s="118"/>
    </row>
    <row r="605" spans="1:3">
      <c r="A605" s="119"/>
      <c r="B605" s="119"/>
      <c r="C605" s="118"/>
    </row>
    <row r="606" spans="1:3">
      <c r="A606" s="119"/>
      <c r="B606" s="119"/>
      <c r="C606" s="118"/>
    </row>
    <row r="607" spans="1:3">
      <c r="A607" s="119"/>
      <c r="B607" s="119"/>
      <c r="C607" s="118"/>
    </row>
    <row r="608" spans="1:3">
      <c r="A608" s="119"/>
      <c r="B608" s="119"/>
      <c r="C608" s="118"/>
    </row>
    <row r="609" spans="1:3">
      <c r="A609" s="119"/>
      <c r="B609" s="119"/>
      <c r="C609" s="118"/>
    </row>
    <row r="610" spans="1:3">
      <c r="A610" s="119"/>
      <c r="B610" s="119"/>
      <c r="C610" s="118"/>
    </row>
    <row r="611" spans="1:3">
      <c r="A611" s="119"/>
      <c r="B611" s="119"/>
      <c r="C611" s="118"/>
    </row>
    <row r="612" spans="1:3">
      <c r="A612" s="119"/>
      <c r="B612" s="119"/>
      <c r="C612" s="118"/>
    </row>
    <row r="613" spans="1:3">
      <c r="A613" s="119"/>
      <c r="B613" s="119"/>
      <c r="C613" s="118"/>
    </row>
    <row r="614" spans="1:3">
      <c r="A614" s="119"/>
      <c r="B614" s="119"/>
      <c r="C614" s="118"/>
    </row>
    <row r="615" spans="1:3">
      <c r="A615" s="119"/>
      <c r="B615" s="119"/>
      <c r="C615" s="1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21"/>
  <sheetViews>
    <sheetView workbookViewId="0"/>
  </sheetViews>
  <sheetFormatPr baseColWidth="10" defaultColWidth="12.5703125" defaultRowHeight="15" customHeight="1"/>
  <cols>
    <col min="1" max="1" width="17.140625" customWidth="1"/>
    <col min="2" max="2" width="24.28515625" customWidth="1"/>
    <col min="8" max="9" width="14.5703125" customWidth="1"/>
  </cols>
  <sheetData>
    <row r="1" spans="1:26" ht="15" customHeight="1">
      <c r="A1" s="120" t="str">
        <f ca="1">IFERROR(__xludf.DUMMYFUNCTION("query(MIR!C32:AF44,""SELECT C,D,Y,Z,AA,AE,AF,O"",1)"),"RESUMEN NARRATIVO")</f>
        <v>RESUMEN NARRATIVO</v>
      </c>
      <c r="B1" s="121" t="str">
        <f ca="1">IFERROR(__xludf.DUMMYFUNCTION("""COMPUTED_VALUE"""),"OBJETIVOS DE RESULTADO")</f>
        <v>OBJETIVOS DE RESULTADO</v>
      </c>
      <c r="C1" s="121" t="str">
        <f ca="1">IFERROR(__xludf.DUMMYFUNCTION("""COMPUTED_VALUE"""),"JULIO")</f>
        <v>JULIO</v>
      </c>
      <c r="D1" s="121" t="str">
        <f ca="1">IFERROR(__xludf.DUMMYFUNCTION("""COMPUTED_VALUE"""),"AGOSTO")</f>
        <v>AGOSTO</v>
      </c>
      <c r="E1" s="121" t="str">
        <f ca="1">IFERROR(__xludf.DUMMYFUNCTION("""COMPUTED_VALUE"""),"SEPTIEMBRE")</f>
        <v>SEPTIEMBRE</v>
      </c>
      <c r="F1" s="122" t="str">
        <f ca="1">IFERROR(__xludf.DUMMYFUNCTION("""COMPUTED_VALUE"""),"Acumulado")</f>
        <v>Acumulado</v>
      </c>
      <c r="G1" s="121" t="str">
        <f ca="1">IFERROR(__xludf.DUMMYFUNCTION("""COMPUTED_VALUE"""),"Meta alcanzada")</f>
        <v>Meta alcanzada</v>
      </c>
      <c r="H1" s="123" t="str">
        <f ca="1">IFERROR(__xludf.DUMMYFUNCTION("""COMPUTED_VALUE"""),"META PROGRAMADA")</f>
        <v>META PROGRAMADA</v>
      </c>
      <c r="I1" s="124" t="s">
        <v>697</v>
      </c>
      <c r="J1" s="125" t="s">
        <v>698</v>
      </c>
      <c r="K1" s="125" t="s">
        <v>699</v>
      </c>
      <c r="L1" s="125" t="s">
        <v>700</v>
      </c>
      <c r="M1" s="125" t="s">
        <v>701</v>
      </c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15" customHeight="1">
      <c r="A2" s="121" t="str">
        <f ca="1">IFERROR(__xludf.DUMMYFUNCTION("""COMPUTED_VALUE"""),"FIN")</f>
        <v>FIN</v>
      </c>
      <c r="B2" s="121" t="str">
        <f ca="1">IFERROR(__xludf.DUMMYFUNCTION("""COMPUTED_VALUE"""),"Contribuir a la reintegración socialmente a niñas, niños, adolescentes, mujeres en condición de emergencia y personas en situación de calle que no cuentan con redes de apoyo y con derechos humanos vulnerados a través de los programas del Eje de Guadalajar"&amp;"a Humanitaria del Sistema DIF Guadalajara  durante el 2024")</f>
        <v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2024</v>
      </c>
      <c r="C2" s="126"/>
      <c r="D2" s="127"/>
      <c r="E2" s="127"/>
      <c r="F2" s="128">
        <f ca="1">IFERROR(__xludf.DUMMYFUNCTION("""COMPUTED_VALUE"""),2065)</f>
        <v>2065</v>
      </c>
      <c r="G2" s="127" t="str">
        <f ca="1">IFERROR(__xludf.DUMMYFUNCTION("""COMPUTED_VALUE"""),"181.1%")</f>
        <v>181.1%</v>
      </c>
      <c r="H2" s="129">
        <f ca="1">IFERROR(__xludf.DUMMYFUNCTION("""COMPUTED_VALUE"""),1140)</f>
        <v>1140</v>
      </c>
      <c r="I2" s="130">
        <f t="shared" ref="I2:I13" si="0">SUM($C2:$E2)</f>
        <v>0</v>
      </c>
      <c r="J2" s="131">
        <f t="shared" ref="J2:J5" ca="1" si="1">F2/H2</f>
        <v>1.8114035087719298</v>
      </c>
      <c r="K2" s="121"/>
      <c r="L2" s="121"/>
      <c r="M2" s="132" t="b">
        <v>1</v>
      </c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15" customHeight="1">
      <c r="A3" s="121" t="str">
        <f ca="1">IFERROR(__xludf.DUMMYFUNCTION("""COMPUTED_VALUE"""),"PROPÓSITO")</f>
        <v>PROPÓSITO</v>
      </c>
      <c r="B3" s="121" t="str">
        <f ca="1">IFERROR(__xludf.DUMMYFUNCTION("""COMPUTED_VALUE"""),"Grupos de atención prioritaria en condiciones de vulnerabilidad o ausencia de redes de apoyo se atienden integralmente para la restitución de sus derechos en el 2024")</f>
        <v>Grupos de atención prioritaria en condiciones de vulnerabilidad o ausencia de redes de apoyo se atienden integralmente para la restitución de sus derechos en el 2024</v>
      </c>
      <c r="C3" s="126"/>
      <c r="D3" s="127"/>
      <c r="E3" s="127"/>
      <c r="F3" s="128">
        <f ca="1">IFERROR(__xludf.DUMMYFUNCTION("""COMPUTED_VALUE"""),113702)</f>
        <v>113702</v>
      </c>
      <c r="G3" s="127" t="str">
        <f ca="1">IFERROR(__xludf.DUMMYFUNCTION("""COMPUTED_VALUE"""),"102.6%")</f>
        <v>102.6%</v>
      </c>
      <c r="H3" s="129">
        <f ca="1">IFERROR(__xludf.DUMMYFUNCTION("""COMPUTED_VALUE"""),110873)</f>
        <v>110873</v>
      </c>
      <c r="I3" s="130">
        <f t="shared" si="0"/>
        <v>0</v>
      </c>
      <c r="J3" s="131">
        <f t="shared" ca="1" si="1"/>
        <v>1.0255156801024596</v>
      </c>
      <c r="K3" s="121"/>
      <c r="L3" s="121"/>
      <c r="M3" s="132" t="b">
        <v>1</v>
      </c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15" customHeight="1">
      <c r="A4" s="121" t="str">
        <f ca="1">IFERROR(__xludf.DUMMYFUNCTION("""COMPUTED_VALUE"""),"COMPONENTE 1")</f>
        <v>COMPONENTE 1</v>
      </c>
      <c r="B4" s="121" t="str">
        <f ca="1">IFERROR(__xludf.DUMMYFUNCTION("""COMPUTED_VALUE"""),"Acompañamientos integrales brindados a mujeres en situación de emergencia y sus acompañantes en 2024")</f>
        <v>Acompañamientos integrales brindados a mujeres en situación de emergencia y sus acompañantes en 2024</v>
      </c>
      <c r="C4" s="126">
        <f ca="1">IFERROR(__xludf.DUMMYFUNCTION("""COMPUTED_VALUE"""),5)</f>
        <v>5</v>
      </c>
      <c r="D4" s="127">
        <f ca="1">IFERROR(__xludf.DUMMYFUNCTION("""COMPUTED_VALUE"""),1)</f>
        <v>1</v>
      </c>
      <c r="E4" s="127">
        <f ca="1">IFERROR(__xludf.DUMMYFUNCTION("""COMPUTED_VALUE"""),0)</f>
        <v>0</v>
      </c>
      <c r="F4" s="128">
        <f ca="1">IFERROR(__xludf.DUMMYFUNCTION("""COMPUTED_VALUE"""),106)</f>
        <v>106</v>
      </c>
      <c r="G4" s="127" t="str">
        <f ca="1">IFERROR(__xludf.DUMMYFUNCTION("""COMPUTED_VALUE"""),"212%")</f>
        <v>212%</v>
      </c>
      <c r="H4" s="129">
        <f ca="1">IFERROR(__xludf.DUMMYFUNCTION("""COMPUTED_VALUE"""),50)</f>
        <v>50</v>
      </c>
      <c r="I4" s="130">
        <f t="shared" ca="1" si="0"/>
        <v>6</v>
      </c>
      <c r="J4" s="131">
        <f t="shared" ca="1" si="1"/>
        <v>2.12</v>
      </c>
      <c r="K4" s="121"/>
      <c r="L4" s="121"/>
      <c r="M4" s="132" t="b">
        <v>1</v>
      </c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ht="15" customHeight="1">
      <c r="A5" s="121" t="str">
        <f ca="1">IFERROR(__xludf.DUMMYFUNCTION("""COMPUTED_VALUE"""),"ACTIVIDAD 1.1")</f>
        <v>ACTIVIDAD 1.1</v>
      </c>
      <c r="B5" s="121" t="str">
        <f ca="1">IFERROR(__xludf.DUMMYFUNCTION("""COMPUTED_VALUE"""),"Diagnósticos y atenciones de necesidades brindadas a mujeres en situación de emergencia en 2024")</f>
        <v>Diagnósticos y atenciones de necesidades brindadas a mujeres en situación de emergencia en 2024</v>
      </c>
      <c r="C5" s="126">
        <f ca="1">IFERROR(__xludf.DUMMYFUNCTION("""COMPUTED_VALUE"""),42)</f>
        <v>42</v>
      </c>
      <c r="D5" s="127">
        <f ca="1">IFERROR(__xludf.DUMMYFUNCTION("""COMPUTED_VALUE"""),39)</f>
        <v>39</v>
      </c>
      <c r="E5" s="127">
        <f ca="1">IFERROR(__xludf.DUMMYFUNCTION("""COMPUTED_VALUE"""),50)</f>
        <v>50</v>
      </c>
      <c r="F5" s="128">
        <f ca="1">IFERROR(__xludf.DUMMYFUNCTION("""COMPUTED_VALUE"""),1479)</f>
        <v>1479</v>
      </c>
      <c r="G5" s="127" t="str">
        <f ca="1">IFERROR(__xludf.DUMMYFUNCTION("""COMPUTED_VALUE"""),"98.6%")</f>
        <v>98.6%</v>
      </c>
      <c r="H5" s="129">
        <f ca="1">IFERROR(__xludf.DUMMYFUNCTION("""COMPUTED_VALUE"""),1500)</f>
        <v>1500</v>
      </c>
      <c r="I5" s="130">
        <f t="shared" ca="1" si="0"/>
        <v>131</v>
      </c>
      <c r="J5" s="131">
        <f t="shared" ca="1" si="1"/>
        <v>0.98599999999999999</v>
      </c>
      <c r="K5" s="121"/>
      <c r="L5" s="121"/>
      <c r="M5" s="132" t="b">
        <v>1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5" customHeight="1">
      <c r="A6" s="121" t="str">
        <f ca="1">IFERROR(__xludf.DUMMYFUNCTION("""COMPUTED_VALUE"""),"COMPONENTE 2")</f>
        <v>COMPONENTE 2</v>
      </c>
      <c r="B6" s="121" t="str">
        <f ca="1">IFERROR(__xludf.DUMMYFUNCTION("""COMPUTED_VALUE"""),"Servicios de atención integral de salud, académicos y psicoterapéuticos brindados a NNA que habitan la Casa Hogar Villas Miravalle, en el 2024")</f>
        <v>Servicios de atención integral de salud, académicos y psicoterapéuticos brindados a NNA que habitan la Casa Hogar Villas Miravalle, en el 2024</v>
      </c>
      <c r="C6" s="126">
        <f ca="1">IFERROR(__xludf.DUMMYFUNCTION("""COMPUTED_VALUE"""),92)</f>
        <v>92</v>
      </c>
      <c r="D6" s="127">
        <f ca="1">IFERROR(__xludf.DUMMYFUNCTION("""COMPUTED_VALUE"""),94)</f>
        <v>94</v>
      </c>
      <c r="E6" s="127">
        <f ca="1">IFERROR(__xludf.DUMMYFUNCTION("""COMPUTED_VALUE"""),94)</f>
        <v>94</v>
      </c>
      <c r="F6" s="128">
        <f ca="1">IFERROR(__xludf.DUMMYFUNCTION("""COMPUTED_VALUE"""),1111)</f>
        <v>1111</v>
      </c>
      <c r="G6" s="127" t="str">
        <f ca="1">IFERROR(__xludf.DUMMYFUNCTION("""COMPUTED_VALUE"""),"278")</f>
        <v>278</v>
      </c>
      <c r="H6" s="129">
        <f ca="1">IFERROR(__xludf.DUMMYFUNCTION("""COMPUTED_VALUE"""),240)</f>
        <v>240</v>
      </c>
      <c r="I6" s="130">
        <f t="shared" ca="1" si="0"/>
        <v>280</v>
      </c>
      <c r="J6" s="131"/>
      <c r="K6" s="133">
        <f ca="1">F6/4</f>
        <v>277.75</v>
      </c>
      <c r="L6" s="134">
        <f ca="1">F6/9</f>
        <v>123.44444444444444</v>
      </c>
      <c r="M6" s="132" t="b">
        <v>1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5" customHeight="1">
      <c r="A7" s="121" t="str">
        <f ca="1">IFERROR(__xludf.DUMMYFUNCTION("""COMPUTED_VALUE"""),"ACTIVIDAD 2.1")</f>
        <v>ACTIVIDAD 2.1</v>
      </c>
      <c r="B7" s="121" t="str">
        <f ca="1">IFERROR(__xludf.DUMMYFUNCTION("""COMPUTED_VALUE"""),"Talleres de formación y capacitación en materia de habilidades laborales y tecnológicas brindados a niñas, niños o adolescentes albergados en la Casa Hogar Villas Miravalle, en el 2024")</f>
        <v>Talleres de formación y capacitación en materia de habilidades laborales y tecnológicas brindados a niñas, niños o adolescentes albergados en la Casa Hogar Villas Miravalle, en el 2024</v>
      </c>
      <c r="C7" s="126">
        <f ca="1">IFERROR(__xludf.DUMMYFUNCTION("""COMPUTED_VALUE"""),2)</f>
        <v>2</v>
      </c>
      <c r="D7" s="127">
        <f ca="1">IFERROR(__xludf.DUMMYFUNCTION("""COMPUTED_VALUE"""),2)</f>
        <v>2</v>
      </c>
      <c r="E7" s="127">
        <f ca="1">IFERROR(__xludf.DUMMYFUNCTION("""COMPUTED_VALUE"""),2)</f>
        <v>2</v>
      </c>
      <c r="F7" s="128">
        <f ca="1">IFERROR(__xludf.DUMMYFUNCTION("""COMPUTED_VALUE"""),29)</f>
        <v>29</v>
      </c>
      <c r="G7" s="127" t="str">
        <f ca="1">IFERROR(__xludf.DUMMYFUNCTION("""COMPUTED_VALUE"""),"116%")</f>
        <v>116%</v>
      </c>
      <c r="H7" s="129">
        <f ca="1">IFERROR(__xludf.DUMMYFUNCTION("""COMPUTED_VALUE"""),25)</f>
        <v>25</v>
      </c>
      <c r="I7" s="130">
        <f t="shared" ca="1" si="0"/>
        <v>6</v>
      </c>
      <c r="J7" s="131">
        <f t="shared" ref="J7:J13" ca="1" si="2">F7/H7</f>
        <v>1.1599999999999999</v>
      </c>
      <c r="K7" s="121"/>
      <c r="L7" s="121"/>
      <c r="M7" s="132" t="b">
        <v>0</v>
      </c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5" customHeight="1">
      <c r="A8" s="121" t="str">
        <f ca="1">IFERROR(__xludf.DUMMYFUNCTION("""COMPUTED_VALUE"""),"COMPONENTE 3")</f>
        <v>COMPONENTE 3</v>
      </c>
      <c r="B8" s="121" t="str">
        <f ca="1">IFERROR(__xludf.DUMMYFUNCTION("""COMPUTED_VALUE"""),"Servicios de atención integral de salud, alimentario, trabajo social  y psicológicos brindados a personas en situación de calle en 2024")</f>
        <v>Servicios de atención integral de salud, alimentario, trabajo social  y psicológicos brindados a personas en situación de calle en 2024</v>
      </c>
      <c r="C8" s="126">
        <f ca="1">IFERROR(__xludf.DUMMYFUNCTION("""COMPUTED_VALUE"""),9038)</f>
        <v>9038</v>
      </c>
      <c r="D8" s="127">
        <f ca="1">IFERROR(__xludf.DUMMYFUNCTION("""COMPUTED_VALUE"""),9547)</f>
        <v>9547</v>
      </c>
      <c r="E8" s="127">
        <f ca="1">IFERROR(__xludf.DUMMYFUNCTION("""COMPUTED_VALUE"""),6530)</f>
        <v>6530</v>
      </c>
      <c r="F8" s="128">
        <f ca="1">IFERROR(__xludf.DUMMYFUNCTION("""COMPUTED_VALUE"""),112194)</f>
        <v>112194</v>
      </c>
      <c r="G8" s="127" t="str">
        <f ca="1">IFERROR(__xludf.DUMMYFUNCTION("""COMPUTED_VALUE"""),"102.6%")</f>
        <v>102.6%</v>
      </c>
      <c r="H8" s="129">
        <f ca="1">IFERROR(__xludf.DUMMYFUNCTION("""COMPUTED_VALUE"""),109348)</f>
        <v>109348</v>
      </c>
      <c r="I8" s="130">
        <f t="shared" ca="1" si="0"/>
        <v>25115</v>
      </c>
      <c r="J8" s="131">
        <f t="shared" ca="1" si="2"/>
        <v>1.0260269963785347</v>
      </c>
      <c r="K8" s="121"/>
      <c r="L8" s="121"/>
      <c r="M8" s="132" t="b">
        <v>0</v>
      </c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5" customHeight="1">
      <c r="A9" s="121" t="str">
        <f ca="1">IFERROR(__xludf.DUMMYFUNCTION("""COMPUTED_VALUE"""),"ACTIVIDAD 3.1")</f>
        <v>ACTIVIDAD 3.1</v>
      </c>
      <c r="B9" s="121" t="str">
        <f ca="1">IFERROR(__xludf.DUMMYFUNCTION("""COMPUTED_VALUE""")," Otorgar a las y los usuarios del programa servicios médicos preventivos y curativos, en el 2024.")</f>
        <v xml:space="preserve"> Otorgar a las y los usuarios del programa servicios médicos preventivos y curativos, en el 2024.</v>
      </c>
      <c r="C9" s="126">
        <f ca="1">IFERROR(__xludf.DUMMYFUNCTION("""COMPUTED_VALUE"""),268)</f>
        <v>268</v>
      </c>
      <c r="D9" s="127">
        <f ca="1">IFERROR(__xludf.DUMMYFUNCTION("""COMPUTED_VALUE"""),278)</f>
        <v>278</v>
      </c>
      <c r="E9" s="127">
        <f ca="1">IFERROR(__xludf.DUMMYFUNCTION("""COMPUTED_VALUE"""),203)</f>
        <v>203</v>
      </c>
      <c r="F9" s="128">
        <f ca="1">IFERROR(__xludf.DUMMYFUNCTION("""COMPUTED_VALUE"""),2953)</f>
        <v>2953</v>
      </c>
      <c r="G9" s="127" t="str">
        <f ca="1">IFERROR(__xludf.DUMMYFUNCTION("""COMPUTED_VALUE"""),"134.2%")</f>
        <v>134.2%</v>
      </c>
      <c r="H9" s="129">
        <f ca="1">IFERROR(__xludf.DUMMYFUNCTION("""COMPUTED_VALUE"""),2200)</f>
        <v>2200</v>
      </c>
      <c r="I9" s="130">
        <f t="shared" ca="1" si="0"/>
        <v>749</v>
      </c>
      <c r="J9" s="131">
        <f t="shared" ca="1" si="2"/>
        <v>1.3422727272727273</v>
      </c>
      <c r="K9" s="121"/>
      <c r="L9" s="121"/>
      <c r="M9" s="132" t="b">
        <v>0</v>
      </c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:26" ht="15" customHeight="1">
      <c r="A10" s="121" t="str">
        <f ca="1">IFERROR(__xludf.DUMMYFUNCTION("""COMPUTED_VALUE"""),"ACTIVIDAD 3.2")</f>
        <v>ACTIVIDAD 3.2</v>
      </c>
      <c r="B10" s="121" t="str">
        <f ca="1">IFERROR(__xludf.DUMMYFUNCTION("""COMPUTED_VALUE"""),"Otorgar a las y los usuarios del programa acompañamiento psicológico, en el 2024")</f>
        <v>Otorgar a las y los usuarios del programa acompañamiento psicológico, en el 2024</v>
      </c>
      <c r="C10" s="126">
        <f ca="1">IFERROR(__xludf.DUMMYFUNCTION("""COMPUTED_VALUE"""),114)</f>
        <v>114</v>
      </c>
      <c r="D10" s="127">
        <f ca="1">IFERROR(__xludf.DUMMYFUNCTION("""COMPUTED_VALUE"""),131)</f>
        <v>131</v>
      </c>
      <c r="E10" s="127">
        <f ca="1">IFERROR(__xludf.DUMMYFUNCTION("""COMPUTED_VALUE"""),106)</f>
        <v>106</v>
      </c>
      <c r="F10" s="128">
        <f ca="1">IFERROR(__xludf.DUMMYFUNCTION("""COMPUTED_VALUE"""),1665)</f>
        <v>1665</v>
      </c>
      <c r="G10" s="127" t="str">
        <f ca="1">IFERROR(__xludf.DUMMYFUNCTION("""COMPUTED_VALUE"""),"151.6%")</f>
        <v>151.6%</v>
      </c>
      <c r="H10" s="129">
        <f ca="1">IFERROR(__xludf.DUMMYFUNCTION("""COMPUTED_VALUE"""),1098)</f>
        <v>1098</v>
      </c>
      <c r="I10" s="130">
        <f t="shared" ca="1" si="0"/>
        <v>351</v>
      </c>
      <c r="J10" s="131">
        <f t="shared" ca="1" si="2"/>
        <v>1.5163934426229508</v>
      </c>
      <c r="K10" s="121"/>
      <c r="L10" s="121"/>
      <c r="M10" s="132" t="b">
        <v>0</v>
      </c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15" customHeight="1">
      <c r="A11" s="121" t="str">
        <f ca="1">IFERROR(__xludf.DUMMYFUNCTION("""COMPUTED_VALUE"""),"ACTIVIDAD 3.3")</f>
        <v>ACTIVIDAD 3.3</v>
      </c>
      <c r="B11" s="121" t="str">
        <f ca="1">IFERROR(__xludf.DUMMYFUNCTION("""COMPUTED_VALUE"""),"Raciones alimentarias entregadas a personas en situación de calle, en el 2024")</f>
        <v>Raciones alimentarias entregadas a personas en situación de calle, en el 2024</v>
      </c>
      <c r="C11" s="126">
        <f ca="1">IFERROR(__xludf.DUMMYFUNCTION("""COMPUTED_VALUE"""),8469)</f>
        <v>8469</v>
      </c>
      <c r="D11" s="127">
        <f ca="1">IFERROR(__xludf.DUMMYFUNCTION("""COMPUTED_VALUE"""),8954)</f>
        <v>8954</v>
      </c>
      <c r="E11" s="127">
        <f ca="1">IFERROR(__xludf.DUMMYFUNCTION("""COMPUTED_VALUE"""),6087)</f>
        <v>6087</v>
      </c>
      <c r="F11" s="128">
        <f ca="1">IFERROR(__xludf.DUMMYFUNCTION("""COMPUTED_VALUE"""),105876)</f>
        <v>105876</v>
      </c>
      <c r="G11" s="127" t="str">
        <f ca="1">IFERROR(__xludf.DUMMYFUNCTION("""COMPUTED_VALUE"""),"101.8%")</f>
        <v>101.8%</v>
      </c>
      <c r="H11" s="129">
        <f ca="1">IFERROR(__xludf.DUMMYFUNCTION("""COMPUTED_VALUE"""),104000)</f>
        <v>104000</v>
      </c>
      <c r="I11" s="130">
        <f t="shared" ca="1" si="0"/>
        <v>23510</v>
      </c>
      <c r="J11" s="131">
        <f t="shared" ca="1" si="2"/>
        <v>1.0180384615384614</v>
      </c>
      <c r="K11" s="121"/>
      <c r="L11" s="121"/>
      <c r="M11" s="132" t="b">
        <v>0</v>
      </c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</row>
    <row r="12" spans="1:26" ht="15" customHeight="1">
      <c r="A12" s="121" t="str">
        <f ca="1">IFERROR(__xludf.DUMMYFUNCTION("""COMPUTED_VALUE"""),"ACTIVIDAD 3.4")</f>
        <v>ACTIVIDAD 3.4</v>
      </c>
      <c r="B12" s="121" t="str">
        <f ca="1">IFERROR(__xludf.DUMMYFUNCTION("""COMPUTED_VALUE""")," Entregar apoyos asistenciales para la restitución de derechos de personas en situación de calle brindados por la brigada, en 2024")</f>
        <v xml:space="preserve"> Entregar apoyos asistenciales para la restitución de derechos de personas en situación de calle brindados por la brigada, en 2024</v>
      </c>
      <c r="C12" s="126">
        <f ca="1">IFERROR(__xludf.DUMMYFUNCTION("""COMPUTED_VALUE"""),125)</f>
        <v>125</v>
      </c>
      <c r="D12" s="127">
        <f ca="1">IFERROR(__xludf.DUMMYFUNCTION("""COMPUTED_VALUE"""),105)</f>
        <v>105</v>
      </c>
      <c r="E12" s="127">
        <f ca="1">IFERROR(__xludf.DUMMYFUNCTION("""COMPUTED_VALUE"""),85)</f>
        <v>85</v>
      </c>
      <c r="F12" s="128">
        <f ca="1">IFERROR(__xludf.DUMMYFUNCTION("""COMPUTED_VALUE"""),1286)</f>
        <v>1286</v>
      </c>
      <c r="G12" s="127" t="str">
        <f ca="1">IFERROR(__xludf.DUMMYFUNCTION("""COMPUTED_VALUE"""),"107.2%")</f>
        <v>107.2%</v>
      </c>
      <c r="H12" s="129">
        <f ca="1">IFERROR(__xludf.DUMMYFUNCTION("""COMPUTED_VALUE"""),1200)</f>
        <v>1200</v>
      </c>
      <c r="I12" s="130">
        <f t="shared" ca="1" si="0"/>
        <v>315</v>
      </c>
      <c r="J12" s="131">
        <f t="shared" ca="1" si="2"/>
        <v>1.0716666666666668</v>
      </c>
      <c r="K12" s="121"/>
      <c r="L12" s="121"/>
      <c r="M12" s="132" t="b">
        <v>0</v>
      </c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ht="15" customHeight="1">
      <c r="A13" s="121" t="str">
        <f ca="1">IFERROR(__xludf.DUMMYFUNCTION("""COMPUTED_VALUE"""),"ACTIVIDAD 3.5")</f>
        <v>ACTIVIDAD 3.5</v>
      </c>
      <c r="B13" s="121" t="str">
        <f ca="1">IFERROR(__xludf.DUMMYFUNCTION("""COMPUTED_VALUE"""),"Apertura de expedientes de ingresos y reingresos de personas en situación de calle, en el 2024")</f>
        <v>Apertura de expedientes de ingresos y reingresos de personas en situación de calle, en el 2024</v>
      </c>
      <c r="C13" s="126">
        <f ca="1">IFERROR(__xludf.DUMMYFUNCTION("""COMPUTED_VALUE"""),62)</f>
        <v>62</v>
      </c>
      <c r="D13" s="127">
        <f ca="1">IFERROR(__xludf.DUMMYFUNCTION("""COMPUTED_VALUE"""),79)</f>
        <v>79</v>
      </c>
      <c r="E13" s="127">
        <f ca="1">IFERROR(__xludf.DUMMYFUNCTION("""COMPUTED_VALUE"""),49)</f>
        <v>49</v>
      </c>
      <c r="F13" s="128">
        <f ca="1">IFERROR(__xludf.DUMMYFUNCTION("""COMPUTED_VALUE"""),848)</f>
        <v>848</v>
      </c>
      <c r="G13" s="127" t="str">
        <f ca="1">IFERROR(__xludf.DUMMYFUNCTION("""COMPUTED_VALUE"""),"99.8%")</f>
        <v>99.8%</v>
      </c>
      <c r="H13" s="129">
        <f ca="1">IFERROR(__xludf.DUMMYFUNCTION("""COMPUTED_VALUE"""),850)</f>
        <v>850</v>
      </c>
      <c r="I13" s="130">
        <f t="shared" ca="1" si="0"/>
        <v>190</v>
      </c>
      <c r="J13" s="131">
        <f t="shared" ca="1" si="2"/>
        <v>0.99764705882352944</v>
      </c>
      <c r="K13" s="121"/>
      <c r="L13" s="121"/>
      <c r="M13" s="132" t="b">
        <v>0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1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3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6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26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  <row r="20" spans="1:26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</row>
    <row r="21" spans="1:26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>
      <c r="A23" s="121"/>
      <c r="B23" s="121"/>
      <c r="C23" s="121"/>
      <c r="D23" s="121"/>
      <c r="E23" s="121"/>
      <c r="F23" s="121"/>
      <c r="G23" s="127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>
      <c r="A24" s="121"/>
      <c r="B24" s="121"/>
      <c r="C24" s="121"/>
      <c r="D24" s="121"/>
      <c r="E24" s="121"/>
      <c r="F24" s="121"/>
      <c r="G24" s="127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>
      <c r="A25" s="121"/>
      <c r="B25" s="121"/>
      <c r="C25" s="121"/>
      <c r="D25" s="121"/>
      <c r="E25" s="121"/>
      <c r="F25" s="121"/>
      <c r="G25" s="127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>
      <c r="A26" s="121"/>
      <c r="B26" s="121"/>
      <c r="C26" s="121"/>
      <c r="D26" s="121"/>
      <c r="E26" s="121"/>
      <c r="F26" s="121"/>
      <c r="G26" s="127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</row>
    <row r="27" spans="1:26">
      <c r="A27" s="121"/>
      <c r="B27" s="121"/>
      <c r="C27" s="121"/>
      <c r="D27" s="121"/>
      <c r="E27" s="121"/>
      <c r="F27" s="121"/>
      <c r="G27" s="127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>
      <c r="A28" s="121"/>
      <c r="B28" s="121"/>
      <c r="C28" s="121"/>
      <c r="D28" s="121"/>
      <c r="E28" s="121"/>
      <c r="F28" s="121"/>
      <c r="G28" s="127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>
      <c r="A29" s="121"/>
      <c r="B29" s="121"/>
      <c r="C29" s="121"/>
      <c r="D29" s="121"/>
      <c r="E29" s="121"/>
      <c r="F29" s="121"/>
      <c r="G29" s="127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>
      <c r="A30" s="121"/>
      <c r="B30" s="121"/>
      <c r="C30" s="121"/>
      <c r="D30" s="121"/>
      <c r="E30" s="121"/>
      <c r="F30" s="121"/>
      <c r="G30" s="127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>
      <c r="A31" s="121"/>
      <c r="B31" s="121"/>
      <c r="C31" s="121"/>
      <c r="D31" s="121"/>
      <c r="E31" s="121"/>
      <c r="F31" s="121"/>
      <c r="G31" s="127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>
      <c r="A32" s="121"/>
      <c r="B32" s="121"/>
      <c r="C32" s="121"/>
      <c r="D32" s="121"/>
      <c r="E32" s="121"/>
      <c r="F32" s="121"/>
      <c r="G32" s="127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>
      <c r="A33" s="121"/>
      <c r="B33" s="121"/>
      <c r="C33" s="121"/>
      <c r="D33" s="121"/>
      <c r="E33" s="121"/>
      <c r="F33" s="121"/>
      <c r="G33" s="127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>
      <c r="A34" s="121"/>
      <c r="B34" s="121"/>
      <c r="C34" s="121"/>
      <c r="D34" s="121"/>
      <c r="E34" s="121"/>
      <c r="F34" s="121"/>
      <c r="G34" s="127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ht="12.7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12.7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ht="12.7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12.75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12.75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ht="12.7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ht="12.75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ht="12.75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ht="12.75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ht="12.75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12.75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12.75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ht="12.75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ht="12.7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ht="12.7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12.7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ht="12.7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ht="12.7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ht="12.75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ht="12.75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ht="12.75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ht="12.75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ht="12.75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ht="12.75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ht="12.75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ht="12.75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ht="12.75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ht="12.75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ht="12.75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ht="12.75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ht="12.75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ht="12.75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:26" ht="12.75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12.75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12.75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ht="12.75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ht="12.75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ht="12.75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ht="12.75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ht="12.75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ht="12.75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ht="12.75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12.75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ht="12.75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ht="12.75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ht="12.75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ht="12.75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ht="12.75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ht="12.75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ht="12.75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ht="12.75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ht="12.75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12.75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12.75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ht="12.75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12.75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12.75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12.75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12.75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12.75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12.75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:26" ht="12.75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:26" ht="12.75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:26" ht="12.75">
      <c r="A104" s="121"/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:26" ht="12.75">
      <c r="A105" s="121"/>
      <c r="B105" s="121"/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:26" ht="12.75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:26" ht="12.75">
      <c r="A107" s="121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:26" ht="12.75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:26" ht="12.75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:26" ht="12.75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:26" ht="12.7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:26" ht="12.75">
      <c r="A112" s="121"/>
      <c r="B112" s="121"/>
      <c r="C112" s="121"/>
      <c r="D112" s="121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:26" ht="12.75">
      <c r="A113" s="121"/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:26" ht="12.75">
      <c r="A114" s="121"/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:26" ht="12.75">
      <c r="A115" s="121"/>
      <c r="B115" s="121"/>
      <c r="C115" s="121"/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:26" ht="12.75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:26" ht="12.75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:26" ht="12.75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:26" ht="12.75">
      <c r="A119" s="121"/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:26" ht="12.75">
      <c r="A120" s="121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:26" ht="12.75">
      <c r="A121" s="121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:26" ht="12.75">
      <c r="A122" s="121"/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:26" ht="12.75">
      <c r="A123" s="121"/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:26" ht="12.75">
      <c r="A124" s="121"/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:26" ht="12.75">
      <c r="A125" s="121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:26" ht="12.75">
      <c r="A126" s="121"/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:26" ht="12.75">
      <c r="A127" s="121"/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:26" ht="12.75">
      <c r="A128" s="121"/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:26" ht="12.75">
      <c r="A129" s="121"/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:26" ht="12.75">
      <c r="A130" s="121"/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:26" ht="12.75">
      <c r="A131" s="121"/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:26" ht="12.75">
      <c r="A132" s="121"/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:26" ht="12.75">
      <c r="A133" s="121"/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:26" ht="12.75">
      <c r="A134" s="121"/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:26" ht="12.75">
      <c r="A135" s="121"/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:26" ht="12.75">
      <c r="A136" s="121"/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:26" ht="12.75">
      <c r="A137" s="121"/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:26" ht="12.75">
      <c r="A138" s="121"/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:26" ht="12.75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:26" ht="12.75">
      <c r="A140" s="121"/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:26" ht="12.75">
      <c r="A141" s="121"/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:26" ht="12.75">
      <c r="A142" s="121"/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:26" ht="12.75">
      <c r="A143" s="121"/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:26" ht="12.75">
      <c r="A144" s="121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:26" ht="12.75">
      <c r="A145" s="121"/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:26" ht="12.75">
      <c r="A146" s="121"/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:26" ht="12.75">
      <c r="A147" s="121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:26" ht="12.75">
      <c r="A148" s="121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:26" ht="12.75">
      <c r="A149" s="121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:26" ht="12.75">
      <c r="A150" s="121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:26" ht="12.7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:26" ht="12.75">
      <c r="A152" s="121"/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:26" ht="12.75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:26" ht="12.75">
      <c r="A154" s="121"/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:26" ht="12.75">
      <c r="A155" s="121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:26" ht="12.75">
      <c r="A156" s="121"/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:26" ht="12.75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:26" ht="12.75">
      <c r="A158" s="121"/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:26" ht="12.75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:26" ht="12.75">
      <c r="A160" s="121"/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:26" ht="12.75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:26" ht="12.75">
      <c r="A162" s="121"/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:26" ht="12.75">
      <c r="A163" s="121"/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:26" ht="12.75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</row>
    <row r="165" spans="1:26" ht="12.75">
      <c r="A165" s="121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</row>
    <row r="166" spans="1:26" ht="12.75">
      <c r="A166" s="121"/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</row>
    <row r="167" spans="1:26" ht="12.75">
      <c r="A167" s="121"/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</row>
    <row r="168" spans="1:26" ht="12.75">
      <c r="A168" s="121"/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</row>
    <row r="169" spans="1:26" ht="12.75">
      <c r="A169" s="121"/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</row>
    <row r="170" spans="1:26" ht="12.75">
      <c r="A170" s="121"/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</row>
    <row r="171" spans="1:26" ht="12.75">
      <c r="A171" s="121"/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</row>
    <row r="172" spans="1:26" ht="12.75">
      <c r="A172" s="121"/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</row>
    <row r="173" spans="1:26" ht="12.75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</row>
    <row r="174" spans="1:26" ht="12.75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</row>
    <row r="175" spans="1:26" ht="12.75">
      <c r="A175" s="121"/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</row>
    <row r="176" spans="1:26" ht="12.75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</row>
    <row r="177" spans="1:26" ht="12.75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</row>
    <row r="178" spans="1:26" ht="12.75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</row>
    <row r="179" spans="1:26" ht="12.75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</row>
    <row r="180" spans="1:26" ht="12.75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</row>
    <row r="181" spans="1:26" ht="12.7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</row>
    <row r="182" spans="1:26" ht="12.75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</row>
    <row r="183" spans="1:26" ht="12.75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</row>
    <row r="184" spans="1:26" ht="12.75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</row>
    <row r="185" spans="1:26" ht="12.75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</row>
    <row r="186" spans="1:26" ht="12.75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</row>
    <row r="187" spans="1:26" ht="12.75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</row>
    <row r="188" spans="1:26" ht="12.75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</row>
    <row r="189" spans="1:26" ht="12.75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</row>
    <row r="190" spans="1:26" ht="12.7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</row>
    <row r="191" spans="1:26" ht="12.7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</row>
    <row r="192" spans="1:26" ht="12.7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</row>
    <row r="193" spans="1:26" ht="12.7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</row>
    <row r="194" spans="1:26" ht="12.7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</row>
    <row r="195" spans="1:26" ht="12.75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</row>
    <row r="196" spans="1:26" ht="12.7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</row>
    <row r="197" spans="1:26" ht="12.75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</row>
    <row r="198" spans="1:26" ht="12.75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</row>
    <row r="199" spans="1:26" ht="12.7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spans="1:26" ht="12.75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spans="1:26" ht="12.7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</row>
    <row r="202" spans="1:26" ht="12.75">
      <c r="A202" s="121"/>
      <c r="B202" s="121"/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</row>
    <row r="203" spans="1:26" ht="12.75">
      <c r="A203" s="121"/>
      <c r="B203" s="121"/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</row>
    <row r="204" spans="1:26" ht="12.75">
      <c r="A204" s="121"/>
      <c r="B204" s="121"/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</row>
    <row r="205" spans="1:26" ht="12.75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</row>
    <row r="206" spans="1:26" ht="12.75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</row>
    <row r="207" spans="1:26" ht="12.7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</row>
    <row r="208" spans="1:26" ht="12.7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</row>
    <row r="209" spans="1:26" ht="12.7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</row>
    <row r="210" spans="1:26" ht="12.7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</row>
    <row r="211" spans="1:26" ht="12.7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</row>
    <row r="212" spans="1:26" ht="12.75">
      <c r="A212" s="121"/>
      <c r="B212" s="121"/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</row>
    <row r="213" spans="1:26" ht="12.75">
      <c r="A213" s="121"/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</row>
    <row r="214" spans="1:26" ht="12.75">
      <c r="A214" s="121"/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</row>
    <row r="215" spans="1:26" ht="12.75">
      <c r="A215" s="121"/>
      <c r="B215" s="121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</row>
    <row r="216" spans="1:26" ht="12.75">
      <c r="A216" s="121"/>
      <c r="B216" s="121"/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</row>
    <row r="217" spans="1:26" ht="12.75">
      <c r="A217" s="121"/>
      <c r="B217" s="121"/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</row>
    <row r="218" spans="1:26" ht="12.75">
      <c r="A218" s="121"/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</row>
    <row r="219" spans="1:26" ht="12.75">
      <c r="A219" s="121"/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</row>
    <row r="220" spans="1:26" ht="12.75">
      <c r="A220" s="121"/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</row>
    <row r="221" spans="1:26" ht="12.75">
      <c r="A221" s="121"/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</row>
    <row r="222" spans="1:26" ht="12.75">
      <c r="A222" s="121"/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</row>
    <row r="223" spans="1:26" ht="12.75">
      <c r="A223" s="121"/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</row>
    <row r="224" spans="1:26" ht="12.75">
      <c r="A224" s="121"/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</row>
    <row r="225" spans="1:26" ht="12.75">
      <c r="A225" s="121"/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</row>
    <row r="226" spans="1:26" ht="12.75">
      <c r="A226" s="121"/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</row>
    <row r="227" spans="1:26" ht="12.75">
      <c r="A227" s="121"/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</row>
    <row r="228" spans="1:26" ht="12.75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</row>
    <row r="229" spans="1:26" ht="12.75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</row>
    <row r="230" spans="1:26" ht="12.75">
      <c r="A230" s="121"/>
      <c r="B230" s="121"/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</row>
    <row r="231" spans="1:26" ht="12.75">
      <c r="A231" s="121"/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</row>
    <row r="232" spans="1:26" ht="12.75">
      <c r="A232" s="121"/>
      <c r="B232" s="121"/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</row>
    <row r="233" spans="1:26" ht="12.75">
      <c r="A233" s="121"/>
      <c r="B233" s="121"/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</row>
    <row r="234" spans="1:26" ht="12.75">
      <c r="A234" s="121"/>
      <c r="B234" s="121"/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</row>
    <row r="235" spans="1:26" ht="12.75">
      <c r="A235" s="121"/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</row>
    <row r="236" spans="1:26" ht="12.75">
      <c r="A236" s="121"/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</row>
    <row r="237" spans="1:26" ht="12.75">
      <c r="A237" s="121"/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</row>
    <row r="238" spans="1:26" ht="12.75">
      <c r="A238" s="121"/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</row>
    <row r="239" spans="1:26" ht="12.75">
      <c r="A239" s="121"/>
      <c r="B239" s="121"/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</row>
    <row r="240" spans="1:26" ht="12.75">
      <c r="A240" s="121"/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</row>
    <row r="241" spans="1:26" ht="12.75">
      <c r="A241" s="121"/>
      <c r="B241" s="121"/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</row>
    <row r="242" spans="1:26" ht="12.75">
      <c r="A242" s="121"/>
      <c r="B242" s="121"/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</row>
    <row r="243" spans="1:26" ht="12.75">
      <c r="A243" s="121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</row>
    <row r="244" spans="1:26" ht="12.75">
      <c r="A244" s="121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</row>
    <row r="245" spans="1:26" ht="12.75">
      <c r="A245" s="121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</row>
    <row r="246" spans="1:26" ht="12.75">
      <c r="A246" s="121"/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</row>
    <row r="247" spans="1:26" ht="12.75">
      <c r="A247" s="121"/>
      <c r="B247" s="121"/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</row>
    <row r="248" spans="1:26" ht="12.75">
      <c r="A248" s="121"/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</row>
    <row r="249" spans="1:26" ht="12.75">
      <c r="A249" s="121"/>
      <c r="B249" s="121"/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</row>
    <row r="250" spans="1:26" ht="12.75">
      <c r="A250" s="121"/>
      <c r="B250" s="121"/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</row>
    <row r="251" spans="1:26" ht="12.75">
      <c r="A251" s="121"/>
      <c r="B251" s="121"/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</row>
    <row r="252" spans="1:26" ht="12.75">
      <c r="A252" s="121"/>
      <c r="B252" s="121"/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</row>
    <row r="253" spans="1:26" ht="12.75">
      <c r="A253" s="121"/>
      <c r="B253" s="121"/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</row>
    <row r="254" spans="1:26" ht="12.75">
      <c r="A254" s="121"/>
      <c r="B254" s="121"/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</row>
    <row r="255" spans="1:26" ht="12.75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</row>
    <row r="256" spans="1:26" ht="12.75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</row>
    <row r="257" spans="1:26" ht="12.75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</row>
    <row r="258" spans="1:26" ht="12.75">
      <c r="A258" s="121"/>
      <c r="B258" s="121"/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</row>
    <row r="259" spans="1:26" ht="12.75">
      <c r="A259" s="121"/>
      <c r="B259" s="121"/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</row>
    <row r="260" spans="1:26" ht="12.75">
      <c r="A260" s="121"/>
      <c r="B260" s="121"/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</row>
    <row r="261" spans="1:26" ht="12.75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</row>
    <row r="262" spans="1:26" ht="12.7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</row>
    <row r="263" spans="1:26" ht="12.75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</row>
    <row r="264" spans="1:26" ht="12.75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</row>
    <row r="265" spans="1:26" ht="12.75">
      <c r="A265" s="121"/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</row>
    <row r="266" spans="1:26" ht="12.75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</row>
    <row r="267" spans="1:26" ht="12.75">
      <c r="A267" s="121"/>
      <c r="B267" s="121"/>
      <c r="C267" s="121"/>
      <c r="D267" s="121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</row>
    <row r="268" spans="1:26" ht="12.75">
      <c r="A268" s="121"/>
      <c r="B268" s="121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</row>
    <row r="269" spans="1:26" ht="12.75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</row>
    <row r="270" spans="1:26" ht="12.75">
      <c r="A270" s="121"/>
      <c r="B270" s="121"/>
      <c r="C270" s="121"/>
      <c r="D270" s="121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</row>
    <row r="271" spans="1:26" ht="12.7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</row>
    <row r="272" spans="1:26" ht="12.75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</row>
    <row r="273" spans="1:26" ht="12.75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</row>
    <row r="274" spans="1:26" ht="12.75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</row>
    <row r="275" spans="1:26" ht="12.75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</row>
    <row r="276" spans="1:26" ht="12.75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</row>
    <row r="277" spans="1:26" ht="12.75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</row>
    <row r="278" spans="1:26" ht="12.75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</row>
    <row r="279" spans="1:26" ht="12.75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</row>
    <row r="280" spans="1:26" ht="12.7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</row>
    <row r="281" spans="1:26" ht="12.75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</row>
    <row r="282" spans="1:26" ht="12.75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</row>
    <row r="283" spans="1:26" ht="12.75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</row>
    <row r="284" spans="1:26" ht="12.75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</row>
    <row r="285" spans="1:26" ht="12.75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</row>
    <row r="286" spans="1:26" ht="12.75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</row>
    <row r="287" spans="1:26" ht="12.75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</row>
    <row r="288" spans="1:26" ht="12.75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</row>
    <row r="289" spans="1:26" ht="12.7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</row>
    <row r="290" spans="1:26" ht="12.75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</row>
    <row r="291" spans="1:26" ht="12.75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</row>
    <row r="292" spans="1:26" ht="12.75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</row>
    <row r="293" spans="1:26" ht="12.75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</row>
    <row r="294" spans="1:26" ht="12.75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</row>
    <row r="295" spans="1:26" ht="12.7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</row>
    <row r="296" spans="1:26" ht="12.7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</row>
    <row r="297" spans="1:26" ht="12.7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</row>
    <row r="298" spans="1:26" ht="12.7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</row>
    <row r="299" spans="1:26" ht="12.7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</row>
    <row r="300" spans="1:26" ht="12.7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</row>
    <row r="301" spans="1:26" ht="12.7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</row>
    <row r="302" spans="1:26" ht="12.7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</row>
    <row r="303" spans="1:26" ht="12.75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</row>
    <row r="304" spans="1:26" ht="12.75">
      <c r="A304" s="121"/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</row>
    <row r="305" spans="1:26" ht="12.75">
      <c r="A305" s="121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</row>
    <row r="306" spans="1:26" ht="12.75">
      <c r="A306" s="121"/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</row>
    <row r="307" spans="1:26" ht="12.7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</row>
    <row r="308" spans="1:26" ht="12.75">
      <c r="A308" s="121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</row>
    <row r="309" spans="1:26" ht="12.75">
      <c r="A309" s="121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</row>
    <row r="310" spans="1:26" ht="12.7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</row>
    <row r="311" spans="1:26" ht="12.75">
      <c r="A311" s="121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</row>
    <row r="312" spans="1:26" ht="12.75">
      <c r="A312" s="121"/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</row>
    <row r="313" spans="1:26" ht="12.75">
      <c r="A313" s="121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</row>
    <row r="314" spans="1:26" ht="12.75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</row>
    <row r="315" spans="1:26" ht="12.75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</row>
    <row r="316" spans="1:26" ht="12.7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</row>
    <row r="317" spans="1:26" ht="12.75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</row>
    <row r="318" spans="1:26" ht="12.75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</row>
    <row r="319" spans="1:26" ht="12.75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</row>
    <row r="320" spans="1:26" ht="12.75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</row>
    <row r="321" spans="1:26" ht="12.7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</row>
    <row r="322" spans="1:26" ht="12.75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</row>
    <row r="323" spans="1:26" ht="12.75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</row>
    <row r="324" spans="1:26" ht="12.75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</row>
    <row r="325" spans="1:26" ht="12.7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</row>
    <row r="326" spans="1:26" ht="12.75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</row>
    <row r="327" spans="1:26" ht="12.75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</row>
    <row r="328" spans="1:26" ht="12.75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</row>
    <row r="329" spans="1:26" ht="12.75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</row>
    <row r="330" spans="1:26" ht="12.75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</row>
    <row r="331" spans="1:26" ht="12.75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</row>
    <row r="332" spans="1:26" ht="12.75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</row>
    <row r="333" spans="1:26" ht="12.75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</row>
    <row r="334" spans="1:26" ht="12.7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</row>
    <row r="335" spans="1:26" ht="12.75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</row>
    <row r="336" spans="1:26" ht="12.75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</row>
    <row r="337" spans="1:26" ht="12.75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</row>
    <row r="338" spans="1:26" ht="12.75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</row>
    <row r="339" spans="1:26" ht="12.75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</row>
    <row r="340" spans="1:26" ht="12.7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</row>
    <row r="341" spans="1:26" ht="12.7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</row>
    <row r="342" spans="1:26" ht="12.7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</row>
    <row r="343" spans="1:26" ht="12.7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</row>
    <row r="344" spans="1:26" ht="12.75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</row>
    <row r="345" spans="1:26" ht="12.75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</row>
    <row r="346" spans="1:26" ht="12.75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</row>
    <row r="347" spans="1:26" ht="12.75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</row>
    <row r="348" spans="1:26" ht="12.75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</row>
    <row r="349" spans="1:26" ht="12.75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</row>
    <row r="350" spans="1:26" ht="12.75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</row>
    <row r="351" spans="1:26" ht="12.75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</row>
    <row r="352" spans="1:26" ht="12.7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</row>
    <row r="353" spans="1:26" ht="12.75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</row>
    <row r="354" spans="1:26" ht="12.75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</row>
    <row r="355" spans="1:26" ht="12.75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</row>
    <row r="356" spans="1:26" ht="12.75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</row>
    <row r="357" spans="1:26" ht="12.75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</row>
    <row r="358" spans="1:26" ht="12.75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</row>
    <row r="359" spans="1:26" ht="12.75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</row>
    <row r="360" spans="1:26" ht="12.75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</row>
    <row r="361" spans="1:26" ht="12.7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</row>
    <row r="362" spans="1:26" ht="12.75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</row>
    <row r="363" spans="1:26" ht="12.75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</row>
    <row r="364" spans="1:26" ht="12.75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</row>
    <row r="365" spans="1:26" ht="12.75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</row>
    <row r="366" spans="1:26" ht="12.75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</row>
    <row r="367" spans="1:26" ht="12.75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</row>
    <row r="368" spans="1:26" ht="12.75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</row>
    <row r="369" spans="1:26" ht="12.75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</row>
    <row r="370" spans="1:26" ht="12.75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</row>
    <row r="371" spans="1:26" ht="12.75">
      <c r="A371" s="121"/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</row>
    <row r="372" spans="1:26" ht="12.75">
      <c r="A372" s="121"/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</row>
    <row r="373" spans="1:26" ht="12.75">
      <c r="A373" s="121"/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</row>
    <row r="374" spans="1:26" ht="12.75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</row>
    <row r="375" spans="1:26" ht="12.75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</row>
    <row r="376" spans="1:26" ht="12.75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</row>
    <row r="377" spans="1:26" ht="12.75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</row>
    <row r="378" spans="1:26" ht="12.75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</row>
    <row r="379" spans="1:26" ht="12.7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</row>
    <row r="380" spans="1:26" ht="12.75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</row>
    <row r="381" spans="1:26" ht="12.75">
      <c r="A381" s="121"/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</row>
    <row r="382" spans="1:26" ht="12.75">
      <c r="A382" s="121"/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</row>
    <row r="383" spans="1:26" ht="12.75">
      <c r="A383" s="121"/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</row>
    <row r="384" spans="1:26" ht="12.75">
      <c r="A384" s="121"/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</row>
    <row r="385" spans="1:26" ht="12.75">
      <c r="A385" s="121"/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</row>
    <row r="386" spans="1:26" ht="12.75">
      <c r="A386" s="121"/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</row>
    <row r="387" spans="1:26" ht="12.75">
      <c r="A387" s="121"/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</row>
    <row r="388" spans="1:26" ht="12.75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</row>
    <row r="389" spans="1:26" ht="12.75">
      <c r="A389" s="121"/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</row>
    <row r="390" spans="1:26" ht="12.75">
      <c r="A390" s="121"/>
      <c r="B390" s="121"/>
      <c r="C390" s="121"/>
      <c r="D390" s="121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</row>
    <row r="391" spans="1:26" ht="12.75">
      <c r="A391" s="121"/>
      <c r="B391" s="121"/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</row>
    <row r="392" spans="1:26" ht="12.75">
      <c r="A392" s="121"/>
      <c r="B392" s="121"/>
      <c r="C392" s="121"/>
      <c r="D392" s="121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</row>
    <row r="393" spans="1:26" ht="12.75">
      <c r="A393" s="121"/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</row>
    <row r="394" spans="1:26" ht="12.75">
      <c r="A394" s="121"/>
      <c r="B394" s="121"/>
      <c r="C394" s="121"/>
      <c r="D394" s="121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</row>
    <row r="395" spans="1:26" ht="12.75">
      <c r="A395" s="121"/>
      <c r="B395" s="121"/>
      <c r="C395" s="121"/>
      <c r="D395" s="121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</row>
    <row r="396" spans="1:26" ht="12.75">
      <c r="A396" s="121"/>
      <c r="B396" s="121"/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</row>
    <row r="397" spans="1:26" ht="12.75">
      <c r="A397" s="121"/>
      <c r="B397" s="121"/>
      <c r="C397" s="121"/>
      <c r="D397" s="121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</row>
    <row r="398" spans="1:26" ht="12.75">
      <c r="A398" s="121"/>
      <c r="B398" s="121"/>
      <c r="C398" s="121"/>
      <c r="D398" s="121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</row>
    <row r="399" spans="1:26" ht="12.75">
      <c r="A399" s="121"/>
      <c r="B399" s="121"/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</row>
    <row r="400" spans="1:26" ht="12.75">
      <c r="A400" s="121"/>
      <c r="B400" s="121"/>
      <c r="C400" s="121"/>
      <c r="D400" s="121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</row>
    <row r="401" spans="1:26" ht="12.75">
      <c r="A401" s="121"/>
      <c r="B401" s="121"/>
      <c r="C401" s="121"/>
      <c r="D401" s="121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</row>
    <row r="402" spans="1:26" ht="12.75">
      <c r="A402" s="121"/>
      <c r="B402" s="121"/>
      <c r="C402" s="121"/>
      <c r="D402" s="121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</row>
    <row r="403" spans="1:26" ht="12.75">
      <c r="A403" s="121"/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</row>
    <row r="404" spans="1:26" ht="12.75">
      <c r="A404" s="121"/>
      <c r="B404" s="121"/>
      <c r="C404" s="121"/>
      <c r="D404" s="121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</row>
    <row r="405" spans="1:26" ht="12.75">
      <c r="A405" s="121"/>
      <c r="B405" s="121"/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</row>
    <row r="406" spans="1:26" ht="12.75">
      <c r="A406" s="121"/>
      <c r="B406" s="121"/>
      <c r="C406" s="121"/>
      <c r="D406" s="121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</row>
    <row r="407" spans="1:26" ht="12.75">
      <c r="A407" s="121"/>
      <c r="B407" s="121"/>
      <c r="C407" s="121"/>
      <c r="D407" s="121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</row>
    <row r="408" spans="1:26" ht="12.75">
      <c r="A408" s="121"/>
      <c r="B408" s="121"/>
      <c r="C408" s="121"/>
      <c r="D408" s="121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</row>
    <row r="409" spans="1:26" ht="12.75">
      <c r="A409" s="121"/>
      <c r="B409" s="121"/>
      <c r="C409" s="121"/>
      <c r="D409" s="121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</row>
    <row r="410" spans="1:26" ht="12.75">
      <c r="A410" s="121"/>
      <c r="B410" s="121"/>
      <c r="C410" s="121"/>
      <c r="D410" s="121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</row>
    <row r="411" spans="1:26" ht="12.75">
      <c r="A411" s="121"/>
      <c r="B411" s="121"/>
      <c r="C411" s="121"/>
      <c r="D411" s="121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</row>
    <row r="412" spans="1:26" ht="12.75">
      <c r="A412" s="121"/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</row>
    <row r="413" spans="1:26" ht="12.75">
      <c r="A413" s="121"/>
      <c r="B413" s="121"/>
      <c r="C413" s="121"/>
      <c r="D413" s="121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</row>
    <row r="414" spans="1:26" ht="12.75">
      <c r="A414" s="121"/>
      <c r="B414" s="121"/>
      <c r="C414" s="121"/>
      <c r="D414" s="121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</row>
    <row r="415" spans="1:26" ht="12.75">
      <c r="A415" s="121"/>
      <c r="B415" s="121"/>
      <c r="C415" s="121"/>
      <c r="D415" s="121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</row>
    <row r="416" spans="1:26" ht="12.75">
      <c r="A416" s="121"/>
      <c r="B416" s="121"/>
      <c r="C416" s="121"/>
      <c r="D416" s="121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</row>
    <row r="417" spans="1:26" ht="12.75">
      <c r="A417" s="121"/>
      <c r="B417" s="121"/>
      <c r="C417" s="121"/>
      <c r="D417" s="121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</row>
    <row r="418" spans="1:26" ht="12.75">
      <c r="A418" s="121"/>
      <c r="B418" s="121"/>
      <c r="C418" s="121"/>
      <c r="D418" s="121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</row>
    <row r="419" spans="1:26" ht="12.75">
      <c r="A419" s="121"/>
      <c r="B419" s="121"/>
      <c r="C419" s="121"/>
      <c r="D419" s="121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</row>
    <row r="420" spans="1:26" ht="12.75">
      <c r="A420" s="121"/>
      <c r="B420" s="121"/>
      <c r="C420" s="121"/>
      <c r="D420" s="121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</row>
    <row r="421" spans="1:26" ht="12.75">
      <c r="A421" s="121"/>
      <c r="B421" s="121"/>
      <c r="C421" s="121"/>
      <c r="D421" s="121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</row>
    <row r="422" spans="1:26" ht="12.75">
      <c r="A422" s="121"/>
      <c r="B422" s="121"/>
      <c r="C422" s="121"/>
      <c r="D422" s="121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</row>
    <row r="423" spans="1:26" ht="12.75">
      <c r="A423" s="121"/>
      <c r="B423" s="121"/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</row>
    <row r="424" spans="1:26" ht="12.75">
      <c r="A424" s="121"/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</row>
    <row r="425" spans="1:26" ht="12.75">
      <c r="A425" s="121"/>
      <c r="B425" s="121"/>
      <c r="C425" s="121"/>
      <c r="D425" s="121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</row>
    <row r="426" spans="1:26" ht="12.75">
      <c r="A426" s="121"/>
      <c r="B426" s="121"/>
      <c r="C426" s="121"/>
      <c r="D426" s="121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</row>
    <row r="427" spans="1:26" ht="12.75">
      <c r="A427" s="121"/>
      <c r="B427" s="121"/>
      <c r="C427" s="121"/>
      <c r="D427" s="121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</row>
    <row r="428" spans="1:26" ht="12.75">
      <c r="A428" s="121"/>
      <c r="B428" s="121"/>
      <c r="C428" s="121"/>
      <c r="D428" s="121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</row>
    <row r="429" spans="1:26" ht="12.75">
      <c r="A429" s="121"/>
      <c r="B429" s="121"/>
      <c r="C429" s="121"/>
      <c r="D429" s="121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</row>
    <row r="430" spans="1:26" ht="12.75">
      <c r="A430" s="121"/>
      <c r="B430" s="121"/>
      <c r="C430" s="121"/>
      <c r="D430" s="121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</row>
    <row r="431" spans="1:26" ht="12.75">
      <c r="A431" s="121"/>
      <c r="B431" s="121"/>
      <c r="C431" s="121"/>
      <c r="D431" s="121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</row>
    <row r="432" spans="1:26" ht="12.75">
      <c r="A432" s="121"/>
      <c r="B432" s="121"/>
      <c r="C432" s="121"/>
      <c r="D432" s="121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</row>
    <row r="433" spans="1:26" ht="12.75">
      <c r="A433" s="121"/>
      <c r="B433" s="121"/>
      <c r="C433" s="121"/>
      <c r="D433" s="121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</row>
    <row r="434" spans="1:26" ht="12.75">
      <c r="A434" s="121"/>
      <c r="B434" s="121"/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</row>
    <row r="435" spans="1:26" ht="12.75">
      <c r="A435" s="121"/>
      <c r="B435" s="121"/>
      <c r="C435" s="121"/>
      <c r="D435" s="121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</row>
    <row r="436" spans="1:26" ht="12.75">
      <c r="A436" s="121"/>
      <c r="B436" s="121"/>
      <c r="C436" s="121"/>
      <c r="D436" s="121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</row>
    <row r="437" spans="1:26" ht="12.75">
      <c r="A437" s="121"/>
      <c r="B437" s="121"/>
      <c r="C437" s="121"/>
      <c r="D437" s="121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</row>
    <row r="438" spans="1:26" ht="12.75">
      <c r="A438" s="121"/>
      <c r="B438" s="121"/>
      <c r="C438" s="121"/>
      <c r="D438" s="121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</row>
    <row r="439" spans="1:26" ht="12.75">
      <c r="A439" s="121"/>
      <c r="B439" s="121"/>
      <c r="C439" s="121"/>
      <c r="D439" s="121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</row>
    <row r="440" spans="1:26" ht="12.75">
      <c r="A440" s="121"/>
      <c r="B440" s="121"/>
      <c r="C440" s="121"/>
      <c r="D440" s="121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</row>
    <row r="441" spans="1:26" ht="12.75">
      <c r="A441" s="121"/>
      <c r="B441" s="121"/>
      <c r="C441" s="121"/>
      <c r="D441" s="121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</row>
    <row r="442" spans="1:26" ht="12.75">
      <c r="A442" s="121"/>
      <c r="B442" s="121"/>
      <c r="C442" s="121"/>
      <c r="D442" s="121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</row>
    <row r="443" spans="1:26" ht="12.75">
      <c r="A443" s="121"/>
      <c r="B443" s="121"/>
      <c r="C443" s="121"/>
      <c r="D443" s="121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</row>
    <row r="444" spans="1:26" ht="12.75">
      <c r="A444" s="121"/>
      <c r="B444" s="121"/>
      <c r="C444" s="121"/>
      <c r="D444" s="121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</row>
    <row r="445" spans="1:26" ht="12.75">
      <c r="A445" s="121"/>
      <c r="B445" s="121"/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</row>
    <row r="446" spans="1:26" ht="12.75">
      <c r="A446" s="121"/>
      <c r="B446" s="121"/>
      <c r="C446" s="121"/>
      <c r="D446" s="121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</row>
    <row r="447" spans="1:26" ht="12.75">
      <c r="A447" s="121"/>
      <c r="B447" s="121"/>
      <c r="C447" s="121"/>
      <c r="D447" s="121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</row>
    <row r="448" spans="1:26" ht="12.75">
      <c r="A448" s="121"/>
      <c r="B448" s="121"/>
      <c r="C448" s="121"/>
      <c r="D448" s="121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</row>
    <row r="449" spans="1:26" ht="12.75">
      <c r="A449" s="121"/>
      <c r="B449" s="121"/>
      <c r="C449" s="121"/>
      <c r="D449" s="121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</row>
    <row r="450" spans="1:26" ht="12.75">
      <c r="A450" s="121"/>
      <c r="B450" s="121"/>
      <c r="C450" s="121"/>
      <c r="D450" s="121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</row>
    <row r="451" spans="1:26" ht="12.75">
      <c r="A451" s="121"/>
      <c r="B451" s="121"/>
      <c r="C451" s="121"/>
      <c r="D451" s="121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</row>
    <row r="452" spans="1:26" ht="12.75">
      <c r="A452" s="121"/>
      <c r="B452" s="121"/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</row>
    <row r="453" spans="1:26" ht="12.75">
      <c r="A453" s="121"/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</row>
    <row r="454" spans="1:26" ht="12.75">
      <c r="A454" s="121"/>
      <c r="B454" s="121"/>
      <c r="C454" s="121"/>
      <c r="D454" s="121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</row>
    <row r="455" spans="1:26" ht="12.75">
      <c r="A455" s="121"/>
      <c r="B455" s="121"/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</row>
    <row r="456" spans="1:26" ht="12.75">
      <c r="A456" s="121"/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</row>
    <row r="457" spans="1:26" ht="12.75">
      <c r="A457" s="121"/>
      <c r="B457" s="121"/>
      <c r="C457" s="121"/>
      <c r="D457" s="121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</row>
    <row r="458" spans="1:26" ht="12.75">
      <c r="A458" s="121"/>
      <c r="B458" s="121"/>
      <c r="C458" s="121"/>
      <c r="D458" s="121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</row>
    <row r="459" spans="1:26" ht="12.75">
      <c r="A459" s="121"/>
      <c r="B459" s="121"/>
      <c r="C459" s="121"/>
      <c r="D459" s="121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</row>
    <row r="460" spans="1:26" ht="12.75">
      <c r="A460" s="121"/>
      <c r="B460" s="121"/>
      <c r="C460" s="121"/>
      <c r="D460" s="121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</row>
    <row r="461" spans="1:26" ht="12.75">
      <c r="A461" s="121"/>
      <c r="B461" s="121"/>
      <c r="C461" s="121"/>
      <c r="D461" s="121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</row>
    <row r="462" spans="1:26" ht="12.75">
      <c r="A462" s="121"/>
      <c r="B462" s="121"/>
      <c r="C462" s="121"/>
      <c r="D462" s="121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</row>
    <row r="463" spans="1:26" ht="12.75">
      <c r="A463" s="121"/>
      <c r="B463" s="121"/>
      <c r="C463" s="121"/>
      <c r="D463" s="121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</row>
    <row r="464" spans="1:26" ht="12.75">
      <c r="A464" s="121"/>
      <c r="B464" s="121"/>
      <c r="C464" s="121"/>
      <c r="D464" s="121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</row>
    <row r="465" spans="1:26" ht="12.75">
      <c r="A465" s="121"/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</row>
    <row r="466" spans="1:26" ht="12.75">
      <c r="A466" s="121"/>
      <c r="B466" s="121"/>
      <c r="C466" s="121"/>
      <c r="D466" s="121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</row>
    <row r="467" spans="1:26" ht="12.75">
      <c r="A467" s="121"/>
      <c r="B467" s="121"/>
      <c r="C467" s="121"/>
      <c r="D467" s="121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</row>
    <row r="468" spans="1:26" ht="12.75">
      <c r="A468" s="121"/>
      <c r="B468" s="121"/>
      <c r="C468" s="121"/>
      <c r="D468" s="121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</row>
    <row r="469" spans="1:26" ht="12.75">
      <c r="A469" s="121"/>
      <c r="B469" s="121"/>
      <c r="C469" s="121"/>
      <c r="D469" s="121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</row>
    <row r="470" spans="1:26" ht="12.75">
      <c r="A470" s="121"/>
      <c r="B470" s="121"/>
      <c r="C470" s="121"/>
      <c r="D470" s="121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</row>
    <row r="471" spans="1:26" ht="12.75">
      <c r="A471" s="121"/>
      <c r="B471" s="121"/>
      <c r="C471" s="121"/>
      <c r="D471" s="121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</row>
    <row r="472" spans="1:26" ht="12.75">
      <c r="A472" s="121"/>
      <c r="B472" s="121"/>
      <c r="C472" s="121"/>
      <c r="D472" s="121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</row>
    <row r="473" spans="1:26" ht="12.75">
      <c r="A473" s="121"/>
      <c r="B473" s="121"/>
      <c r="C473" s="121"/>
      <c r="D473" s="121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</row>
    <row r="474" spans="1:26" ht="12.75">
      <c r="A474" s="121"/>
      <c r="B474" s="121"/>
      <c r="C474" s="121"/>
      <c r="D474" s="121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</row>
    <row r="475" spans="1:26" ht="12.75">
      <c r="A475" s="121"/>
      <c r="B475" s="121"/>
      <c r="C475" s="121"/>
      <c r="D475" s="121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</row>
    <row r="476" spans="1:26" ht="12.75">
      <c r="A476" s="121"/>
      <c r="B476" s="121"/>
      <c r="C476" s="121"/>
      <c r="D476" s="121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</row>
    <row r="477" spans="1:26" ht="12.75">
      <c r="A477" s="121"/>
      <c r="B477" s="121"/>
      <c r="C477" s="121"/>
      <c r="D477" s="121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</row>
    <row r="478" spans="1:26" ht="12.75">
      <c r="A478" s="121"/>
      <c r="B478" s="121"/>
      <c r="C478" s="121"/>
      <c r="D478" s="121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</row>
    <row r="479" spans="1:26" ht="12.75">
      <c r="A479" s="121"/>
      <c r="B479" s="121"/>
      <c r="C479" s="121"/>
      <c r="D479" s="121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</row>
    <row r="480" spans="1:26" ht="12.75">
      <c r="A480" s="121"/>
      <c r="B480" s="121"/>
      <c r="C480" s="121"/>
      <c r="D480" s="121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</row>
    <row r="481" spans="1:26" ht="12.75">
      <c r="A481" s="121"/>
      <c r="B481" s="121"/>
      <c r="C481" s="121"/>
      <c r="D481" s="121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</row>
    <row r="482" spans="1:26" ht="12.75">
      <c r="A482" s="121"/>
      <c r="B482" s="121"/>
      <c r="C482" s="121"/>
      <c r="D482" s="121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</row>
    <row r="483" spans="1:26" ht="12.75">
      <c r="A483" s="121"/>
      <c r="B483" s="121"/>
      <c r="C483" s="121"/>
      <c r="D483" s="121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</row>
    <row r="484" spans="1:26" ht="12.75">
      <c r="A484" s="121"/>
      <c r="B484" s="121"/>
      <c r="C484" s="121"/>
      <c r="D484" s="121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</row>
    <row r="485" spans="1:26" ht="12.75">
      <c r="A485" s="121"/>
      <c r="B485" s="121"/>
      <c r="C485" s="121"/>
      <c r="D485" s="121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</row>
    <row r="486" spans="1:26" ht="12.75">
      <c r="A486" s="121"/>
      <c r="B486" s="121"/>
      <c r="C486" s="121"/>
      <c r="D486" s="121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</row>
    <row r="487" spans="1:26" ht="12.75">
      <c r="A487" s="121"/>
      <c r="B487" s="121"/>
      <c r="C487" s="121"/>
      <c r="D487" s="121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</row>
    <row r="488" spans="1:26" ht="12.75">
      <c r="A488" s="121"/>
      <c r="B488" s="121"/>
      <c r="C488" s="121"/>
      <c r="D488" s="121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</row>
    <row r="489" spans="1:26" ht="12.75">
      <c r="A489" s="121"/>
      <c r="B489" s="121"/>
      <c r="C489" s="121"/>
      <c r="D489" s="121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</row>
    <row r="490" spans="1:26" ht="12.75">
      <c r="A490" s="121"/>
      <c r="B490" s="121"/>
      <c r="C490" s="121"/>
      <c r="D490" s="121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</row>
    <row r="491" spans="1:26" ht="12.75">
      <c r="A491" s="121"/>
      <c r="B491" s="121"/>
      <c r="C491" s="121"/>
      <c r="D491" s="121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</row>
    <row r="492" spans="1:26" ht="12.75">
      <c r="A492" s="121"/>
      <c r="B492" s="121"/>
      <c r="C492" s="121"/>
      <c r="D492" s="121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</row>
    <row r="493" spans="1:26" ht="12.75">
      <c r="A493" s="121"/>
      <c r="B493" s="121"/>
      <c r="C493" s="121"/>
      <c r="D493" s="121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</row>
    <row r="494" spans="1:26" ht="12.75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</row>
    <row r="495" spans="1:26" ht="12.75">
      <c r="A495" s="121"/>
      <c r="B495" s="121"/>
      <c r="C495" s="121"/>
      <c r="D495" s="121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</row>
    <row r="496" spans="1:26" ht="12.75">
      <c r="A496" s="121"/>
      <c r="B496" s="121"/>
      <c r="C496" s="121"/>
      <c r="D496" s="121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</row>
    <row r="497" spans="1:26" ht="12.75">
      <c r="A497" s="121"/>
      <c r="B497" s="121"/>
      <c r="C497" s="121"/>
      <c r="D497" s="121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</row>
    <row r="498" spans="1:26" ht="12.75">
      <c r="A498" s="121"/>
      <c r="B498" s="121"/>
      <c r="C498" s="121"/>
      <c r="D498" s="121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</row>
    <row r="499" spans="1:26" ht="12.75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</row>
    <row r="500" spans="1:26" ht="12.75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</row>
    <row r="501" spans="1:26" ht="12.75">
      <c r="A501" s="121"/>
      <c r="B501" s="121"/>
      <c r="C501" s="121"/>
      <c r="D501" s="121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</row>
    <row r="502" spans="1:26" ht="12.75">
      <c r="A502" s="121"/>
      <c r="B502" s="121"/>
      <c r="C502" s="121"/>
      <c r="D502" s="121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</row>
    <row r="503" spans="1:26" ht="12.75">
      <c r="A503" s="121"/>
      <c r="B503" s="121"/>
      <c r="C503" s="121"/>
      <c r="D503" s="121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</row>
    <row r="504" spans="1:26" ht="12.75">
      <c r="A504" s="121"/>
      <c r="B504" s="121"/>
      <c r="C504" s="121"/>
      <c r="D504" s="121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</row>
    <row r="505" spans="1:26" ht="12.75">
      <c r="A505" s="121"/>
      <c r="B505" s="121"/>
      <c r="C505" s="121"/>
      <c r="D505" s="121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</row>
    <row r="506" spans="1:26" ht="12.75">
      <c r="A506" s="121"/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</row>
    <row r="507" spans="1:26" ht="12.75">
      <c r="A507" s="121"/>
      <c r="B507" s="121"/>
      <c r="C507" s="121"/>
      <c r="D507" s="121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</row>
    <row r="508" spans="1:26" ht="12.75">
      <c r="A508" s="121"/>
      <c r="B508" s="121"/>
      <c r="C508" s="121"/>
      <c r="D508" s="121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</row>
    <row r="509" spans="1:26" ht="12.75">
      <c r="A509" s="121"/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</row>
    <row r="510" spans="1:26" ht="12.75">
      <c r="A510" s="121"/>
      <c r="B510" s="121"/>
      <c r="C510" s="121"/>
      <c r="D510" s="121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</row>
    <row r="511" spans="1:26" ht="12.75">
      <c r="A511" s="121"/>
      <c r="B511" s="121"/>
      <c r="C511" s="121"/>
      <c r="D511" s="121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</row>
    <row r="512" spans="1:26" ht="12.75">
      <c r="A512" s="121"/>
      <c r="B512" s="121"/>
      <c r="C512" s="121"/>
      <c r="D512" s="121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</row>
    <row r="513" spans="1:26" ht="12.75">
      <c r="A513" s="121"/>
      <c r="B513" s="121"/>
      <c r="C513" s="121"/>
      <c r="D513" s="121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</row>
    <row r="514" spans="1:26" ht="12.75">
      <c r="A514" s="121"/>
      <c r="B514" s="121"/>
      <c r="C514" s="121"/>
      <c r="D514" s="121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</row>
    <row r="515" spans="1:26" ht="12.75">
      <c r="A515" s="121"/>
      <c r="B515" s="121"/>
      <c r="C515" s="121"/>
      <c r="D515" s="121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</row>
    <row r="516" spans="1:26" ht="12.75">
      <c r="A516" s="121"/>
      <c r="B516" s="121"/>
      <c r="C516" s="121"/>
      <c r="D516" s="121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</row>
    <row r="517" spans="1:26" ht="12.75">
      <c r="A517" s="121"/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</row>
    <row r="518" spans="1:26" ht="12.75">
      <c r="A518" s="121"/>
      <c r="B518" s="121"/>
      <c r="C518" s="121"/>
      <c r="D518" s="121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</row>
    <row r="519" spans="1:26" ht="12.75">
      <c r="A519" s="121"/>
      <c r="B519" s="121"/>
      <c r="C519" s="121"/>
      <c r="D519" s="121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</row>
    <row r="520" spans="1:26" ht="12.75">
      <c r="A520" s="121"/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</row>
    <row r="521" spans="1:26" ht="12.75">
      <c r="A521" s="121"/>
      <c r="B521" s="121"/>
      <c r="C521" s="121"/>
      <c r="D521" s="121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</row>
    <row r="522" spans="1:26" ht="12.75">
      <c r="A522" s="121"/>
      <c r="B522" s="121"/>
      <c r="C522" s="121"/>
      <c r="D522" s="121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</row>
    <row r="523" spans="1:26" ht="12.75">
      <c r="A523" s="121"/>
      <c r="B523" s="121"/>
      <c r="C523" s="121"/>
      <c r="D523" s="121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</row>
    <row r="524" spans="1:26" ht="12.75">
      <c r="A524" s="121"/>
      <c r="B524" s="121"/>
      <c r="C524" s="121"/>
      <c r="D524" s="121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</row>
    <row r="525" spans="1:26" ht="12.75">
      <c r="A525" s="121"/>
      <c r="B525" s="121"/>
      <c r="C525" s="121"/>
      <c r="D525" s="121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</row>
    <row r="526" spans="1:26" ht="12.75">
      <c r="A526" s="121"/>
      <c r="B526" s="121"/>
      <c r="C526" s="121"/>
      <c r="D526" s="121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</row>
    <row r="527" spans="1:26" ht="12.75">
      <c r="A527" s="121"/>
      <c r="B527" s="121"/>
      <c r="C527" s="121"/>
      <c r="D527" s="121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</row>
    <row r="528" spans="1:26" ht="12.75">
      <c r="A528" s="121"/>
      <c r="B528" s="121"/>
      <c r="C528" s="121"/>
      <c r="D528" s="121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</row>
    <row r="529" spans="1:26" ht="12.75">
      <c r="A529" s="121"/>
      <c r="B529" s="121"/>
      <c r="C529" s="121"/>
      <c r="D529" s="121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</row>
    <row r="530" spans="1:26" ht="12.75">
      <c r="A530" s="121"/>
      <c r="B530" s="121"/>
      <c r="C530" s="121"/>
      <c r="D530" s="121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</row>
    <row r="531" spans="1:26" ht="12.75">
      <c r="A531" s="121"/>
      <c r="B531" s="121"/>
      <c r="C531" s="121"/>
      <c r="D531" s="121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</row>
    <row r="532" spans="1:26" ht="12.75">
      <c r="A532" s="121"/>
      <c r="B532" s="121"/>
      <c r="C532" s="121"/>
      <c r="D532" s="121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</row>
    <row r="533" spans="1:26" ht="12.75">
      <c r="A533" s="121"/>
      <c r="B533" s="121"/>
      <c r="C533" s="121"/>
      <c r="D533" s="121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</row>
    <row r="534" spans="1:26" ht="12.75">
      <c r="A534" s="121"/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</row>
    <row r="535" spans="1:26" ht="12.75">
      <c r="A535" s="121"/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</row>
    <row r="536" spans="1:26" ht="12.75">
      <c r="A536" s="121"/>
      <c r="B536" s="121"/>
      <c r="C536" s="121"/>
      <c r="D536" s="121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</row>
    <row r="537" spans="1:26" ht="12.75">
      <c r="A537" s="121"/>
      <c r="B537" s="121"/>
      <c r="C537" s="121"/>
      <c r="D537" s="121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</row>
    <row r="538" spans="1:26" ht="12.75">
      <c r="A538" s="121"/>
      <c r="B538" s="121"/>
      <c r="C538" s="121"/>
      <c r="D538" s="121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</row>
    <row r="539" spans="1:26" ht="12.75">
      <c r="A539" s="121"/>
      <c r="B539" s="121"/>
      <c r="C539" s="121"/>
      <c r="D539" s="121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</row>
    <row r="540" spans="1:26" ht="12.75">
      <c r="A540" s="121"/>
      <c r="B540" s="121"/>
      <c r="C540" s="121"/>
      <c r="D540" s="121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</row>
    <row r="541" spans="1:26" ht="12.75">
      <c r="A541" s="121"/>
      <c r="B541" s="121"/>
      <c r="C541" s="121"/>
      <c r="D541" s="121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</row>
    <row r="542" spans="1:26" ht="12.75">
      <c r="A542" s="121"/>
      <c r="B542" s="121"/>
      <c r="C542" s="121"/>
      <c r="D542" s="121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</row>
    <row r="543" spans="1:26" ht="12.75">
      <c r="A543" s="121"/>
      <c r="B543" s="121"/>
      <c r="C543" s="121"/>
      <c r="D543" s="121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</row>
    <row r="544" spans="1:26" ht="12.75">
      <c r="A544" s="121"/>
      <c r="B544" s="121"/>
      <c r="C544" s="121"/>
      <c r="D544" s="121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</row>
    <row r="545" spans="1:26" ht="12.75">
      <c r="A545" s="121"/>
      <c r="B545" s="121"/>
      <c r="C545" s="121"/>
      <c r="D545" s="121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</row>
    <row r="546" spans="1:26" ht="12.75">
      <c r="A546" s="121"/>
      <c r="B546" s="121"/>
      <c r="C546" s="121"/>
      <c r="D546" s="121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</row>
    <row r="547" spans="1:26" ht="12.75">
      <c r="A547" s="121"/>
      <c r="B547" s="121"/>
      <c r="C547" s="121"/>
      <c r="D547" s="121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</row>
    <row r="548" spans="1:26" ht="12.75">
      <c r="A548" s="121"/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</row>
    <row r="549" spans="1:26" ht="12.75">
      <c r="A549" s="121"/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</row>
    <row r="550" spans="1:26" ht="12.75">
      <c r="A550" s="121"/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</row>
    <row r="551" spans="1:26" ht="12.75">
      <c r="A551" s="121"/>
      <c r="B551" s="121"/>
      <c r="C551" s="121"/>
      <c r="D551" s="121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</row>
    <row r="552" spans="1:26" ht="12.75">
      <c r="A552" s="121"/>
      <c r="B552" s="121"/>
      <c r="C552" s="121"/>
      <c r="D552" s="121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</row>
    <row r="553" spans="1:26" ht="12.75">
      <c r="A553" s="121"/>
      <c r="B553" s="121"/>
      <c r="C553" s="121"/>
      <c r="D553" s="121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</row>
    <row r="554" spans="1:26" ht="12.75">
      <c r="A554" s="121"/>
      <c r="B554" s="121"/>
      <c r="C554" s="121"/>
      <c r="D554" s="121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</row>
    <row r="555" spans="1:26" ht="12.75">
      <c r="A555" s="121"/>
      <c r="B555" s="121"/>
      <c r="C555" s="121"/>
      <c r="D555" s="121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</row>
    <row r="556" spans="1:26" ht="12.75">
      <c r="A556" s="121"/>
      <c r="B556" s="121"/>
      <c r="C556" s="121"/>
      <c r="D556" s="121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</row>
    <row r="557" spans="1:26" ht="12.75">
      <c r="A557" s="121"/>
      <c r="B557" s="121"/>
      <c r="C557" s="121"/>
      <c r="D557" s="121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</row>
    <row r="558" spans="1:26" ht="12.75">
      <c r="A558" s="121"/>
      <c r="B558" s="121"/>
      <c r="C558" s="121"/>
      <c r="D558" s="121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</row>
    <row r="559" spans="1:26" ht="12.75">
      <c r="A559" s="121"/>
      <c r="B559" s="121"/>
      <c r="C559" s="121"/>
      <c r="D559" s="121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</row>
    <row r="560" spans="1:26" ht="12.75">
      <c r="A560" s="121"/>
      <c r="B560" s="121"/>
      <c r="C560" s="121"/>
      <c r="D560" s="121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</row>
    <row r="561" spans="1:26" ht="12.75">
      <c r="A561" s="121"/>
      <c r="B561" s="121"/>
      <c r="C561" s="121"/>
      <c r="D561" s="121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</row>
    <row r="562" spans="1:26" ht="12.75">
      <c r="A562" s="121"/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</row>
    <row r="563" spans="1:26" ht="12.75">
      <c r="A563" s="121"/>
      <c r="B563" s="121"/>
      <c r="C563" s="121"/>
      <c r="D563" s="121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</row>
    <row r="564" spans="1:26" ht="12.75">
      <c r="A564" s="121"/>
      <c r="B564" s="121"/>
      <c r="C564" s="121"/>
      <c r="D564" s="121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</row>
    <row r="565" spans="1:26" ht="12.75">
      <c r="A565" s="121"/>
      <c r="B565" s="121"/>
      <c r="C565" s="121"/>
      <c r="D565" s="121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</row>
    <row r="566" spans="1:26" ht="12.75">
      <c r="A566" s="121"/>
      <c r="B566" s="121"/>
      <c r="C566" s="121"/>
      <c r="D566" s="121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</row>
    <row r="567" spans="1:26" ht="12.75">
      <c r="A567" s="121"/>
      <c r="B567" s="121"/>
      <c r="C567" s="121"/>
      <c r="D567" s="121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</row>
    <row r="568" spans="1:26" ht="12.75">
      <c r="A568" s="121"/>
      <c r="B568" s="121"/>
      <c r="C568" s="121"/>
      <c r="D568" s="121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</row>
    <row r="569" spans="1:26" ht="12.75">
      <c r="A569" s="121"/>
      <c r="B569" s="121"/>
      <c r="C569" s="121"/>
      <c r="D569" s="121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</row>
    <row r="570" spans="1:26" ht="12.75">
      <c r="A570" s="121"/>
      <c r="B570" s="121"/>
      <c r="C570" s="121"/>
      <c r="D570" s="121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</row>
    <row r="571" spans="1:26" ht="12.75">
      <c r="A571" s="121"/>
      <c r="B571" s="121"/>
      <c r="C571" s="121"/>
      <c r="D571" s="121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</row>
    <row r="572" spans="1:26" ht="12.75">
      <c r="A572" s="121"/>
      <c r="B572" s="121"/>
      <c r="C572" s="121"/>
      <c r="D572" s="121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</row>
    <row r="573" spans="1:26" ht="12.75">
      <c r="A573" s="121"/>
      <c r="B573" s="121"/>
      <c r="C573" s="121"/>
      <c r="D573" s="121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</row>
    <row r="574" spans="1:26" ht="12.75">
      <c r="A574" s="121"/>
      <c r="B574" s="121"/>
      <c r="C574" s="121"/>
      <c r="D574" s="121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</row>
    <row r="575" spans="1:26" ht="12.75">
      <c r="A575" s="121"/>
      <c r="B575" s="121"/>
      <c r="C575" s="121"/>
      <c r="D575" s="121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</row>
    <row r="576" spans="1:26" ht="12.75">
      <c r="A576" s="121"/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</row>
    <row r="577" spans="1:26" ht="12.75">
      <c r="A577" s="121"/>
      <c r="B577" s="121"/>
      <c r="C577" s="121"/>
      <c r="D577" s="121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</row>
    <row r="578" spans="1:26" ht="12.75">
      <c r="A578" s="121"/>
      <c r="B578" s="121"/>
      <c r="C578" s="121"/>
      <c r="D578" s="121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</row>
    <row r="579" spans="1:26" ht="12.75">
      <c r="A579" s="121"/>
      <c r="B579" s="121"/>
      <c r="C579" s="121"/>
      <c r="D579" s="121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</row>
    <row r="580" spans="1:26" ht="12.75">
      <c r="A580" s="121"/>
      <c r="B580" s="121"/>
      <c r="C580" s="121"/>
      <c r="D580" s="121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</row>
    <row r="581" spans="1:26" ht="12.75">
      <c r="A581" s="121"/>
      <c r="B581" s="121"/>
      <c r="C581" s="121"/>
      <c r="D581" s="121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</row>
    <row r="582" spans="1:26" ht="12.75">
      <c r="A582" s="121"/>
      <c r="B582" s="121"/>
      <c r="C582" s="121"/>
      <c r="D582" s="121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</row>
    <row r="583" spans="1:26" ht="12.75">
      <c r="A583" s="121"/>
      <c r="B583" s="121"/>
      <c r="C583" s="121"/>
      <c r="D583" s="121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</row>
    <row r="584" spans="1:26" ht="12.75">
      <c r="A584" s="121"/>
      <c r="B584" s="121"/>
      <c r="C584" s="121"/>
      <c r="D584" s="121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</row>
    <row r="585" spans="1:26" ht="12.75">
      <c r="A585" s="121"/>
      <c r="B585" s="121"/>
      <c r="C585" s="121"/>
      <c r="D585" s="121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</row>
    <row r="586" spans="1:26" ht="12.75">
      <c r="A586" s="121"/>
      <c r="B586" s="121"/>
      <c r="C586" s="121"/>
      <c r="D586" s="121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</row>
    <row r="587" spans="1:26" ht="12.75">
      <c r="A587" s="121"/>
      <c r="B587" s="121"/>
      <c r="C587" s="121"/>
      <c r="D587" s="121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</row>
    <row r="588" spans="1:26" ht="12.75">
      <c r="A588" s="121"/>
      <c r="B588" s="121"/>
      <c r="C588" s="121"/>
      <c r="D588" s="121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</row>
    <row r="589" spans="1:26" ht="12.75">
      <c r="A589" s="121"/>
      <c r="B589" s="121"/>
      <c r="C589" s="121"/>
      <c r="D589" s="121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</row>
    <row r="590" spans="1:26" ht="12.75">
      <c r="A590" s="121"/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</row>
    <row r="591" spans="1:26" ht="12.75">
      <c r="A591" s="121"/>
      <c r="B591" s="121"/>
      <c r="C591" s="121"/>
      <c r="D591" s="121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</row>
    <row r="592" spans="1:26" ht="12.75">
      <c r="A592" s="121"/>
      <c r="B592" s="121"/>
      <c r="C592" s="121"/>
      <c r="D592" s="121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</row>
    <row r="593" spans="1:26" ht="12.75">
      <c r="A593" s="121"/>
      <c r="B593" s="121"/>
      <c r="C593" s="121"/>
      <c r="D593" s="121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</row>
    <row r="594" spans="1:26" ht="12.75">
      <c r="A594" s="121"/>
      <c r="B594" s="121"/>
      <c r="C594" s="121"/>
      <c r="D594" s="121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</row>
    <row r="595" spans="1:26" ht="12.75">
      <c r="A595" s="121"/>
      <c r="B595" s="121"/>
      <c r="C595" s="121"/>
      <c r="D595" s="121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</row>
    <row r="596" spans="1:26" ht="12.75">
      <c r="A596" s="121"/>
      <c r="B596" s="121"/>
      <c r="C596" s="121"/>
      <c r="D596" s="121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</row>
    <row r="597" spans="1:26" ht="12.75">
      <c r="A597" s="121"/>
      <c r="B597" s="121"/>
      <c r="C597" s="121"/>
      <c r="D597" s="121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</row>
    <row r="598" spans="1:26" ht="12.75">
      <c r="A598" s="121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</row>
    <row r="599" spans="1:26" ht="12.75">
      <c r="A599" s="121"/>
      <c r="B599" s="121"/>
      <c r="C599" s="121"/>
      <c r="D599" s="121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</row>
    <row r="600" spans="1:26" ht="12.75">
      <c r="A600" s="121"/>
      <c r="B600" s="121"/>
      <c r="C600" s="121"/>
      <c r="D600" s="121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</row>
    <row r="601" spans="1:26" ht="12.75">
      <c r="A601" s="121"/>
      <c r="B601" s="121"/>
      <c r="C601" s="121"/>
      <c r="D601" s="121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</row>
    <row r="602" spans="1:26" ht="12.75">
      <c r="A602" s="121"/>
      <c r="B602" s="121"/>
      <c r="C602" s="121"/>
      <c r="D602" s="121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</row>
    <row r="603" spans="1:26" ht="12.75">
      <c r="A603" s="121"/>
      <c r="B603" s="121"/>
      <c r="C603" s="121"/>
      <c r="D603" s="121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</row>
    <row r="604" spans="1:26" ht="12.75">
      <c r="A604" s="121"/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</row>
    <row r="605" spans="1:26" ht="12.75">
      <c r="A605" s="121"/>
      <c r="B605" s="121"/>
      <c r="C605" s="121"/>
      <c r="D605" s="121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</row>
    <row r="606" spans="1:26" ht="12.75">
      <c r="A606" s="121"/>
      <c r="B606" s="121"/>
      <c r="C606" s="121"/>
      <c r="D606" s="121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</row>
    <row r="607" spans="1:26" ht="12.75">
      <c r="A607" s="121"/>
      <c r="B607" s="121"/>
      <c r="C607" s="121"/>
      <c r="D607" s="121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</row>
    <row r="608" spans="1:26" ht="12.75">
      <c r="A608" s="121"/>
      <c r="B608" s="121"/>
      <c r="C608" s="121"/>
      <c r="D608" s="121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</row>
    <row r="609" spans="1:26" ht="12.75">
      <c r="A609" s="121"/>
      <c r="B609" s="121"/>
      <c r="C609" s="121"/>
      <c r="D609" s="121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</row>
    <row r="610" spans="1:26" ht="12.75">
      <c r="A610" s="121"/>
      <c r="B610" s="121"/>
      <c r="C610" s="121"/>
      <c r="D610" s="121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</row>
    <row r="611" spans="1:26" ht="12.75">
      <c r="A611" s="121"/>
      <c r="B611" s="121"/>
      <c r="C611" s="121"/>
      <c r="D611" s="121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</row>
    <row r="612" spans="1:26" ht="12.75">
      <c r="A612" s="121"/>
      <c r="B612" s="121"/>
      <c r="C612" s="121"/>
      <c r="D612" s="121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</row>
    <row r="613" spans="1:26" ht="12.75">
      <c r="A613" s="121"/>
      <c r="B613" s="121"/>
      <c r="C613" s="121"/>
      <c r="D613" s="121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</row>
    <row r="614" spans="1:26" ht="12.75">
      <c r="A614" s="121"/>
      <c r="B614" s="121"/>
      <c r="C614" s="121"/>
      <c r="D614" s="121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</row>
    <row r="615" spans="1:26" ht="12.75">
      <c r="A615" s="121"/>
      <c r="B615" s="121"/>
      <c r="C615" s="121"/>
      <c r="D615" s="121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</row>
    <row r="616" spans="1:26" ht="12.75">
      <c r="A616" s="121"/>
      <c r="B616" s="121"/>
      <c r="C616" s="121"/>
      <c r="D616" s="121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</row>
    <row r="617" spans="1:26" ht="12.75">
      <c r="A617" s="121"/>
      <c r="B617" s="121"/>
      <c r="C617" s="121"/>
      <c r="D617" s="121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</row>
    <row r="618" spans="1:26" ht="12.75">
      <c r="A618" s="121"/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</row>
    <row r="619" spans="1:26" ht="12.75">
      <c r="A619" s="121"/>
      <c r="B619" s="121"/>
      <c r="C619" s="121"/>
      <c r="D619" s="121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</row>
    <row r="620" spans="1:26" ht="12.75">
      <c r="A620" s="121"/>
      <c r="B620" s="121"/>
      <c r="C620" s="121"/>
      <c r="D620" s="121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</row>
    <row r="621" spans="1:26" ht="12.75">
      <c r="A621" s="121"/>
      <c r="B621" s="121"/>
      <c r="C621" s="121"/>
      <c r="D621" s="121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</row>
    <row r="622" spans="1:26" ht="12.75">
      <c r="A622" s="121"/>
      <c r="B622" s="121"/>
      <c r="C622" s="121"/>
      <c r="D622" s="121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</row>
    <row r="623" spans="1:26" ht="12.75">
      <c r="A623" s="121"/>
      <c r="B623" s="121"/>
      <c r="C623" s="121"/>
      <c r="D623" s="121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</row>
    <row r="624" spans="1:26" ht="12.75">
      <c r="A624" s="121"/>
      <c r="B624" s="121"/>
      <c r="C624" s="121"/>
      <c r="D624" s="121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</row>
    <row r="625" spans="1:26" ht="12.75">
      <c r="A625" s="121"/>
      <c r="B625" s="121"/>
      <c r="C625" s="121"/>
      <c r="D625" s="121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</row>
    <row r="626" spans="1:26" ht="12.75">
      <c r="A626" s="121"/>
      <c r="B626" s="121"/>
      <c r="C626" s="121"/>
      <c r="D626" s="121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</row>
    <row r="627" spans="1:26" ht="12.75">
      <c r="A627" s="121"/>
      <c r="B627" s="121"/>
      <c r="C627" s="121"/>
      <c r="D627" s="121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</row>
    <row r="628" spans="1:26" ht="12.75">
      <c r="A628" s="121"/>
      <c r="B628" s="121"/>
      <c r="C628" s="121"/>
      <c r="D628" s="121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</row>
    <row r="629" spans="1:26" ht="12.75">
      <c r="A629" s="121"/>
      <c r="B629" s="121"/>
      <c r="C629" s="121"/>
      <c r="D629" s="121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</row>
    <row r="630" spans="1:26" ht="12.75">
      <c r="A630" s="121"/>
      <c r="B630" s="121"/>
      <c r="C630" s="121"/>
      <c r="D630" s="121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</row>
    <row r="631" spans="1:26" ht="12.75">
      <c r="A631" s="121"/>
      <c r="B631" s="121"/>
      <c r="C631" s="121"/>
      <c r="D631" s="121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</row>
    <row r="632" spans="1:26" ht="12.75">
      <c r="A632" s="121"/>
      <c r="B632" s="121"/>
      <c r="C632" s="12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</row>
    <row r="633" spans="1:26" ht="12.75">
      <c r="A633" s="121"/>
      <c r="B633" s="121"/>
      <c r="C633" s="121"/>
      <c r="D633" s="121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</row>
    <row r="634" spans="1:26" ht="12.75">
      <c r="A634" s="121"/>
      <c r="B634" s="121"/>
      <c r="C634" s="121"/>
      <c r="D634" s="121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</row>
    <row r="635" spans="1:26" ht="12.75">
      <c r="A635" s="121"/>
      <c r="B635" s="121"/>
      <c r="C635" s="121"/>
      <c r="D635" s="121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</row>
    <row r="636" spans="1:26" ht="12.75">
      <c r="A636" s="121"/>
      <c r="B636" s="121"/>
      <c r="C636" s="121"/>
      <c r="D636" s="121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</row>
    <row r="637" spans="1:26" ht="12.75">
      <c r="A637" s="121"/>
      <c r="B637" s="121"/>
      <c r="C637" s="121"/>
      <c r="D637" s="121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</row>
    <row r="638" spans="1:26" ht="12.75">
      <c r="A638" s="121"/>
      <c r="B638" s="121"/>
      <c r="C638" s="121"/>
      <c r="D638" s="121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</row>
    <row r="639" spans="1:26" ht="12.75">
      <c r="A639" s="121"/>
      <c r="B639" s="121"/>
      <c r="C639" s="121"/>
      <c r="D639" s="121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</row>
    <row r="640" spans="1:26" ht="12.75">
      <c r="A640" s="121"/>
      <c r="B640" s="121"/>
      <c r="C640" s="121"/>
      <c r="D640" s="121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</row>
    <row r="641" spans="1:26" ht="12.75">
      <c r="A641" s="121"/>
      <c r="B641" s="121"/>
      <c r="C641" s="121"/>
      <c r="D641" s="121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</row>
    <row r="642" spans="1:26" ht="12.75">
      <c r="A642" s="121"/>
      <c r="B642" s="121"/>
      <c r="C642" s="121"/>
      <c r="D642" s="121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</row>
    <row r="643" spans="1:26" ht="12.75">
      <c r="A643" s="121"/>
      <c r="B643" s="121"/>
      <c r="C643" s="121"/>
      <c r="D643" s="121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</row>
    <row r="644" spans="1:26" ht="12.75">
      <c r="A644" s="121"/>
      <c r="B644" s="121"/>
      <c r="C644" s="121"/>
      <c r="D644" s="121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</row>
    <row r="645" spans="1:26" ht="12.75">
      <c r="A645" s="121"/>
      <c r="B645" s="121"/>
      <c r="C645" s="121"/>
      <c r="D645" s="121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</row>
    <row r="646" spans="1:26" ht="12.75">
      <c r="A646" s="121"/>
      <c r="B646" s="121"/>
      <c r="C646" s="121"/>
      <c r="D646" s="121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</row>
    <row r="647" spans="1:26" ht="12.75">
      <c r="A647" s="121"/>
      <c r="B647" s="121"/>
      <c r="C647" s="121"/>
      <c r="D647" s="121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</row>
    <row r="648" spans="1:26" ht="12.75">
      <c r="A648" s="121"/>
      <c r="B648" s="121"/>
      <c r="C648" s="121"/>
      <c r="D648" s="121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</row>
    <row r="649" spans="1:26" ht="12.75">
      <c r="A649" s="121"/>
      <c r="B649" s="121"/>
      <c r="C649" s="121"/>
      <c r="D649" s="121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</row>
    <row r="650" spans="1:26" ht="12.75">
      <c r="A650" s="121"/>
      <c r="B650" s="121"/>
      <c r="C650" s="121"/>
      <c r="D650" s="121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</row>
    <row r="651" spans="1:26" ht="12.75">
      <c r="A651" s="121"/>
      <c r="B651" s="121"/>
      <c r="C651" s="121"/>
      <c r="D651" s="121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</row>
    <row r="652" spans="1:26" ht="12.75">
      <c r="A652" s="121"/>
      <c r="B652" s="121"/>
      <c r="C652" s="121"/>
      <c r="D652" s="121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</row>
    <row r="653" spans="1:26" ht="12.75">
      <c r="A653" s="121"/>
      <c r="B653" s="121"/>
      <c r="C653" s="121"/>
      <c r="D653" s="121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</row>
    <row r="654" spans="1:26" ht="12.75">
      <c r="A654" s="121"/>
      <c r="B654" s="121"/>
      <c r="C654" s="121"/>
      <c r="D654" s="121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</row>
    <row r="655" spans="1:26" ht="12.75">
      <c r="A655" s="121"/>
      <c r="B655" s="121"/>
      <c r="C655" s="121"/>
      <c r="D655" s="121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</row>
    <row r="656" spans="1:26" ht="12.75">
      <c r="A656" s="121"/>
      <c r="B656" s="121"/>
      <c r="C656" s="121"/>
      <c r="D656" s="121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</row>
    <row r="657" spans="1:26" ht="12.75">
      <c r="A657" s="121"/>
      <c r="B657" s="121"/>
      <c r="C657" s="121"/>
      <c r="D657" s="121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</row>
    <row r="658" spans="1:26" ht="12.75">
      <c r="A658" s="121"/>
      <c r="B658" s="121"/>
      <c r="C658" s="121"/>
      <c r="D658" s="121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</row>
    <row r="659" spans="1:26" ht="12.75">
      <c r="A659" s="121"/>
      <c r="B659" s="121"/>
      <c r="C659" s="121"/>
      <c r="D659" s="121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</row>
    <row r="660" spans="1:26" ht="12.75">
      <c r="A660" s="121"/>
      <c r="B660" s="121"/>
      <c r="C660" s="121"/>
      <c r="D660" s="121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</row>
    <row r="661" spans="1:26" ht="12.75">
      <c r="A661" s="121"/>
      <c r="B661" s="121"/>
      <c r="C661" s="121"/>
      <c r="D661" s="121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</row>
    <row r="662" spans="1:26" ht="12.75">
      <c r="A662" s="121"/>
      <c r="B662" s="121"/>
      <c r="C662" s="121"/>
      <c r="D662" s="121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</row>
    <row r="663" spans="1:26" ht="12.75">
      <c r="A663" s="121"/>
      <c r="B663" s="121"/>
      <c r="C663" s="121"/>
      <c r="D663" s="121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</row>
    <row r="664" spans="1:26" ht="12.75">
      <c r="A664" s="121"/>
      <c r="B664" s="121"/>
      <c r="C664" s="121"/>
      <c r="D664" s="121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</row>
    <row r="665" spans="1:26" ht="12.75">
      <c r="A665" s="121"/>
      <c r="B665" s="121"/>
      <c r="C665" s="121"/>
      <c r="D665" s="121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</row>
    <row r="666" spans="1:26" ht="12.75">
      <c r="A666" s="121"/>
      <c r="B666" s="121"/>
      <c r="C666" s="121"/>
      <c r="D666" s="121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</row>
    <row r="667" spans="1:26" ht="12.75">
      <c r="A667" s="121"/>
      <c r="B667" s="121"/>
      <c r="C667" s="121"/>
      <c r="D667" s="121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</row>
    <row r="668" spans="1:26" ht="12.75">
      <c r="A668" s="121"/>
      <c r="B668" s="121"/>
      <c r="C668" s="121"/>
      <c r="D668" s="121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</row>
    <row r="669" spans="1:26" ht="12.75">
      <c r="A669" s="121"/>
      <c r="B669" s="121"/>
      <c r="C669" s="121"/>
      <c r="D669" s="121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</row>
    <row r="670" spans="1:26" ht="12.75">
      <c r="A670" s="121"/>
      <c r="B670" s="121"/>
      <c r="C670" s="121"/>
      <c r="D670" s="121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</row>
    <row r="671" spans="1:26" ht="12.75">
      <c r="A671" s="121"/>
      <c r="B671" s="121"/>
      <c r="C671" s="121"/>
      <c r="D671" s="121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</row>
    <row r="672" spans="1:26" ht="12.75">
      <c r="A672" s="121"/>
      <c r="B672" s="121"/>
      <c r="C672" s="121"/>
      <c r="D672" s="121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</row>
    <row r="673" spans="1:26" ht="12.75">
      <c r="A673" s="121"/>
      <c r="B673" s="121"/>
      <c r="C673" s="121"/>
      <c r="D673" s="121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</row>
    <row r="674" spans="1:26" ht="12.75">
      <c r="A674" s="121"/>
      <c r="B674" s="121"/>
      <c r="C674" s="121"/>
      <c r="D674" s="121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</row>
    <row r="675" spans="1:26" ht="12.75">
      <c r="A675" s="121"/>
      <c r="B675" s="121"/>
      <c r="C675" s="121"/>
      <c r="D675" s="121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</row>
    <row r="676" spans="1:26" ht="12.75">
      <c r="A676" s="121"/>
      <c r="B676" s="121"/>
      <c r="C676" s="121"/>
      <c r="D676" s="121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</row>
    <row r="677" spans="1:26" ht="12.75">
      <c r="A677" s="121"/>
      <c r="B677" s="121"/>
      <c r="C677" s="121"/>
      <c r="D677" s="121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</row>
    <row r="678" spans="1:26" ht="12.75">
      <c r="A678" s="121"/>
      <c r="B678" s="121"/>
      <c r="C678" s="121"/>
      <c r="D678" s="121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</row>
    <row r="679" spans="1:26" ht="12.75">
      <c r="A679" s="121"/>
      <c r="B679" s="121"/>
      <c r="C679" s="121"/>
      <c r="D679" s="121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</row>
    <row r="680" spans="1:26" ht="12.75">
      <c r="A680" s="121"/>
      <c r="B680" s="121"/>
      <c r="C680" s="121"/>
      <c r="D680" s="121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</row>
    <row r="681" spans="1:26" ht="12.75">
      <c r="A681" s="121"/>
      <c r="B681" s="121"/>
      <c r="C681" s="121"/>
      <c r="D681" s="121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</row>
    <row r="682" spans="1:26" ht="12.75">
      <c r="A682" s="121"/>
      <c r="B682" s="121"/>
      <c r="C682" s="121"/>
      <c r="D682" s="121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</row>
    <row r="683" spans="1:26" ht="12.75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</row>
    <row r="684" spans="1:26" ht="12.75">
      <c r="A684" s="121"/>
      <c r="B684" s="121"/>
      <c r="C684" s="121"/>
      <c r="D684" s="121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</row>
    <row r="685" spans="1:26" ht="12.75">
      <c r="A685" s="121"/>
      <c r="B685" s="121"/>
      <c r="C685" s="121"/>
      <c r="D685" s="121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</row>
    <row r="686" spans="1:26" ht="12.75">
      <c r="A686" s="121"/>
      <c r="B686" s="121"/>
      <c r="C686" s="121"/>
      <c r="D686" s="121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</row>
    <row r="687" spans="1:26" ht="12.75">
      <c r="A687" s="121"/>
      <c r="B687" s="121"/>
      <c r="C687" s="121"/>
      <c r="D687" s="121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</row>
    <row r="688" spans="1:26" ht="12.75">
      <c r="A688" s="121"/>
      <c r="B688" s="121"/>
      <c r="C688" s="121"/>
      <c r="D688" s="121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</row>
    <row r="689" spans="1:26" ht="12.75">
      <c r="A689" s="121"/>
      <c r="B689" s="121"/>
      <c r="C689" s="121"/>
      <c r="D689" s="121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</row>
    <row r="690" spans="1:26" ht="12.75">
      <c r="A690" s="121"/>
      <c r="B690" s="121"/>
      <c r="C690" s="121"/>
      <c r="D690" s="121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</row>
    <row r="691" spans="1:26" ht="12.75">
      <c r="A691" s="121"/>
      <c r="B691" s="121"/>
      <c r="C691" s="121"/>
      <c r="D691" s="121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</row>
    <row r="692" spans="1:26" ht="12.75">
      <c r="A692" s="121"/>
      <c r="B692" s="121"/>
      <c r="C692" s="121"/>
      <c r="D692" s="121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</row>
    <row r="693" spans="1:26" ht="12.75">
      <c r="A693" s="121"/>
      <c r="B693" s="121"/>
      <c r="C693" s="121"/>
      <c r="D693" s="121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</row>
    <row r="694" spans="1:26" ht="12.75">
      <c r="A694" s="121"/>
      <c r="B694" s="121"/>
      <c r="C694" s="121"/>
      <c r="D694" s="121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</row>
    <row r="695" spans="1:26" ht="12.75">
      <c r="A695" s="121"/>
      <c r="B695" s="121"/>
      <c r="C695" s="121"/>
      <c r="D695" s="121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</row>
    <row r="696" spans="1:26" ht="12.75">
      <c r="A696" s="121"/>
      <c r="B696" s="121"/>
      <c r="C696" s="121"/>
      <c r="D696" s="121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</row>
    <row r="697" spans="1:26" ht="12.75">
      <c r="A697" s="121"/>
      <c r="B697" s="121"/>
      <c r="C697" s="121"/>
      <c r="D697" s="121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</row>
    <row r="698" spans="1:26" ht="12.75">
      <c r="A698" s="121"/>
      <c r="B698" s="121"/>
      <c r="C698" s="121"/>
      <c r="D698" s="121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</row>
    <row r="699" spans="1:26" ht="12.75">
      <c r="A699" s="121"/>
      <c r="B699" s="121"/>
      <c r="C699" s="121"/>
      <c r="D699" s="121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</row>
    <row r="700" spans="1:26" ht="12.75">
      <c r="A700" s="121"/>
      <c r="B700" s="121"/>
      <c r="C700" s="121"/>
      <c r="D700" s="121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</row>
    <row r="701" spans="1:26" ht="12.75">
      <c r="A701" s="121"/>
      <c r="B701" s="121"/>
      <c r="C701" s="121"/>
      <c r="D701" s="121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</row>
    <row r="702" spans="1:26" ht="12.75">
      <c r="A702" s="121"/>
      <c r="B702" s="121"/>
      <c r="C702" s="121"/>
      <c r="D702" s="121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</row>
    <row r="703" spans="1:26" ht="12.75">
      <c r="A703" s="121"/>
      <c r="B703" s="121"/>
      <c r="C703" s="121"/>
      <c r="D703" s="121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</row>
    <row r="704" spans="1:26" ht="12.75">
      <c r="A704" s="121"/>
      <c r="B704" s="121"/>
      <c r="C704" s="121"/>
      <c r="D704" s="121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</row>
    <row r="705" spans="1:26" ht="12.75">
      <c r="A705" s="121"/>
      <c r="B705" s="121"/>
      <c r="C705" s="121"/>
      <c r="D705" s="121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</row>
    <row r="706" spans="1:26" ht="12.75">
      <c r="A706" s="121"/>
      <c r="B706" s="121"/>
      <c r="C706" s="121"/>
      <c r="D706" s="121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</row>
    <row r="707" spans="1:26" ht="12.75">
      <c r="A707" s="121"/>
      <c r="B707" s="121"/>
      <c r="C707" s="121"/>
      <c r="D707" s="121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</row>
    <row r="708" spans="1:26" ht="12.75">
      <c r="A708" s="121"/>
      <c r="B708" s="121"/>
      <c r="C708" s="121"/>
      <c r="D708" s="121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</row>
    <row r="709" spans="1:26" ht="12.75">
      <c r="A709" s="121"/>
      <c r="B709" s="121"/>
      <c r="C709" s="121"/>
      <c r="D709" s="121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</row>
    <row r="710" spans="1:26" ht="12.75">
      <c r="A710" s="121"/>
      <c r="B710" s="121"/>
      <c r="C710" s="121"/>
      <c r="D710" s="121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</row>
    <row r="711" spans="1:26" ht="12.75">
      <c r="A711" s="121"/>
      <c r="B711" s="121"/>
      <c r="C711" s="121"/>
      <c r="D711" s="121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</row>
    <row r="712" spans="1:26" ht="12.75">
      <c r="A712" s="121"/>
      <c r="B712" s="121"/>
      <c r="C712" s="121"/>
      <c r="D712" s="121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</row>
    <row r="713" spans="1:26" ht="12.75">
      <c r="A713" s="121"/>
      <c r="B713" s="121"/>
      <c r="C713" s="121"/>
      <c r="D713" s="121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</row>
    <row r="714" spans="1:26" ht="12.75">
      <c r="A714" s="121"/>
      <c r="B714" s="121"/>
      <c r="C714" s="121"/>
      <c r="D714" s="121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</row>
    <row r="715" spans="1:26" ht="12.75">
      <c r="A715" s="121"/>
      <c r="B715" s="121"/>
      <c r="C715" s="121"/>
      <c r="D715" s="121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</row>
    <row r="716" spans="1:26" ht="12.75">
      <c r="A716" s="121"/>
      <c r="B716" s="121"/>
      <c r="C716" s="121"/>
      <c r="D716" s="121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</row>
    <row r="717" spans="1:26" ht="12.75">
      <c r="A717" s="121"/>
      <c r="B717" s="121"/>
      <c r="C717" s="121"/>
      <c r="D717" s="121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</row>
    <row r="718" spans="1:26" ht="12.75">
      <c r="A718" s="121"/>
      <c r="B718" s="121"/>
      <c r="C718" s="121"/>
      <c r="D718" s="121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</row>
    <row r="719" spans="1:26" ht="12.75">
      <c r="A719" s="121"/>
      <c r="B719" s="121"/>
      <c r="C719" s="121"/>
      <c r="D719" s="121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</row>
    <row r="720" spans="1:26" ht="12.75">
      <c r="A720" s="121"/>
      <c r="B720" s="121"/>
      <c r="C720" s="121"/>
      <c r="D720" s="121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</row>
    <row r="721" spans="1:26" ht="12.75">
      <c r="A721" s="121"/>
      <c r="B721" s="121"/>
      <c r="C721" s="121"/>
      <c r="D721" s="121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</row>
    <row r="722" spans="1:26" ht="12.75">
      <c r="A722" s="121"/>
      <c r="B722" s="121"/>
      <c r="C722" s="121"/>
      <c r="D722" s="121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</row>
    <row r="723" spans="1:26" ht="12.75">
      <c r="A723" s="121"/>
      <c r="B723" s="121"/>
      <c r="C723" s="121"/>
      <c r="D723" s="121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</row>
    <row r="724" spans="1:26" ht="12.75">
      <c r="A724" s="121"/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</row>
    <row r="725" spans="1:26" ht="12.75">
      <c r="A725" s="121"/>
      <c r="B725" s="121"/>
      <c r="C725" s="121"/>
      <c r="D725" s="121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</row>
    <row r="726" spans="1:26" ht="12.75">
      <c r="A726" s="121"/>
      <c r="B726" s="121"/>
      <c r="C726" s="121"/>
      <c r="D726" s="121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</row>
    <row r="727" spans="1:26" ht="12.75">
      <c r="A727" s="121"/>
      <c r="B727" s="121"/>
      <c r="C727" s="121"/>
      <c r="D727" s="121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</row>
    <row r="728" spans="1:26" ht="12.75">
      <c r="A728" s="121"/>
      <c r="B728" s="121"/>
      <c r="C728" s="121"/>
      <c r="D728" s="121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</row>
    <row r="729" spans="1:26" ht="12.75">
      <c r="A729" s="121"/>
      <c r="B729" s="121"/>
      <c r="C729" s="121"/>
      <c r="D729" s="121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</row>
    <row r="730" spans="1:26" ht="12.75">
      <c r="A730" s="121"/>
      <c r="B730" s="121"/>
      <c r="C730" s="121"/>
      <c r="D730" s="121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</row>
    <row r="731" spans="1:26" ht="12.75">
      <c r="A731" s="121"/>
      <c r="B731" s="121"/>
      <c r="C731" s="121"/>
      <c r="D731" s="121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</row>
    <row r="732" spans="1:26" ht="12.75">
      <c r="A732" s="121"/>
      <c r="B732" s="121"/>
      <c r="C732" s="121"/>
      <c r="D732" s="121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</row>
    <row r="733" spans="1:26" ht="12.75">
      <c r="A733" s="121"/>
      <c r="B733" s="121"/>
      <c r="C733" s="121"/>
      <c r="D733" s="121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</row>
    <row r="734" spans="1:26" ht="12.75">
      <c r="A734" s="121"/>
      <c r="B734" s="121"/>
      <c r="C734" s="121"/>
      <c r="D734" s="121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</row>
    <row r="735" spans="1:26" ht="12.75">
      <c r="A735" s="121"/>
      <c r="B735" s="121"/>
      <c r="C735" s="121"/>
      <c r="D735" s="121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</row>
    <row r="736" spans="1:26" ht="12.75">
      <c r="A736" s="121"/>
      <c r="B736" s="121"/>
      <c r="C736" s="121"/>
      <c r="D736" s="121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</row>
    <row r="737" spans="1:26" ht="12.75">
      <c r="A737" s="121"/>
      <c r="B737" s="121"/>
      <c r="C737" s="121"/>
      <c r="D737" s="121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</row>
    <row r="738" spans="1:26" ht="12.75">
      <c r="A738" s="121"/>
      <c r="B738" s="121"/>
      <c r="C738" s="121"/>
      <c r="D738" s="121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</row>
    <row r="739" spans="1:26" ht="12.75">
      <c r="A739" s="121"/>
      <c r="B739" s="121"/>
      <c r="C739" s="121"/>
      <c r="D739" s="121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</row>
    <row r="740" spans="1:26" ht="12.75">
      <c r="A740" s="121"/>
      <c r="B740" s="121"/>
      <c r="C740" s="121"/>
      <c r="D740" s="121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</row>
    <row r="741" spans="1:26" ht="12.75">
      <c r="A741" s="121"/>
      <c r="B741" s="121"/>
      <c r="C741" s="121"/>
      <c r="D741" s="121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</row>
    <row r="742" spans="1:26" ht="12.75">
      <c r="A742" s="121"/>
      <c r="B742" s="121"/>
      <c r="C742" s="121"/>
      <c r="D742" s="121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</row>
    <row r="743" spans="1:26" ht="12.75">
      <c r="A743" s="121"/>
      <c r="B743" s="121"/>
      <c r="C743" s="121"/>
      <c r="D743" s="121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</row>
    <row r="744" spans="1:26" ht="12.75">
      <c r="A744" s="121"/>
      <c r="B744" s="121"/>
      <c r="C744" s="121"/>
      <c r="D744" s="121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</row>
    <row r="745" spans="1:26" ht="12.75">
      <c r="A745" s="121"/>
      <c r="B745" s="121"/>
      <c r="C745" s="121"/>
      <c r="D745" s="121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</row>
    <row r="746" spans="1:26" ht="12.75">
      <c r="A746" s="121"/>
      <c r="B746" s="121"/>
      <c r="C746" s="121"/>
      <c r="D746" s="121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</row>
    <row r="747" spans="1:26" ht="12.75">
      <c r="A747" s="121"/>
      <c r="B747" s="121"/>
      <c r="C747" s="121"/>
      <c r="D747" s="121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</row>
    <row r="748" spans="1:26" ht="12.75">
      <c r="A748" s="121"/>
      <c r="B748" s="121"/>
      <c r="C748" s="121"/>
      <c r="D748" s="121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</row>
    <row r="749" spans="1:26" ht="12.75">
      <c r="A749" s="121"/>
      <c r="B749" s="121"/>
      <c r="C749" s="121"/>
      <c r="D749" s="121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</row>
    <row r="750" spans="1:26" ht="12.75">
      <c r="A750" s="121"/>
      <c r="B750" s="121"/>
      <c r="C750" s="121"/>
      <c r="D750" s="121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</row>
    <row r="751" spans="1:26" ht="12.75">
      <c r="A751" s="121"/>
      <c r="B751" s="121"/>
      <c r="C751" s="121"/>
      <c r="D751" s="121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</row>
    <row r="752" spans="1:26" ht="12.75">
      <c r="A752" s="121"/>
      <c r="B752" s="121"/>
      <c r="C752" s="121"/>
      <c r="D752" s="121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</row>
    <row r="753" spans="1:26" ht="12.75">
      <c r="A753" s="121"/>
      <c r="B753" s="121"/>
      <c r="C753" s="121"/>
      <c r="D753" s="121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</row>
    <row r="754" spans="1:26" ht="12.75">
      <c r="A754" s="121"/>
      <c r="B754" s="121"/>
      <c r="C754" s="121"/>
      <c r="D754" s="121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</row>
    <row r="755" spans="1:26" ht="12.75">
      <c r="A755" s="121"/>
      <c r="B755" s="121"/>
      <c r="C755" s="121"/>
      <c r="D755" s="121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</row>
    <row r="756" spans="1:26" ht="12.75">
      <c r="A756" s="121"/>
      <c r="B756" s="121"/>
      <c r="C756" s="121"/>
      <c r="D756" s="121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</row>
    <row r="757" spans="1:26" ht="12.75">
      <c r="A757" s="121"/>
      <c r="B757" s="121"/>
      <c r="C757" s="121"/>
      <c r="D757" s="121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</row>
    <row r="758" spans="1:26" ht="12.75">
      <c r="A758" s="121"/>
      <c r="B758" s="121"/>
      <c r="C758" s="121"/>
      <c r="D758" s="121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</row>
    <row r="759" spans="1:26" ht="12.75">
      <c r="A759" s="121"/>
      <c r="B759" s="121"/>
      <c r="C759" s="121"/>
      <c r="D759" s="121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</row>
    <row r="760" spans="1:26" ht="12.75">
      <c r="A760" s="121"/>
      <c r="B760" s="121"/>
      <c r="C760" s="121"/>
      <c r="D760" s="121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</row>
    <row r="761" spans="1:26" ht="12.75">
      <c r="A761" s="121"/>
      <c r="B761" s="121"/>
      <c r="C761" s="121"/>
      <c r="D761" s="121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</row>
    <row r="762" spans="1:26" ht="12.75">
      <c r="A762" s="121"/>
      <c r="B762" s="121"/>
      <c r="C762" s="121"/>
      <c r="D762" s="121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</row>
    <row r="763" spans="1:26" ht="12.75">
      <c r="A763" s="121"/>
      <c r="B763" s="121"/>
      <c r="C763" s="121"/>
      <c r="D763" s="121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</row>
    <row r="764" spans="1:26" ht="12.75">
      <c r="A764" s="121"/>
      <c r="B764" s="121"/>
      <c r="C764" s="121"/>
      <c r="D764" s="121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</row>
    <row r="765" spans="1:26" ht="12.75">
      <c r="A765" s="121"/>
      <c r="B765" s="121"/>
      <c r="C765" s="121"/>
      <c r="D765" s="121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</row>
    <row r="766" spans="1:26" ht="12.75">
      <c r="A766" s="121"/>
      <c r="B766" s="121"/>
      <c r="C766" s="121"/>
      <c r="D766" s="121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</row>
    <row r="767" spans="1:26" ht="12.75">
      <c r="A767" s="121"/>
      <c r="B767" s="121"/>
      <c r="C767" s="121"/>
      <c r="D767" s="121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</row>
    <row r="768" spans="1:26" ht="12.75">
      <c r="A768" s="121"/>
      <c r="B768" s="121"/>
      <c r="C768" s="121"/>
      <c r="D768" s="121"/>
      <c r="E768" s="121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</row>
    <row r="769" spans="1:26" ht="12.75">
      <c r="A769" s="121"/>
      <c r="B769" s="121"/>
      <c r="C769" s="121"/>
      <c r="D769" s="121"/>
      <c r="E769" s="121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</row>
    <row r="770" spans="1:26" ht="12.75">
      <c r="A770" s="121"/>
      <c r="B770" s="121"/>
      <c r="C770" s="121"/>
      <c r="D770" s="121"/>
      <c r="E770" s="121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</row>
    <row r="771" spans="1:26" ht="12.75">
      <c r="A771" s="121"/>
      <c r="B771" s="121"/>
      <c r="C771" s="121"/>
      <c r="D771" s="121"/>
      <c r="E771" s="121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</row>
    <row r="772" spans="1:26" ht="12.75">
      <c r="A772" s="121"/>
      <c r="B772" s="121"/>
      <c r="C772" s="121"/>
      <c r="D772" s="121"/>
      <c r="E772" s="121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</row>
    <row r="773" spans="1:26" ht="12.75">
      <c r="A773" s="121"/>
      <c r="B773" s="121"/>
      <c r="C773" s="121"/>
      <c r="D773" s="121"/>
      <c r="E773" s="121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</row>
    <row r="774" spans="1:26" ht="12.75">
      <c r="A774" s="121"/>
      <c r="B774" s="121"/>
      <c r="C774" s="121"/>
      <c r="D774" s="121"/>
      <c r="E774" s="121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</row>
    <row r="775" spans="1:26" ht="12.75">
      <c r="A775" s="121"/>
      <c r="B775" s="121"/>
      <c r="C775" s="121"/>
      <c r="D775" s="121"/>
      <c r="E775" s="121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</row>
    <row r="776" spans="1:26" ht="12.75">
      <c r="A776" s="121"/>
      <c r="B776" s="121"/>
      <c r="C776" s="121"/>
      <c r="D776" s="121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</row>
    <row r="777" spans="1:26" ht="12.75">
      <c r="A777" s="121"/>
      <c r="B777" s="121"/>
      <c r="C777" s="121"/>
      <c r="D777" s="121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</row>
    <row r="778" spans="1:26" ht="12.75">
      <c r="A778" s="121"/>
      <c r="B778" s="121"/>
      <c r="C778" s="121"/>
      <c r="D778" s="121"/>
      <c r="E778" s="121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</row>
    <row r="779" spans="1:26" ht="12.75">
      <c r="A779" s="121"/>
      <c r="B779" s="121"/>
      <c r="C779" s="121"/>
      <c r="D779" s="121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</row>
    <row r="780" spans="1:26" ht="12.75">
      <c r="A780" s="121"/>
      <c r="B780" s="121"/>
      <c r="C780" s="121"/>
      <c r="D780" s="121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</row>
    <row r="781" spans="1:26" ht="12.75">
      <c r="A781" s="121"/>
      <c r="B781" s="121"/>
      <c r="C781" s="121"/>
      <c r="D781" s="121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</row>
    <row r="782" spans="1:26" ht="12.75">
      <c r="A782" s="121"/>
      <c r="B782" s="121"/>
      <c r="C782" s="121"/>
      <c r="D782" s="121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</row>
    <row r="783" spans="1:26" ht="12.75">
      <c r="A783" s="121"/>
      <c r="B783" s="121"/>
      <c r="C783" s="121"/>
      <c r="D783" s="121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</row>
    <row r="784" spans="1:26" ht="12.75">
      <c r="A784" s="121"/>
      <c r="B784" s="121"/>
      <c r="C784" s="121"/>
      <c r="D784" s="121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</row>
    <row r="785" spans="1:26" ht="12.75">
      <c r="A785" s="121"/>
      <c r="B785" s="121"/>
      <c r="C785" s="121"/>
      <c r="D785" s="121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</row>
    <row r="786" spans="1:26" ht="12.75">
      <c r="A786" s="121"/>
      <c r="B786" s="121"/>
      <c r="C786" s="121"/>
      <c r="D786" s="121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</row>
    <row r="787" spans="1:26" ht="12.75">
      <c r="A787" s="121"/>
      <c r="B787" s="121"/>
      <c r="C787" s="121"/>
      <c r="D787" s="121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</row>
    <row r="788" spans="1:26" ht="12.75">
      <c r="A788" s="121"/>
      <c r="B788" s="121"/>
      <c r="C788" s="121"/>
      <c r="D788" s="121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</row>
    <row r="789" spans="1:26" ht="12.75">
      <c r="A789" s="121"/>
      <c r="B789" s="121"/>
      <c r="C789" s="121"/>
      <c r="D789" s="121"/>
      <c r="E789" s="121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</row>
    <row r="790" spans="1:26" ht="12.75">
      <c r="A790" s="121"/>
      <c r="B790" s="121"/>
      <c r="C790" s="121"/>
      <c r="D790" s="121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</row>
    <row r="791" spans="1:26" ht="12.75">
      <c r="A791" s="121"/>
      <c r="B791" s="121"/>
      <c r="C791" s="121"/>
      <c r="D791" s="121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</row>
    <row r="792" spans="1:26" ht="12.75">
      <c r="A792" s="121"/>
      <c r="B792" s="121"/>
      <c r="C792" s="121"/>
      <c r="D792" s="121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</row>
    <row r="793" spans="1:26" ht="12.75">
      <c r="A793" s="121"/>
      <c r="B793" s="121"/>
      <c r="C793" s="121"/>
      <c r="D793" s="121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</row>
    <row r="794" spans="1:26" ht="12.75">
      <c r="A794" s="121"/>
      <c r="B794" s="121"/>
      <c r="C794" s="121"/>
      <c r="D794" s="121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</row>
    <row r="795" spans="1:26" ht="12.75">
      <c r="A795" s="121"/>
      <c r="B795" s="121"/>
      <c r="C795" s="121"/>
      <c r="D795" s="121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</row>
    <row r="796" spans="1:26" ht="12.75">
      <c r="A796" s="121"/>
      <c r="B796" s="121"/>
      <c r="C796" s="121"/>
      <c r="D796" s="121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</row>
    <row r="797" spans="1:26" ht="12.75">
      <c r="A797" s="121"/>
      <c r="B797" s="121"/>
      <c r="C797" s="121"/>
      <c r="D797" s="121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</row>
    <row r="798" spans="1:26" ht="12.75">
      <c r="A798" s="121"/>
      <c r="B798" s="121"/>
      <c r="C798" s="121"/>
      <c r="D798" s="121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</row>
    <row r="799" spans="1:26" ht="12.75">
      <c r="A799" s="121"/>
      <c r="B799" s="121"/>
      <c r="C799" s="121"/>
      <c r="D799" s="121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</row>
    <row r="800" spans="1:26" ht="12.75">
      <c r="A800" s="121"/>
      <c r="B800" s="121"/>
      <c r="C800" s="121"/>
      <c r="D800" s="121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</row>
    <row r="801" spans="1:26" ht="12.75">
      <c r="A801" s="121"/>
      <c r="B801" s="121"/>
      <c r="C801" s="121"/>
      <c r="D801" s="121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</row>
    <row r="802" spans="1:26" ht="12.75">
      <c r="A802" s="121"/>
      <c r="B802" s="121"/>
      <c r="C802" s="121"/>
      <c r="D802" s="121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</row>
    <row r="803" spans="1:26" ht="12.75">
      <c r="A803" s="121"/>
      <c r="B803" s="121"/>
      <c r="C803" s="121"/>
      <c r="D803" s="121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</row>
    <row r="804" spans="1:26" ht="12.75">
      <c r="A804" s="121"/>
      <c r="B804" s="121"/>
      <c r="C804" s="121"/>
      <c r="D804" s="121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</row>
    <row r="805" spans="1:26" ht="12.75">
      <c r="A805" s="121"/>
      <c r="B805" s="121"/>
      <c r="C805" s="121"/>
      <c r="D805" s="121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</row>
    <row r="806" spans="1:26" ht="12.75">
      <c r="A806" s="121"/>
      <c r="B806" s="121"/>
      <c r="C806" s="121"/>
      <c r="D806" s="121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</row>
    <row r="807" spans="1:26" ht="12.75">
      <c r="A807" s="121"/>
      <c r="B807" s="121"/>
      <c r="C807" s="121"/>
      <c r="D807" s="121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</row>
    <row r="808" spans="1:26" ht="12.75">
      <c r="A808" s="121"/>
      <c r="B808" s="121"/>
      <c r="C808" s="121"/>
      <c r="D808" s="121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</row>
    <row r="809" spans="1:26" ht="12.75">
      <c r="A809" s="121"/>
      <c r="B809" s="121"/>
      <c r="C809" s="121"/>
      <c r="D809" s="121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</row>
    <row r="810" spans="1:26" ht="12.75">
      <c r="A810" s="121"/>
      <c r="B810" s="121"/>
      <c r="C810" s="121"/>
      <c r="D810" s="121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</row>
    <row r="811" spans="1:26" ht="12.75">
      <c r="A811" s="121"/>
      <c r="B811" s="121"/>
      <c r="C811" s="121"/>
      <c r="D811" s="121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</row>
    <row r="812" spans="1:26" ht="12.75">
      <c r="A812" s="121"/>
      <c r="B812" s="121"/>
      <c r="C812" s="121"/>
      <c r="D812" s="121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</row>
    <row r="813" spans="1:26" ht="12.75">
      <c r="A813" s="121"/>
      <c r="B813" s="121"/>
      <c r="C813" s="121"/>
      <c r="D813" s="121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</row>
    <row r="814" spans="1:26" ht="12.75">
      <c r="A814" s="121"/>
      <c r="B814" s="121"/>
      <c r="C814" s="121"/>
      <c r="D814" s="121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</row>
    <row r="815" spans="1:26" ht="12.75">
      <c r="A815" s="121"/>
      <c r="B815" s="121"/>
      <c r="C815" s="121"/>
      <c r="D815" s="121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</row>
    <row r="816" spans="1:26" ht="12.75">
      <c r="A816" s="121"/>
      <c r="B816" s="121"/>
      <c r="C816" s="121"/>
      <c r="D816" s="121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</row>
    <row r="817" spans="1:26" ht="12.75">
      <c r="A817" s="121"/>
      <c r="B817" s="121"/>
      <c r="C817" s="121"/>
      <c r="D817" s="121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</row>
    <row r="818" spans="1:26" ht="12.75">
      <c r="A818" s="121"/>
      <c r="B818" s="121"/>
      <c r="C818" s="121"/>
      <c r="D818" s="121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</row>
    <row r="819" spans="1:26" ht="12.75">
      <c r="A819" s="121"/>
      <c r="B819" s="121"/>
      <c r="C819" s="121"/>
      <c r="D819" s="121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</row>
    <row r="820" spans="1:26" ht="12.75">
      <c r="A820" s="121"/>
      <c r="B820" s="121"/>
      <c r="C820" s="121"/>
      <c r="D820" s="121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</row>
    <row r="821" spans="1:26" ht="12.75">
      <c r="A821" s="121"/>
      <c r="B821" s="121"/>
      <c r="C821" s="121"/>
      <c r="D821" s="121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</row>
    <row r="822" spans="1:26" ht="12.75">
      <c r="A822" s="121"/>
      <c r="B822" s="121"/>
      <c r="C822" s="121"/>
      <c r="D822" s="121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</row>
    <row r="823" spans="1:26" ht="12.75">
      <c r="A823" s="121"/>
      <c r="B823" s="121"/>
      <c r="C823" s="121"/>
      <c r="D823" s="121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</row>
    <row r="824" spans="1:26" ht="12.75">
      <c r="A824" s="121"/>
      <c r="B824" s="121"/>
      <c r="C824" s="121"/>
      <c r="D824" s="121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</row>
    <row r="825" spans="1:26" ht="12.75">
      <c r="A825" s="121"/>
      <c r="B825" s="121"/>
      <c r="C825" s="121"/>
      <c r="D825" s="121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</row>
    <row r="826" spans="1:26" ht="12.75">
      <c r="A826" s="121"/>
      <c r="B826" s="121"/>
      <c r="C826" s="121"/>
      <c r="D826" s="121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</row>
    <row r="827" spans="1:26" ht="12.75">
      <c r="A827" s="121"/>
      <c r="B827" s="121"/>
      <c r="C827" s="121"/>
      <c r="D827" s="121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</row>
    <row r="828" spans="1:26" ht="12.75">
      <c r="A828" s="121"/>
      <c r="B828" s="121"/>
      <c r="C828" s="121"/>
      <c r="D828" s="121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</row>
    <row r="829" spans="1:26" ht="12.75">
      <c r="A829" s="121"/>
      <c r="B829" s="121"/>
      <c r="C829" s="121"/>
      <c r="D829" s="121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</row>
    <row r="830" spans="1:26" ht="12.75">
      <c r="A830" s="121"/>
      <c r="B830" s="121"/>
      <c r="C830" s="121"/>
      <c r="D830" s="121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</row>
    <row r="831" spans="1:26" ht="12.75">
      <c r="A831" s="121"/>
      <c r="B831" s="121"/>
      <c r="C831" s="121"/>
      <c r="D831" s="121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</row>
    <row r="832" spans="1:26" ht="12.75">
      <c r="A832" s="121"/>
      <c r="B832" s="121"/>
      <c r="C832" s="121"/>
      <c r="D832" s="121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</row>
    <row r="833" spans="1:26" ht="12.75">
      <c r="A833" s="121"/>
      <c r="B833" s="121"/>
      <c r="C833" s="121"/>
      <c r="D833" s="121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</row>
    <row r="834" spans="1:26" ht="12.75">
      <c r="A834" s="121"/>
      <c r="B834" s="121"/>
      <c r="C834" s="121"/>
      <c r="D834" s="121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</row>
    <row r="835" spans="1:26" ht="12.75">
      <c r="A835" s="121"/>
      <c r="B835" s="121"/>
      <c r="C835" s="121"/>
      <c r="D835" s="121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</row>
    <row r="836" spans="1:26" ht="12.75">
      <c r="A836" s="121"/>
      <c r="B836" s="121"/>
      <c r="C836" s="121"/>
      <c r="D836" s="121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</row>
    <row r="837" spans="1:26" ht="12.75">
      <c r="A837" s="121"/>
      <c r="B837" s="121"/>
      <c r="C837" s="121"/>
      <c r="D837" s="121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</row>
    <row r="838" spans="1:26" ht="12.75">
      <c r="A838" s="121"/>
      <c r="B838" s="121"/>
      <c r="C838" s="121"/>
      <c r="D838" s="121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</row>
    <row r="839" spans="1:26" ht="12.75">
      <c r="A839" s="121"/>
      <c r="B839" s="121"/>
      <c r="C839" s="121"/>
      <c r="D839" s="121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</row>
    <row r="840" spans="1:26" ht="12.75">
      <c r="A840" s="121"/>
      <c r="B840" s="121"/>
      <c r="C840" s="121"/>
      <c r="D840" s="121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</row>
    <row r="841" spans="1:26" ht="12.75">
      <c r="A841" s="121"/>
      <c r="B841" s="121"/>
      <c r="C841" s="121"/>
      <c r="D841" s="121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</row>
    <row r="842" spans="1:26" ht="12.75">
      <c r="A842" s="121"/>
      <c r="B842" s="121"/>
      <c r="C842" s="121"/>
      <c r="D842" s="121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</row>
    <row r="843" spans="1:26" ht="12.75">
      <c r="A843" s="121"/>
      <c r="B843" s="121"/>
      <c r="C843" s="121"/>
      <c r="D843" s="121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</row>
    <row r="844" spans="1:26" ht="12.75">
      <c r="A844" s="121"/>
      <c r="B844" s="121"/>
      <c r="C844" s="121"/>
      <c r="D844" s="121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</row>
    <row r="845" spans="1:26" ht="12.75">
      <c r="A845" s="121"/>
      <c r="B845" s="121"/>
      <c r="C845" s="121"/>
      <c r="D845" s="121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</row>
    <row r="846" spans="1:26" ht="12.75">
      <c r="A846" s="121"/>
      <c r="B846" s="121"/>
      <c r="C846" s="121"/>
      <c r="D846" s="121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</row>
    <row r="847" spans="1:26" ht="12.75">
      <c r="A847" s="121"/>
      <c r="B847" s="121"/>
      <c r="C847" s="121"/>
      <c r="D847" s="121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</row>
    <row r="848" spans="1:26" ht="12.75">
      <c r="A848" s="121"/>
      <c r="B848" s="121"/>
      <c r="C848" s="121"/>
      <c r="D848" s="121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</row>
    <row r="849" spans="1:26" ht="12.75">
      <c r="A849" s="121"/>
      <c r="B849" s="121"/>
      <c r="C849" s="121"/>
      <c r="D849" s="121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</row>
    <row r="850" spans="1:26" ht="12.75">
      <c r="A850" s="121"/>
      <c r="B850" s="121"/>
      <c r="C850" s="121"/>
      <c r="D850" s="121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</row>
    <row r="851" spans="1:26" ht="12.75">
      <c r="A851" s="121"/>
      <c r="B851" s="121"/>
      <c r="C851" s="121"/>
      <c r="D851" s="121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</row>
    <row r="852" spans="1:26" ht="12.75">
      <c r="A852" s="121"/>
      <c r="B852" s="121"/>
      <c r="C852" s="121"/>
      <c r="D852" s="121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</row>
    <row r="853" spans="1:26" ht="12.75">
      <c r="A853" s="121"/>
      <c r="B853" s="121"/>
      <c r="C853" s="121"/>
      <c r="D853" s="121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</row>
    <row r="854" spans="1:26" ht="12.75">
      <c r="A854" s="121"/>
      <c r="B854" s="121"/>
      <c r="C854" s="121"/>
      <c r="D854" s="121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</row>
    <row r="855" spans="1:26" ht="12.75">
      <c r="A855" s="121"/>
      <c r="B855" s="121"/>
      <c r="C855" s="121"/>
      <c r="D855" s="121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</row>
    <row r="856" spans="1:26" ht="12.75">
      <c r="A856" s="121"/>
      <c r="B856" s="121"/>
      <c r="C856" s="121"/>
      <c r="D856" s="121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</row>
    <row r="857" spans="1:26" ht="12.75">
      <c r="A857" s="121"/>
      <c r="B857" s="121"/>
      <c r="C857" s="121"/>
      <c r="D857" s="121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</row>
    <row r="858" spans="1:26" ht="12.75">
      <c r="A858" s="121"/>
      <c r="B858" s="121"/>
      <c r="C858" s="121"/>
      <c r="D858" s="121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</row>
    <row r="859" spans="1:26" ht="12.75">
      <c r="A859" s="121"/>
      <c r="B859" s="121"/>
      <c r="C859" s="121"/>
      <c r="D859" s="121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</row>
    <row r="860" spans="1:26" ht="12.75">
      <c r="A860" s="121"/>
      <c r="B860" s="121"/>
      <c r="C860" s="121"/>
      <c r="D860" s="121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</row>
    <row r="861" spans="1:26" ht="12.75">
      <c r="A861" s="121"/>
      <c r="B861" s="121"/>
      <c r="C861" s="121"/>
      <c r="D861" s="121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</row>
    <row r="862" spans="1:26" ht="12.75">
      <c r="A862" s="121"/>
      <c r="B862" s="121"/>
      <c r="C862" s="121"/>
      <c r="D862" s="121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</row>
    <row r="863" spans="1:26" ht="12.75">
      <c r="A863" s="121"/>
      <c r="B863" s="121"/>
      <c r="C863" s="121"/>
      <c r="D863" s="121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</row>
    <row r="864" spans="1:26" ht="12.75">
      <c r="A864" s="121"/>
      <c r="B864" s="121"/>
      <c r="C864" s="121"/>
      <c r="D864" s="121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</row>
    <row r="865" spans="1:26" ht="12.75">
      <c r="A865" s="121"/>
      <c r="B865" s="121"/>
      <c r="C865" s="121"/>
      <c r="D865" s="121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</row>
    <row r="866" spans="1:26" ht="12.75">
      <c r="A866" s="121"/>
      <c r="B866" s="121"/>
      <c r="C866" s="121"/>
      <c r="D866" s="121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</row>
    <row r="867" spans="1:26" ht="12.75">
      <c r="A867" s="121"/>
      <c r="B867" s="121"/>
      <c r="C867" s="121"/>
      <c r="D867" s="121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</row>
    <row r="868" spans="1:26" ht="12.75">
      <c r="A868" s="121"/>
      <c r="B868" s="121"/>
      <c r="C868" s="121"/>
      <c r="D868" s="121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</row>
    <row r="869" spans="1:26" ht="12.75">
      <c r="A869" s="121"/>
      <c r="B869" s="121"/>
      <c r="C869" s="121"/>
      <c r="D869" s="121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</row>
    <row r="870" spans="1:26" ht="12.75">
      <c r="A870" s="121"/>
      <c r="B870" s="121"/>
      <c r="C870" s="121"/>
      <c r="D870" s="121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</row>
    <row r="871" spans="1:26" ht="12.75">
      <c r="A871" s="121"/>
      <c r="B871" s="121"/>
      <c r="C871" s="121"/>
      <c r="D871" s="121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</row>
    <row r="872" spans="1:26" ht="12.75">
      <c r="A872" s="121"/>
      <c r="B872" s="121"/>
      <c r="C872" s="121"/>
      <c r="D872" s="121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</row>
    <row r="873" spans="1:26" ht="12.75">
      <c r="A873" s="121"/>
      <c r="B873" s="121"/>
      <c r="C873" s="121"/>
      <c r="D873" s="121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</row>
    <row r="874" spans="1:26" ht="12.75">
      <c r="A874" s="121"/>
      <c r="B874" s="121"/>
      <c r="C874" s="121"/>
      <c r="D874" s="121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</row>
    <row r="875" spans="1:26" ht="12.75">
      <c r="A875" s="121"/>
      <c r="B875" s="121"/>
      <c r="C875" s="121"/>
      <c r="D875" s="121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</row>
    <row r="876" spans="1:26" ht="12.75">
      <c r="A876" s="121"/>
      <c r="B876" s="121"/>
      <c r="C876" s="121"/>
      <c r="D876" s="121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</row>
    <row r="877" spans="1:26" ht="12.75">
      <c r="A877" s="121"/>
      <c r="B877" s="121"/>
      <c r="C877" s="121"/>
      <c r="D877" s="121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</row>
    <row r="878" spans="1:26" ht="12.75">
      <c r="A878" s="121"/>
      <c r="B878" s="121"/>
      <c r="C878" s="121"/>
      <c r="D878" s="121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</row>
    <row r="879" spans="1:26" ht="12.75">
      <c r="A879" s="121"/>
      <c r="B879" s="121"/>
      <c r="C879" s="121"/>
      <c r="D879" s="121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</row>
    <row r="880" spans="1:26" ht="12.75">
      <c r="A880" s="121"/>
      <c r="B880" s="121"/>
      <c r="C880" s="121"/>
      <c r="D880" s="121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</row>
    <row r="881" spans="1:26" ht="12.75">
      <c r="A881" s="121"/>
      <c r="B881" s="121"/>
      <c r="C881" s="121"/>
      <c r="D881" s="121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</row>
    <row r="882" spans="1:26" ht="12.75">
      <c r="A882" s="121"/>
      <c r="B882" s="121"/>
      <c r="C882" s="121"/>
      <c r="D882" s="121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</row>
    <row r="883" spans="1:26" ht="12.75">
      <c r="A883" s="121"/>
      <c r="B883" s="121"/>
      <c r="C883" s="121"/>
      <c r="D883" s="121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</row>
    <row r="884" spans="1:26" ht="12.75">
      <c r="A884" s="121"/>
      <c r="B884" s="121"/>
      <c r="C884" s="121"/>
      <c r="D884" s="121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</row>
    <row r="885" spans="1:26" ht="12.75">
      <c r="A885" s="121"/>
      <c r="B885" s="121"/>
      <c r="C885" s="121"/>
      <c r="D885" s="121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</row>
    <row r="886" spans="1:26" ht="12.75">
      <c r="A886" s="121"/>
      <c r="B886" s="121"/>
      <c r="C886" s="121"/>
      <c r="D886" s="121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</row>
    <row r="887" spans="1:26" ht="12.75">
      <c r="A887" s="121"/>
      <c r="B887" s="121"/>
      <c r="C887" s="121"/>
      <c r="D887" s="121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</row>
    <row r="888" spans="1:26" ht="12.75">
      <c r="A888" s="121"/>
      <c r="B888" s="121"/>
      <c r="C888" s="121"/>
      <c r="D888" s="121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</row>
    <row r="889" spans="1:26" ht="12.75">
      <c r="A889" s="121"/>
      <c r="B889" s="121"/>
      <c r="C889" s="121"/>
      <c r="D889" s="121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</row>
    <row r="890" spans="1:26" ht="12.75">
      <c r="A890" s="121"/>
      <c r="B890" s="121"/>
      <c r="C890" s="121"/>
      <c r="D890" s="121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</row>
    <row r="891" spans="1:26" ht="12.75">
      <c r="A891" s="121"/>
      <c r="B891" s="121"/>
      <c r="C891" s="121"/>
      <c r="D891" s="121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</row>
    <row r="892" spans="1:26" ht="12.75">
      <c r="A892" s="121"/>
      <c r="B892" s="121"/>
      <c r="C892" s="121"/>
      <c r="D892" s="121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</row>
    <row r="893" spans="1:26" ht="12.75">
      <c r="A893" s="121"/>
      <c r="B893" s="121"/>
      <c r="C893" s="121"/>
      <c r="D893" s="121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</row>
    <row r="894" spans="1:26" ht="12.75">
      <c r="A894" s="121"/>
      <c r="B894" s="121"/>
      <c r="C894" s="121"/>
      <c r="D894" s="121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</row>
    <row r="895" spans="1:26" ht="12.75">
      <c r="A895" s="121"/>
      <c r="B895" s="121"/>
      <c r="C895" s="121"/>
      <c r="D895" s="121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</row>
    <row r="896" spans="1:26" ht="12.75">
      <c r="A896" s="121"/>
      <c r="B896" s="121"/>
      <c r="C896" s="121"/>
      <c r="D896" s="121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</row>
    <row r="897" spans="1:26" ht="12.75">
      <c r="A897" s="121"/>
      <c r="B897" s="121"/>
      <c r="C897" s="121"/>
      <c r="D897" s="121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</row>
    <row r="898" spans="1:26" ht="12.75">
      <c r="A898" s="121"/>
      <c r="B898" s="121"/>
      <c r="C898" s="121"/>
      <c r="D898" s="121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</row>
    <row r="899" spans="1:26" ht="12.75">
      <c r="A899" s="121"/>
      <c r="B899" s="121"/>
      <c r="C899" s="121"/>
      <c r="D899" s="121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</row>
    <row r="900" spans="1:26" ht="12.75">
      <c r="A900" s="121"/>
      <c r="B900" s="121"/>
      <c r="C900" s="121"/>
      <c r="D900" s="121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</row>
    <row r="901" spans="1:26" ht="12.75">
      <c r="A901" s="121"/>
      <c r="B901" s="121"/>
      <c r="C901" s="121"/>
      <c r="D901" s="121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</row>
    <row r="902" spans="1:26" ht="12.75">
      <c r="A902" s="121"/>
      <c r="B902" s="121"/>
      <c r="C902" s="121"/>
      <c r="D902" s="121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</row>
    <row r="903" spans="1:26" ht="12.75">
      <c r="A903" s="121"/>
      <c r="B903" s="121"/>
      <c r="C903" s="121"/>
      <c r="D903" s="121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</row>
    <row r="904" spans="1:26" ht="12.75">
      <c r="A904" s="121"/>
      <c r="B904" s="121"/>
      <c r="C904" s="121"/>
      <c r="D904" s="121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</row>
    <row r="905" spans="1:26" ht="12.75">
      <c r="A905" s="121"/>
      <c r="B905" s="121"/>
      <c r="C905" s="121"/>
      <c r="D905" s="121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</row>
    <row r="906" spans="1:26" ht="12.75">
      <c r="A906" s="121"/>
      <c r="B906" s="121"/>
      <c r="C906" s="121"/>
      <c r="D906" s="121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</row>
    <row r="907" spans="1:26" ht="12.75">
      <c r="A907" s="121"/>
      <c r="B907" s="121"/>
      <c r="C907" s="121"/>
      <c r="D907" s="121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</row>
    <row r="908" spans="1:26" ht="12.75">
      <c r="A908" s="121"/>
      <c r="B908" s="121"/>
      <c r="C908" s="121"/>
      <c r="D908" s="121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</row>
    <row r="909" spans="1:26" ht="12.75">
      <c r="A909" s="121"/>
      <c r="B909" s="121"/>
      <c r="C909" s="121"/>
      <c r="D909" s="121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</row>
    <row r="910" spans="1:26" ht="12.75">
      <c r="A910" s="121"/>
      <c r="B910" s="121"/>
      <c r="C910" s="121"/>
      <c r="D910" s="121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</row>
    <row r="911" spans="1:26" ht="12.75">
      <c r="A911" s="121"/>
      <c r="B911" s="121"/>
      <c r="C911" s="121"/>
      <c r="D911" s="121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</row>
    <row r="912" spans="1:26" ht="12.75">
      <c r="A912" s="121"/>
      <c r="B912" s="121"/>
      <c r="C912" s="121"/>
      <c r="D912" s="121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</row>
    <row r="913" spans="1:26" ht="12.75">
      <c r="A913" s="121"/>
      <c r="B913" s="121"/>
      <c r="C913" s="121"/>
      <c r="D913" s="121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</row>
    <row r="914" spans="1:26" ht="12.75">
      <c r="A914" s="121"/>
      <c r="B914" s="121"/>
      <c r="C914" s="121"/>
      <c r="D914" s="121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</row>
    <row r="915" spans="1:26" ht="12.75">
      <c r="A915" s="121"/>
      <c r="B915" s="121"/>
      <c r="C915" s="121"/>
      <c r="D915" s="121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</row>
    <row r="916" spans="1:26" ht="12.75">
      <c r="A916" s="121"/>
      <c r="B916" s="121"/>
      <c r="C916" s="121"/>
      <c r="D916" s="121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</row>
    <row r="917" spans="1:26" ht="12.75">
      <c r="A917" s="121"/>
      <c r="B917" s="121"/>
      <c r="C917" s="121"/>
      <c r="D917" s="121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</row>
    <row r="918" spans="1:26" ht="12.75">
      <c r="A918" s="121"/>
      <c r="B918" s="121"/>
      <c r="C918" s="121"/>
      <c r="D918" s="121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</row>
    <row r="919" spans="1:26" ht="12.75">
      <c r="A919" s="121"/>
      <c r="B919" s="121"/>
      <c r="C919" s="121"/>
      <c r="D919" s="121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</row>
    <row r="920" spans="1:26" ht="12.75">
      <c r="A920" s="121"/>
      <c r="B920" s="121"/>
      <c r="C920" s="121"/>
      <c r="D920" s="121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</row>
    <row r="921" spans="1:26" ht="12.75">
      <c r="A921" s="121"/>
      <c r="B921" s="121"/>
      <c r="C921" s="121"/>
      <c r="D921" s="121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</row>
    <row r="922" spans="1:26" ht="12.75">
      <c r="A922" s="121"/>
      <c r="B922" s="121"/>
      <c r="C922" s="121"/>
      <c r="D922" s="121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</row>
    <row r="923" spans="1:26" ht="12.75">
      <c r="A923" s="121"/>
      <c r="B923" s="121"/>
      <c r="C923" s="121"/>
      <c r="D923" s="121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</row>
    <row r="924" spans="1:26" ht="12.75">
      <c r="A924" s="121"/>
      <c r="B924" s="121"/>
      <c r="C924" s="121"/>
      <c r="D924" s="121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</row>
    <row r="925" spans="1:26" ht="12.75">
      <c r="A925" s="121"/>
      <c r="B925" s="121"/>
      <c r="C925" s="121"/>
      <c r="D925" s="121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</row>
    <row r="926" spans="1:26" ht="12.75">
      <c r="A926" s="121"/>
      <c r="B926" s="121"/>
      <c r="C926" s="121"/>
      <c r="D926" s="121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</row>
    <row r="927" spans="1:26" ht="12.75">
      <c r="A927" s="121"/>
      <c r="B927" s="121"/>
      <c r="C927" s="121"/>
      <c r="D927" s="121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</row>
    <row r="928" spans="1:26" ht="12.75">
      <c r="A928" s="121"/>
      <c r="B928" s="121"/>
      <c r="C928" s="121"/>
      <c r="D928" s="121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</row>
    <row r="929" spans="1:26" ht="12.75">
      <c r="A929" s="121"/>
      <c r="B929" s="121"/>
      <c r="C929" s="121"/>
      <c r="D929" s="121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</row>
    <row r="930" spans="1:26" ht="12.75">
      <c r="A930" s="121"/>
      <c r="B930" s="121"/>
      <c r="C930" s="121"/>
      <c r="D930" s="121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</row>
    <row r="931" spans="1:26" ht="12.75">
      <c r="A931" s="121"/>
      <c r="B931" s="121"/>
      <c r="C931" s="121"/>
      <c r="D931" s="121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</row>
    <row r="932" spans="1:26" ht="12.75">
      <c r="A932" s="121"/>
      <c r="B932" s="121"/>
      <c r="C932" s="121"/>
      <c r="D932" s="121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</row>
    <row r="933" spans="1:26" ht="12.75">
      <c r="A933" s="121"/>
      <c r="B933" s="121"/>
      <c r="C933" s="121"/>
      <c r="D933" s="121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</row>
    <row r="934" spans="1:26" ht="12.75">
      <c r="A934" s="121"/>
      <c r="B934" s="121"/>
      <c r="C934" s="121"/>
      <c r="D934" s="121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</row>
    <row r="935" spans="1:26" ht="12.75">
      <c r="A935" s="121"/>
      <c r="B935" s="121"/>
      <c r="C935" s="121"/>
      <c r="D935" s="121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</row>
    <row r="936" spans="1:26" ht="12.75">
      <c r="A936" s="121"/>
      <c r="B936" s="121"/>
      <c r="C936" s="121"/>
      <c r="D936" s="121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</row>
    <row r="937" spans="1:26" ht="12.75">
      <c r="A937" s="121"/>
      <c r="B937" s="121"/>
      <c r="C937" s="121"/>
      <c r="D937" s="121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</row>
    <row r="938" spans="1:26" ht="12.75">
      <c r="A938" s="121"/>
      <c r="B938" s="121"/>
      <c r="C938" s="121"/>
      <c r="D938" s="121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</row>
    <row r="939" spans="1:26" ht="12.75">
      <c r="A939" s="121"/>
      <c r="B939" s="121"/>
      <c r="C939" s="121"/>
      <c r="D939" s="121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</row>
    <row r="940" spans="1:26" ht="12.75">
      <c r="A940" s="121"/>
      <c r="B940" s="121"/>
      <c r="C940" s="121"/>
      <c r="D940" s="121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</row>
    <row r="941" spans="1:26" ht="12.75">
      <c r="A941" s="121"/>
      <c r="B941" s="121"/>
      <c r="C941" s="121"/>
      <c r="D941" s="121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</row>
    <row r="942" spans="1:26" ht="12.75">
      <c r="A942" s="121"/>
      <c r="B942" s="121"/>
      <c r="C942" s="121"/>
      <c r="D942" s="121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</row>
    <row r="943" spans="1:26" ht="12.75">
      <c r="A943" s="121"/>
      <c r="B943" s="121"/>
      <c r="C943" s="121"/>
      <c r="D943" s="121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</row>
    <row r="944" spans="1:26" ht="12.75">
      <c r="A944" s="121"/>
      <c r="B944" s="121"/>
      <c r="C944" s="121"/>
      <c r="D944" s="121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</row>
    <row r="945" spans="1:26" ht="12.75">
      <c r="A945" s="121"/>
      <c r="B945" s="121"/>
      <c r="C945" s="121"/>
      <c r="D945" s="121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</row>
    <row r="946" spans="1:26" ht="12.75">
      <c r="A946" s="121"/>
      <c r="B946" s="121"/>
      <c r="C946" s="121"/>
      <c r="D946" s="121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</row>
    <row r="947" spans="1:26" ht="12.75">
      <c r="A947" s="121"/>
      <c r="B947" s="121"/>
      <c r="C947" s="121"/>
      <c r="D947" s="121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</row>
    <row r="948" spans="1:26" ht="12.75">
      <c r="A948" s="121"/>
      <c r="B948" s="121"/>
      <c r="C948" s="121"/>
      <c r="D948" s="121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</row>
    <row r="949" spans="1:26" ht="12.75">
      <c r="A949" s="121"/>
      <c r="B949" s="121"/>
      <c r="C949" s="121"/>
      <c r="D949" s="121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</row>
    <row r="950" spans="1:26" ht="12.75">
      <c r="A950" s="121"/>
      <c r="B950" s="121"/>
      <c r="C950" s="121"/>
      <c r="D950" s="121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</row>
    <row r="951" spans="1:26" ht="12.75">
      <c r="A951" s="121"/>
      <c r="B951" s="121"/>
      <c r="C951" s="121"/>
      <c r="D951" s="121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</row>
    <row r="952" spans="1:26" ht="12.75">
      <c r="A952" s="121"/>
      <c r="B952" s="121"/>
      <c r="C952" s="121"/>
      <c r="D952" s="121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</row>
    <row r="953" spans="1:26" ht="12.75">
      <c r="A953" s="121"/>
      <c r="B953" s="121"/>
      <c r="C953" s="121"/>
      <c r="D953" s="121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</row>
    <row r="954" spans="1:26" ht="12.75">
      <c r="A954" s="121"/>
      <c r="B954" s="121"/>
      <c r="C954" s="121"/>
      <c r="D954" s="121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</row>
    <row r="955" spans="1:26" ht="12.75">
      <c r="A955" s="121"/>
      <c r="B955" s="121"/>
      <c r="C955" s="121"/>
      <c r="D955" s="121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</row>
    <row r="956" spans="1:26" ht="12.75">
      <c r="A956" s="121"/>
      <c r="B956" s="121"/>
      <c r="C956" s="121"/>
      <c r="D956" s="121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</row>
    <row r="957" spans="1:26" ht="12.75">
      <c r="A957" s="121"/>
      <c r="B957" s="121"/>
      <c r="C957" s="121"/>
      <c r="D957" s="121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</row>
    <row r="958" spans="1:26" ht="12.75">
      <c r="A958" s="121"/>
      <c r="B958" s="121"/>
      <c r="C958" s="121"/>
      <c r="D958" s="121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</row>
    <row r="959" spans="1:26" ht="12.75">
      <c r="A959" s="121"/>
      <c r="B959" s="121"/>
      <c r="C959" s="121"/>
      <c r="D959" s="121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</row>
    <row r="960" spans="1:26" ht="12.75">
      <c r="A960" s="121"/>
      <c r="B960" s="121"/>
      <c r="C960" s="121"/>
      <c r="D960" s="121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</row>
    <row r="961" spans="1:26" ht="12.75">
      <c r="A961" s="121"/>
      <c r="B961" s="121"/>
      <c r="C961" s="121"/>
      <c r="D961" s="121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</row>
    <row r="962" spans="1:26" ht="12.75">
      <c r="A962" s="121"/>
      <c r="B962" s="121"/>
      <c r="C962" s="121"/>
      <c r="D962" s="121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</row>
    <row r="963" spans="1:26" ht="12.75">
      <c r="A963" s="121"/>
      <c r="B963" s="121"/>
      <c r="C963" s="121"/>
      <c r="D963" s="121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</row>
    <row r="964" spans="1:26" ht="12.75">
      <c r="A964" s="121"/>
      <c r="B964" s="121"/>
      <c r="C964" s="121"/>
      <c r="D964" s="121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</row>
    <row r="965" spans="1:26" ht="12.75">
      <c r="A965" s="121"/>
      <c r="B965" s="121"/>
      <c r="C965" s="121"/>
      <c r="D965" s="121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</row>
    <row r="966" spans="1:26" ht="12.75">
      <c r="A966" s="121"/>
      <c r="B966" s="121"/>
      <c r="C966" s="121"/>
      <c r="D966" s="121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</row>
    <row r="967" spans="1:26" ht="12.75">
      <c r="A967" s="121"/>
      <c r="B967" s="121"/>
      <c r="C967" s="121"/>
      <c r="D967" s="121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</row>
    <row r="968" spans="1:26" ht="12.75">
      <c r="A968" s="121"/>
      <c r="B968" s="121"/>
      <c r="C968" s="121"/>
      <c r="D968" s="121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</row>
    <row r="969" spans="1:26" ht="12.75">
      <c r="A969" s="121"/>
      <c r="B969" s="121"/>
      <c r="C969" s="121"/>
      <c r="D969" s="121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</row>
    <row r="970" spans="1:26" ht="12.75">
      <c r="A970" s="121"/>
      <c r="B970" s="121"/>
      <c r="C970" s="121"/>
      <c r="D970" s="121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</row>
    <row r="971" spans="1:26" ht="12.75">
      <c r="A971" s="121"/>
      <c r="B971" s="121"/>
      <c r="C971" s="121"/>
      <c r="D971" s="121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</row>
    <row r="972" spans="1:26" ht="12.75">
      <c r="A972" s="121"/>
      <c r="B972" s="121"/>
      <c r="C972" s="121"/>
      <c r="D972" s="121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</row>
    <row r="973" spans="1:26" ht="12.75">
      <c r="A973" s="121"/>
      <c r="B973" s="121"/>
      <c r="C973" s="121"/>
      <c r="D973" s="121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</row>
    <row r="974" spans="1:26" ht="12.75">
      <c r="A974" s="121"/>
      <c r="B974" s="121"/>
      <c r="C974" s="121"/>
      <c r="D974" s="121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</row>
    <row r="975" spans="1:26" ht="12.75">
      <c r="A975" s="121"/>
      <c r="B975" s="121"/>
      <c r="C975" s="121"/>
      <c r="D975" s="121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</row>
    <row r="976" spans="1:26" ht="12.75">
      <c r="A976" s="121"/>
      <c r="B976" s="121"/>
      <c r="C976" s="121"/>
      <c r="D976" s="121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</row>
    <row r="977" spans="1:26" ht="12.75">
      <c r="A977" s="121"/>
      <c r="B977" s="121"/>
      <c r="C977" s="121"/>
      <c r="D977" s="121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</row>
    <row r="978" spans="1:26" ht="12.75">
      <c r="A978" s="121"/>
      <c r="B978" s="121"/>
      <c r="C978" s="121"/>
      <c r="D978" s="121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</row>
    <row r="979" spans="1:26" ht="12.75">
      <c r="A979" s="121"/>
      <c r="B979" s="121"/>
      <c r="C979" s="121"/>
      <c r="D979" s="121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</row>
    <row r="980" spans="1:26" ht="12.75">
      <c r="A980" s="121"/>
      <c r="B980" s="121"/>
      <c r="C980" s="121"/>
      <c r="D980" s="121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</row>
    <row r="981" spans="1:26" ht="12.75">
      <c r="A981" s="121"/>
      <c r="B981" s="121"/>
      <c r="C981" s="121"/>
      <c r="D981" s="121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</row>
    <row r="982" spans="1:26" ht="12.75">
      <c r="A982" s="121"/>
      <c r="B982" s="121"/>
      <c r="C982" s="121"/>
      <c r="D982" s="121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</row>
    <row r="983" spans="1:26" ht="12.75">
      <c r="A983" s="121"/>
      <c r="B983" s="121"/>
      <c r="C983" s="121"/>
      <c r="D983" s="121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</row>
    <row r="984" spans="1:26" ht="12.75">
      <c r="A984" s="121"/>
      <c r="B984" s="121"/>
      <c r="C984" s="121"/>
      <c r="D984" s="121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</row>
    <row r="985" spans="1:26" ht="12.75">
      <c r="A985" s="121"/>
      <c r="B985" s="121"/>
      <c r="C985" s="121"/>
      <c r="D985" s="121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</row>
    <row r="986" spans="1:26" ht="12.75">
      <c r="A986" s="121"/>
      <c r="B986" s="121"/>
      <c r="C986" s="121"/>
      <c r="D986" s="121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</row>
    <row r="987" spans="1:26" ht="12.75">
      <c r="A987" s="121"/>
      <c r="B987" s="121"/>
      <c r="C987" s="121"/>
      <c r="D987" s="121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</row>
    <row r="988" spans="1:26" ht="12.75">
      <c r="A988" s="121"/>
      <c r="B988" s="121"/>
      <c r="C988" s="121"/>
      <c r="D988" s="121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</row>
    <row r="989" spans="1:26" ht="12.75">
      <c r="A989" s="121"/>
      <c r="B989" s="121"/>
      <c r="C989" s="121"/>
      <c r="D989" s="121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</row>
    <row r="990" spans="1:26" ht="12.75">
      <c r="A990" s="121"/>
      <c r="B990" s="121"/>
      <c r="C990" s="121"/>
      <c r="D990" s="121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</row>
    <row r="991" spans="1:26" ht="12.75">
      <c r="A991" s="121"/>
      <c r="B991" s="121"/>
      <c r="C991" s="121"/>
      <c r="D991" s="121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</row>
    <row r="992" spans="1:26" ht="12.75">
      <c r="A992" s="121"/>
      <c r="B992" s="121"/>
      <c r="C992" s="121"/>
      <c r="D992" s="121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</row>
    <row r="993" spans="1:26" ht="12.75">
      <c r="A993" s="121"/>
      <c r="B993" s="121"/>
      <c r="C993" s="121"/>
      <c r="D993" s="121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</row>
    <row r="994" spans="1:26" ht="12.75">
      <c r="A994" s="121"/>
      <c r="B994" s="121"/>
      <c r="C994" s="121"/>
      <c r="D994" s="121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</row>
    <row r="995" spans="1:26" ht="12.75">
      <c r="A995" s="121"/>
      <c r="B995" s="121"/>
      <c r="C995" s="121"/>
      <c r="D995" s="121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</row>
    <row r="996" spans="1:26" ht="12.75">
      <c r="A996" s="121"/>
      <c r="B996" s="121"/>
      <c r="C996" s="121"/>
      <c r="D996" s="121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</row>
    <row r="997" spans="1:26" ht="12.75">
      <c r="A997" s="121"/>
      <c r="B997" s="121"/>
      <c r="C997" s="121"/>
      <c r="D997" s="121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</row>
    <row r="998" spans="1:26" ht="12.75">
      <c r="A998" s="121"/>
      <c r="B998" s="121"/>
      <c r="C998" s="121"/>
      <c r="D998" s="121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</row>
    <row r="999" spans="1:26" ht="12.75">
      <c r="A999" s="121"/>
      <c r="B999" s="121"/>
      <c r="C999" s="121"/>
      <c r="D999" s="121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</row>
    <row r="1000" spans="1:26" ht="12.75">
      <c r="A1000" s="121"/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</row>
    <row r="1001" spans="1:26" ht="12.75">
      <c r="A1001" s="121"/>
      <c r="B1001" s="121"/>
      <c r="C1001" s="121"/>
      <c r="D1001" s="121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</row>
    <row r="1002" spans="1:26" ht="12.75">
      <c r="A1002" s="121"/>
      <c r="B1002" s="121"/>
      <c r="C1002" s="121"/>
      <c r="D1002" s="121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</row>
    <row r="1003" spans="1:26" ht="12.75">
      <c r="A1003" s="121"/>
      <c r="B1003" s="121"/>
      <c r="C1003" s="121"/>
      <c r="D1003" s="121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</row>
    <row r="1004" spans="1:26" ht="12.75">
      <c r="A1004" s="121"/>
      <c r="B1004" s="121"/>
      <c r="C1004" s="121"/>
      <c r="D1004" s="121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</row>
    <row r="1005" spans="1:26" ht="12.75">
      <c r="A1005" s="121"/>
      <c r="B1005" s="121"/>
      <c r="C1005" s="121"/>
      <c r="D1005" s="121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</row>
    <row r="1006" spans="1:26" ht="12.75">
      <c r="A1006" s="121"/>
      <c r="B1006" s="121"/>
      <c r="C1006" s="121"/>
      <c r="D1006" s="121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</row>
    <row r="1007" spans="1:26" ht="12.75">
      <c r="A1007" s="121"/>
      <c r="B1007" s="121"/>
      <c r="C1007" s="121"/>
      <c r="D1007" s="121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</row>
    <row r="1008" spans="1:26" ht="12.75">
      <c r="A1008" s="121"/>
      <c r="B1008" s="121"/>
      <c r="C1008" s="121"/>
      <c r="D1008" s="121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</row>
    <row r="1009" spans="1:26" ht="12.75">
      <c r="A1009" s="121"/>
      <c r="B1009" s="121"/>
      <c r="C1009" s="121"/>
      <c r="D1009" s="121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</row>
    <row r="1010" spans="1:26" ht="12.75">
      <c r="A1010" s="121"/>
      <c r="B1010" s="121"/>
      <c r="C1010" s="121"/>
      <c r="D1010" s="121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</row>
    <row r="1011" spans="1:26" ht="12.75">
      <c r="A1011" s="121"/>
      <c r="B1011" s="121"/>
      <c r="C1011" s="121"/>
      <c r="D1011" s="121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</row>
    <row r="1012" spans="1:26" ht="12.75">
      <c r="A1012" s="121"/>
      <c r="B1012" s="121"/>
      <c r="C1012" s="121"/>
      <c r="D1012" s="121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</row>
    <row r="1013" spans="1:26" ht="12.75">
      <c r="A1013" s="121"/>
      <c r="B1013" s="121"/>
      <c r="C1013" s="121"/>
      <c r="D1013" s="121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</row>
    <row r="1014" spans="1:26" ht="12.75">
      <c r="A1014" s="121"/>
      <c r="B1014" s="121"/>
      <c r="C1014" s="121"/>
      <c r="D1014" s="121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</row>
    <row r="1015" spans="1:26" ht="12.75">
      <c r="A1015" s="121"/>
      <c r="B1015" s="121"/>
      <c r="C1015" s="121"/>
      <c r="D1015" s="121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</row>
    <row r="1016" spans="1:26" ht="12.75">
      <c r="A1016" s="121"/>
      <c r="B1016" s="121"/>
      <c r="C1016" s="121"/>
      <c r="D1016" s="121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</row>
    <row r="1017" spans="1:26" ht="12.75">
      <c r="A1017" s="121"/>
      <c r="B1017" s="121"/>
      <c r="C1017" s="121"/>
      <c r="D1017" s="121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</row>
    <row r="1018" spans="1:26" ht="12.75">
      <c r="A1018" s="121"/>
      <c r="B1018" s="121"/>
      <c r="C1018" s="121"/>
      <c r="D1018" s="121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</row>
    <row r="1019" spans="1:26" ht="12.75">
      <c r="A1019" s="121"/>
      <c r="B1019" s="121"/>
      <c r="C1019" s="121"/>
      <c r="D1019" s="121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</row>
    <row r="1020" spans="1:26" ht="12.75">
      <c r="A1020" s="121"/>
      <c r="B1020" s="121"/>
      <c r="C1020" s="121"/>
      <c r="D1020" s="121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</row>
    <row r="1021" spans="1:26" ht="12.75">
      <c r="A1021" s="121"/>
      <c r="B1021" s="121"/>
      <c r="C1021" s="121"/>
      <c r="D1021" s="121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</row>
  </sheetData>
  <conditionalFormatting sqref="C2:C13">
    <cfRule type="cellIs" dxfId="0" priority="1" operator="equal">
      <formula>"Promedio"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MIR DIF GDL 2024</vt:lpstr>
      <vt:lpstr>MIR_TRANSPARENCIA</vt:lpstr>
      <vt:lpstr>Hoja 3</vt:lpstr>
      <vt:lpstr>Glosario KEY</vt:lpstr>
      <vt:lpstr>SID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2025-01-20T19:26:11Z</dcterms:modified>
</cp:coreProperties>
</file>