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\\172.16.32.4\Transparencia\Articulo8\Fraccion_IV\Inciso_h\Indicadores 2024\Matrices de Indicadores de Resultados 3er. avance trimestal 2024\"/>
    </mc:Choice>
  </mc:AlternateContent>
  <xr:revisionPtr revIDLastSave="0" documentId="13_ncr:1_{4816A51B-BF1C-4F73-9452-E284AAA085B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MIR TRANSPARENCIA" sheetId="3" r:id="rId1"/>
    <sheet name="Estadisticas_ enero-abril 2024" sheetId="5" state="hidden" r:id="rId2"/>
    <sheet name="Hoja 3" sheetId="7" state="hidden" r:id="rId3"/>
    <sheet name="ESTADÍSTICAS (DINÁMICO)" sheetId="8" state="hidden" r:id="rId4"/>
    <sheet name="Glosario KEY" sheetId="9" state="hidden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34" i="3" l="1"/>
  <c r="N33" i="3"/>
  <c r="C114" i="9"/>
  <c r="B113" i="9"/>
  <c r="A112" i="9"/>
  <c r="C110" i="9"/>
  <c r="B109" i="9"/>
  <c r="A108" i="9"/>
  <c r="C106" i="9"/>
  <c r="B105" i="9"/>
  <c r="A104" i="9"/>
  <c r="C102" i="9"/>
  <c r="B101" i="9"/>
  <c r="A100" i="9"/>
  <c r="C98" i="9"/>
  <c r="B97" i="9"/>
  <c r="A96" i="9"/>
  <c r="C94" i="9"/>
  <c r="B93" i="9"/>
  <c r="A92" i="9"/>
  <c r="C90" i="9"/>
  <c r="B89" i="9"/>
  <c r="A88" i="9"/>
  <c r="C86" i="9"/>
  <c r="B85" i="9"/>
  <c r="A84" i="9"/>
  <c r="C82" i="9"/>
  <c r="B81" i="9"/>
  <c r="A80" i="9"/>
  <c r="C78" i="9"/>
  <c r="B77" i="9"/>
  <c r="A76" i="9"/>
  <c r="C74" i="9"/>
  <c r="B73" i="9"/>
  <c r="A72" i="9"/>
  <c r="C70" i="9"/>
  <c r="B69" i="9"/>
  <c r="A68" i="9"/>
  <c r="C66" i="9"/>
  <c r="B65" i="9"/>
  <c r="A64" i="9"/>
  <c r="C62" i="9"/>
  <c r="B61" i="9"/>
  <c r="A60" i="9"/>
  <c r="C58" i="9"/>
  <c r="B57" i="9"/>
  <c r="A56" i="9"/>
  <c r="C54" i="9"/>
  <c r="B53" i="9"/>
  <c r="A52" i="9"/>
  <c r="C50" i="9"/>
  <c r="B49" i="9"/>
  <c r="A48" i="9"/>
  <c r="C46" i="9"/>
  <c r="B45" i="9"/>
  <c r="A44" i="9"/>
  <c r="C42" i="9"/>
  <c r="B41" i="9"/>
  <c r="A40" i="9"/>
  <c r="C38" i="9"/>
  <c r="B37" i="9"/>
  <c r="A36" i="9"/>
  <c r="C34" i="9"/>
  <c r="B33" i="9"/>
  <c r="A32" i="9"/>
  <c r="C30" i="9"/>
  <c r="B29" i="9"/>
  <c r="A28" i="9"/>
  <c r="C26" i="9"/>
  <c r="B25" i="9"/>
  <c r="A24" i="9"/>
  <c r="C22" i="9"/>
  <c r="B21" i="9"/>
  <c r="A20" i="9"/>
  <c r="C18" i="9"/>
  <c r="B17" i="9"/>
  <c r="A16" i="9"/>
  <c r="C14" i="9"/>
  <c r="B13" i="9"/>
  <c r="A12" i="9"/>
  <c r="C10" i="9"/>
  <c r="B9" i="9"/>
  <c r="A8" i="9"/>
  <c r="C6" i="9"/>
  <c r="B5" i="9"/>
  <c r="A4" i="9"/>
  <c r="C2" i="9"/>
  <c r="B1" i="9"/>
  <c r="K409" i="8"/>
  <c r="G409" i="8"/>
  <c r="C409" i="8"/>
  <c r="L408" i="8"/>
  <c r="H408" i="8"/>
  <c r="D408" i="8"/>
  <c r="M407" i="8"/>
  <c r="I407" i="8"/>
  <c r="E407" i="8"/>
  <c r="A407" i="8"/>
  <c r="J406" i="8"/>
  <c r="F406" i="8"/>
  <c r="B406" i="8"/>
  <c r="K405" i="8"/>
  <c r="G405" i="8"/>
  <c r="C405" i="8"/>
  <c r="L404" i="8"/>
  <c r="H404" i="8"/>
  <c r="D404" i="8"/>
  <c r="M403" i="8"/>
  <c r="I403" i="8"/>
  <c r="E403" i="8"/>
  <c r="A403" i="8"/>
  <c r="J402" i="8"/>
  <c r="F402" i="8"/>
  <c r="B402" i="8"/>
  <c r="K401" i="8"/>
  <c r="G401" i="8"/>
  <c r="C401" i="8"/>
  <c r="L400" i="8"/>
  <c r="H400" i="8"/>
  <c r="D400" i="8"/>
  <c r="M399" i="8"/>
  <c r="I399" i="8"/>
  <c r="E399" i="8"/>
  <c r="A399" i="8"/>
  <c r="J398" i="8"/>
  <c r="F398" i="8"/>
  <c r="B398" i="8"/>
  <c r="K397" i="8"/>
  <c r="G397" i="8"/>
  <c r="B114" i="9"/>
  <c r="C112" i="9"/>
  <c r="A111" i="9"/>
  <c r="A109" i="9"/>
  <c r="B107" i="9"/>
  <c r="C105" i="9"/>
  <c r="C103" i="9"/>
  <c r="A102" i="9"/>
  <c r="B100" i="9"/>
  <c r="B98" i="9"/>
  <c r="C96" i="9"/>
  <c r="A95" i="9"/>
  <c r="A93" i="9"/>
  <c r="B91" i="9"/>
  <c r="C89" i="9"/>
  <c r="C87" i="9"/>
  <c r="A86" i="9"/>
  <c r="B84" i="9"/>
  <c r="B82" i="9"/>
  <c r="C80" i="9"/>
  <c r="A79" i="9"/>
  <c r="A77" i="9"/>
  <c r="B75" i="9"/>
  <c r="C73" i="9"/>
  <c r="C71" i="9"/>
  <c r="A70" i="9"/>
  <c r="B68" i="9"/>
  <c r="B66" i="9"/>
  <c r="C64" i="9"/>
  <c r="A63" i="9"/>
  <c r="A61" i="9"/>
  <c r="B59" i="9"/>
  <c r="C57" i="9"/>
  <c r="C55" i="9"/>
  <c r="A54" i="9"/>
  <c r="B52" i="9"/>
  <c r="B50" i="9"/>
  <c r="C48" i="9"/>
  <c r="A47" i="9"/>
  <c r="A45" i="9"/>
  <c r="B43" i="9"/>
  <c r="C41" i="9"/>
  <c r="C39" i="9"/>
  <c r="A38" i="9"/>
  <c r="B36" i="9"/>
  <c r="B34" i="9"/>
  <c r="C32" i="9"/>
  <c r="A31" i="9"/>
  <c r="A29" i="9"/>
  <c r="B27" i="9"/>
  <c r="C25" i="9"/>
  <c r="C23" i="9"/>
  <c r="A22" i="9"/>
  <c r="B20" i="9"/>
  <c r="B18" i="9"/>
  <c r="C16" i="9"/>
  <c r="A15" i="9"/>
  <c r="A13" i="9"/>
  <c r="B11" i="9"/>
  <c r="C9" i="9"/>
  <c r="C7" i="9"/>
  <c r="A6" i="9"/>
  <c r="B4" i="9"/>
  <c r="B2" i="9"/>
  <c r="M409" i="8"/>
  <c r="H409" i="8"/>
  <c r="B409" i="8"/>
  <c r="J408" i="8"/>
  <c r="E408" i="8"/>
  <c r="L407" i="8"/>
  <c r="G407" i="8"/>
  <c r="B407" i="8"/>
  <c r="I406" i="8"/>
  <c r="D406" i="8"/>
  <c r="L405" i="8"/>
  <c r="F405" i="8"/>
  <c r="A405" i="8"/>
  <c r="I404" i="8"/>
  <c r="C404" i="8"/>
  <c r="K403" i="8"/>
  <c r="F403" i="8"/>
  <c r="M402" i="8"/>
  <c r="H402" i="8"/>
  <c r="C402" i="8"/>
  <c r="J401" i="8"/>
  <c r="E401" i="8"/>
  <c r="M400" i="8"/>
  <c r="G400" i="8"/>
  <c r="B400" i="8"/>
  <c r="J399" i="8"/>
  <c r="D399" i="8"/>
  <c r="L398" i="8"/>
  <c r="G398" i="8"/>
  <c r="A398" i="8"/>
  <c r="I397" i="8"/>
  <c r="D397" i="8"/>
  <c r="M396" i="8"/>
  <c r="I396" i="8"/>
  <c r="E396" i="8"/>
  <c r="A396" i="8"/>
  <c r="J395" i="8"/>
  <c r="F395" i="8"/>
  <c r="B395" i="8"/>
  <c r="K394" i="8"/>
  <c r="G394" i="8"/>
  <c r="C394" i="8"/>
  <c r="L393" i="8"/>
  <c r="H393" i="8"/>
  <c r="D393" i="8"/>
  <c r="M392" i="8"/>
  <c r="I392" i="8"/>
  <c r="E392" i="8"/>
  <c r="A392" i="8"/>
  <c r="J391" i="8"/>
  <c r="F391" i="8"/>
  <c r="B391" i="8"/>
  <c r="K390" i="8"/>
  <c r="G390" i="8"/>
  <c r="C390" i="8"/>
  <c r="L389" i="8"/>
  <c r="H389" i="8"/>
  <c r="D389" i="8"/>
  <c r="M388" i="8"/>
  <c r="I388" i="8"/>
  <c r="E388" i="8"/>
  <c r="A388" i="8"/>
  <c r="J387" i="8"/>
  <c r="F387" i="8"/>
  <c r="B387" i="8"/>
  <c r="K386" i="8"/>
  <c r="G386" i="8"/>
  <c r="C386" i="8"/>
  <c r="L385" i="8"/>
  <c r="G385" i="8"/>
  <c r="C385" i="8"/>
  <c r="L384" i="8"/>
  <c r="G384" i="8"/>
  <c r="C384" i="8"/>
  <c r="L383" i="8"/>
  <c r="A114" i="9"/>
  <c r="B112" i="9"/>
  <c r="B110" i="9"/>
  <c r="C108" i="9"/>
  <c r="A107" i="9"/>
  <c r="A105" i="9"/>
  <c r="B103" i="9"/>
  <c r="C101" i="9"/>
  <c r="C99" i="9"/>
  <c r="A98" i="9"/>
  <c r="B96" i="9"/>
  <c r="B94" i="9"/>
  <c r="C92" i="9"/>
  <c r="A91" i="9"/>
  <c r="A89" i="9"/>
  <c r="B87" i="9"/>
  <c r="C85" i="9"/>
  <c r="C83" i="9"/>
  <c r="A82" i="9"/>
  <c r="B80" i="9"/>
  <c r="B78" i="9"/>
  <c r="C76" i="9"/>
  <c r="A75" i="9"/>
  <c r="A73" i="9"/>
  <c r="B71" i="9"/>
  <c r="C69" i="9"/>
  <c r="C67" i="9"/>
  <c r="A66" i="9"/>
  <c r="B64" i="9"/>
  <c r="B62" i="9"/>
  <c r="C60" i="9"/>
  <c r="A59" i="9"/>
  <c r="A57" i="9"/>
  <c r="B55" i="9"/>
  <c r="C53" i="9"/>
  <c r="C51" i="9"/>
  <c r="A50" i="9"/>
  <c r="B48" i="9"/>
  <c r="B46" i="9"/>
  <c r="C44" i="9"/>
  <c r="A43" i="9"/>
  <c r="A41" i="9"/>
  <c r="B39" i="9"/>
  <c r="C37" i="9"/>
  <c r="C35" i="9"/>
  <c r="A34" i="9"/>
  <c r="B32" i="9"/>
  <c r="B30" i="9"/>
  <c r="C28" i="9"/>
  <c r="A27" i="9"/>
  <c r="A25" i="9"/>
  <c r="B23" i="9"/>
  <c r="C21" i="9"/>
  <c r="C19" i="9"/>
  <c r="A18" i="9"/>
  <c r="B16" i="9"/>
  <c r="B14" i="9"/>
  <c r="C12" i="9"/>
  <c r="A11" i="9"/>
  <c r="A9" i="9"/>
  <c r="B7" i="9"/>
  <c r="C5" i="9"/>
  <c r="C3" i="9"/>
  <c r="A2" i="9"/>
  <c r="L409" i="8"/>
  <c r="F409" i="8"/>
  <c r="A409" i="8"/>
  <c r="I408" i="8"/>
  <c r="C408" i="8"/>
  <c r="K407" i="8"/>
  <c r="F407" i="8"/>
  <c r="M406" i="8"/>
  <c r="H406" i="8"/>
  <c r="C406" i="8"/>
  <c r="J405" i="8"/>
  <c r="E405" i="8"/>
  <c r="M404" i="8"/>
  <c r="G404" i="8"/>
  <c r="B404" i="8"/>
  <c r="J403" i="8"/>
  <c r="D403" i="8"/>
  <c r="L402" i="8"/>
  <c r="G402" i="8"/>
  <c r="A402" i="8"/>
  <c r="I401" i="8"/>
  <c r="D401" i="8"/>
  <c r="K400" i="8"/>
  <c r="F400" i="8"/>
  <c r="A400" i="8"/>
  <c r="H399" i="8"/>
  <c r="C399" i="8"/>
  <c r="K398" i="8"/>
  <c r="E398" i="8"/>
  <c r="M397" i="8"/>
  <c r="H397" i="8"/>
  <c r="C397" i="8"/>
  <c r="L396" i="8"/>
  <c r="H396" i="8"/>
  <c r="D396" i="8"/>
  <c r="M395" i="8"/>
  <c r="I395" i="8"/>
  <c r="E395" i="8"/>
  <c r="A395" i="8"/>
  <c r="J394" i="8"/>
  <c r="F394" i="8"/>
  <c r="B394" i="8"/>
  <c r="K393" i="8"/>
  <c r="G393" i="8"/>
  <c r="C393" i="8"/>
  <c r="L392" i="8"/>
  <c r="H392" i="8"/>
  <c r="D392" i="8"/>
  <c r="M391" i="8"/>
  <c r="I391" i="8"/>
  <c r="E391" i="8"/>
  <c r="A391" i="8"/>
  <c r="J390" i="8"/>
  <c r="F390" i="8"/>
  <c r="B390" i="8"/>
  <c r="K389" i="8"/>
  <c r="G389" i="8"/>
  <c r="C389" i="8"/>
  <c r="L388" i="8"/>
  <c r="H388" i="8"/>
  <c r="D388" i="8"/>
  <c r="M387" i="8"/>
  <c r="I387" i="8"/>
  <c r="C113" i="9"/>
  <c r="C111" i="9"/>
  <c r="A110" i="9"/>
  <c r="B108" i="9"/>
  <c r="B106" i="9"/>
  <c r="C104" i="9"/>
  <c r="A103" i="9"/>
  <c r="A101" i="9"/>
  <c r="B99" i="9"/>
  <c r="C97" i="9"/>
  <c r="C95" i="9"/>
  <c r="A94" i="9"/>
  <c r="B92" i="9"/>
  <c r="B90" i="9"/>
  <c r="C88" i="9"/>
  <c r="A87" i="9"/>
  <c r="A85" i="9"/>
  <c r="B83" i="9"/>
  <c r="C81" i="9"/>
  <c r="C79" i="9"/>
  <c r="A78" i="9"/>
  <c r="B76" i="9"/>
  <c r="B74" i="9"/>
  <c r="C72" i="9"/>
  <c r="A71" i="9"/>
  <c r="A69" i="9"/>
  <c r="B67" i="9"/>
  <c r="C65" i="9"/>
  <c r="C63" i="9"/>
  <c r="A62" i="9"/>
  <c r="B60" i="9"/>
  <c r="B58" i="9"/>
  <c r="C56" i="9"/>
  <c r="A55" i="9"/>
  <c r="A53" i="9"/>
  <c r="B51" i="9"/>
  <c r="C49" i="9"/>
  <c r="C47" i="9"/>
  <c r="A46" i="9"/>
  <c r="B44" i="9"/>
  <c r="B42" i="9"/>
  <c r="C40" i="9"/>
  <c r="A39" i="9"/>
  <c r="A37" i="9"/>
  <c r="B35" i="9"/>
  <c r="C33" i="9"/>
  <c r="C31" i="9"/>
  <c r="A30" i="9"/>
  <c r="B28" i="9"/>
  <c r="B26" i="9"/>
  <c r="C24" i="9"/>
  <c r="A23" i="9"/>
  <c r="A21" i="9"/>
  <c r="B19" i="9"/>
  <c r="C17" i="9"/>
  <c r="C15" i="9"/>
  <c r="A14" i="9"/>
  <c r="B12" i="9"/>
  <c r="B10" i="9"/>
  <c r="C8" i="9"/>
  <c r="A7" i="9"/>
  <c r="A5" i="9"/>
  <c r="B3" i="9"/>
  <c r="C1" i="9"/>
  <c r="J409" i="8"/>
  <c r="E409" i="8"/>
  <c r="M408" i="8"/>
  <c r="G408" i="8"/>
  <c r="B408" i="8"/>
  <c r="J407" i="8"/>
  <c r="D407" i="8"/>
  <c r="L406" i="8"/>
  <c r="G406" i="8"/>
  <c r="A406" i="8"/>
  <c r="I405" i="8"/>
  <c r="D405" i="8"/>
  <c r="K404" i="8"/>
  <c r="F404" i="8"/>
  <c r="A404" i="8"/>
  <c r="H403" i="8"/>
  <c r="C403" i="8"/>
  <c r="K402" i="8"/>
  <c r="E402" i="8"/>
  <c r="M401" i="8"/>
  <c r="H401" i="8"/>
  <c r="B401" i="8"/>
  <c r="J400" i="8"/>
  <c r="E400" i="8"/>
  <c r="L399" i="8"/>
  <c r="G399" i="8"/>
  <c r="B399" i="8"/>
  <c r="I398" i="8"/>
  <c r="D398" i="8"/>
  <c r="L397" i="8"/>
  <c r="F397" i="8"/>
  <c r="B397" i="8"/>
  <c r="K396" i="8"/>
  <c r="G396" i="8"/>
  <c r="C396" i="8"/>
  <c r="L395" i="8"/>
  <c r="H395" i="8"/>
  <c r="D395" i="8"/>
  <c r="M394" i="8"/>
  <c r="I394" i="8"/>
  <c r="E394" i="8"/>
  <c r="A113" i="9"/>
  <c r="B111" i="9"/>
  <c r="B104" i="9"/>
  <c r="A97" i="9"/>
  <c r="A90" i="9"/>
  <c r="A83" i="9"/>
  <c r="C75" i="9"/>
  <c r="C68" i="9"/>
  <c r="C61" i="9"/>
  <c r="B54" i="9"/>
  <c r="B47" i="9"/>
  <c r="B40" i="9"/>
  <c r="A33" i="9"/>
  <c r="A26" i="9"/>
  <c r="A19" i="9"/>
  <c r="C11" i="9"/>
  <c r="C4" i="9"/>
  <c r="D409" i="8"/>
  <c r="H407" i="8"/>
  <c r="M405" i="8"/>
  <c r="E404" i="8"/>
  <c r="I402" i="8"/>
  <c r="A401" i="8"/>
  <c r="F399" i="8"/>
  <c r="J397" i="8"/>
  <c r="F396" i="8"/>
  <c r="C395" i="8"/>
  <c r="A394" i="8"/>
  <c r="F393" i="8"/>
  <c r="K392" i="8"/>
  <c r="C392" i="8"/>
  <c r="H391" i="8"/>
  <c r="M390" i="8"/>
  <c r="E390" i="8"/>
  <c r="J389" i="8"/>
  <c r="B389" i="8"/>
  <c r="G388" i="8"/>
  <c r="L387" i="8"/>
  <c r="E387" i="8"/>
  <c r="M386" i="8"/>
  <c r="H386" i="8"/>
  <c r="B386" i="8"/>
  <c r="I385" i="8"/>
  <c r="D385" i="8"/>
  <c r="J384" i="8"/>
  <c r="E384" i="8"/>
  <c r="M383" i="8"/>
  <c r="G383" i="8"/>
  <c r="C383" i="8"/>
  <c r="L382" i="8"/>
  <c r="G382" i="8"/>
  <c r="C382" i="8"/>
  <c r="L381" i="8"/>
  <c r="H381" i="8"/>
  <c r="D381" i="8"/>
  <c r="M380" i="8"/>
  <c r="I380" i="8"/>
  <c r="E380" i="8"/>
  <c r="A380" i="8"/>
  <c r="J379" i="8"/>
  <c r="F379" i="8"/>
  <c r="B379" i="8"/>
  <c r="K378" i="8"/>
  <c r="G378" i="8"/>
  <c r="C378" i="8"/>
  <c r="L377" i="8"/>
  <c r="G377" i="8"/>
  <c r="C377" i="8"/>
  <c r="L376" i="8"/>
  <c r="G376" i="8"/>
  <c r="C376" i="8"/>
  <c r="L375" i="8"/>
  <c r="G375" i="8"/>
  <c r="C375" i="8"/>
  <c r="L374" i="8"/>
  <c r="G374" i="8"/>
  <c r="C374" i="8"/>
  <c r="L373" i="8"/>
  <c r="H373" i="8"/>
  <c r="D373" i="8"/>
  <c r="M372" i="8"/>
  <c r="I372" i="8"/>
  <c r="E372" i="8"/>
  <c r="A372" i="8"/>
  <c r="J371" i="8"/>
  <c r="F371" i="8"/>
  <c r="B371" i="8"/>
  <c r="K370" i="8"/>
  <c r="G370" i="8"/>
  <c r="C370" i="8"/>
  <c r="L369" i="8"/>
  <c r="G369" i="8"/>
  <c r="C369" i="8"/>
  <c r="L368" i="8"/>
  <c r="G368" i="8"/>
  <c r="C368" i="8"/>
  <c r="L367" i="8"/>
  <c r="G367" i="8"/>
  <c r="C367" i="8"/>
  <c r="L366" i="8"/>
  <c r="G366" i="8"/>
  <c r="C366" i="8"/>
  <c r="L365" i="8"/>
  <c r="H365" i="8"/>
  <c r="D365" i="8"/>
  <c r="M364" i="8"/>
  <c r="I364" i="8"/>
  <c r="E364" i="8"/>
  <c r="A364" i="8"/>
  <c r="J363" i="8"/>
  <c r="F363" i="8"/>
  <c r="B363" i="8"/>
  <c r="K362" i="8"/>
  <c r="G362" i="8"/>
  <c r="C362" i="8"/>
  <c r="L361" i="8"/>
  <c r="G361" i="8"/>
  <c r="C361" i="8"/>
  <c r="L360" i="8"/>
  <c r="G360" i="8"/>
  <c r="C360" i="8"/>
  <c r="L359" i="8"/>
  <c r="G359" i="8"/>
  <c r="C359" i="8"/>
  <c r="L358" i="8"/>
  <c r="G358" i="8"/>
  <c r="C358" i="8"/>
  <c r="L357" i="8"/>
  <c r="H357" i="8"/>
  <c r="D357" i="8"/>
  <c r="M356" i="8"/>
  <c r="I356" i="8"/>
  <c r="E356" i="8"/>
  <c r="A356" i="8"/>
  <c r="J355" i="8"/>
  <c r="F355" i="8"/>
  <c r="B355" i="8"/>
  <c r="K354" i="8"/>
  <c r="G354" i="8"/>
  <c r="C109" i="9"/>
  <c r="B102" i="9"/>
  <c r="B95" i="9"/>
  <c r="B88" i="9"/>
  <c r="A81" i="9"/>
  <c r="A74" i="9"/>
  <c r="A67" i="9"/>
  <c r="C59" i="9"/>
  <c r="C52" i="9"/>
  <c r="C45" i="9"/>
  <c r="B38" i="9"/>
  <c r="B31" i="9"/>
  <c r="B24" i="9"/>
  <c r="A17" i="9"/>
  <c r="A10" i="9"/>
  <c r="A3" i="9"/>
  <c r="K408" i="8"/>
  <c r="C407" i="8"/>
  <c r="H405" i="8"/>
  <c r="L403" i="8"/>
  <c r="D402" i="8"/>
  <c r="I400" i="8"/>
  <c r="M398" i="8"/>
  <c r="E397" i="8"/>
  <c r="B396" i="8"/>
  <c r="L394" i="8"/>
  <c r="M393" i="8"/>
  <c r="E393" i="8"/>
  <c r="J392" i="8"/>
  <c r="B392" i="8"/>
  <c r="G391" i="8"/>
  <c r="L390" i="8"/>
  <c r="D390" i="8"/>
  <c r="I389" i="8"/>
  <c r="A389" i="8"/>
  <c r="F388" i="8"/>
  <c r="K387" i="8"/>
  <c r="D387" i="8"/>
  <c r="L386" i="8"/>
  <c r="F386" i="8"/>
  <c r="A386" i="8"/>
  <c r="H385" i="8"/>
  <c r="B385" i="8"/>
  <c r="I384" i="8"/>
  <c r="D384" i="8"/>
  <c r="J383" i="8"/>
  <c r="F383" i="8"/>
  <c r="B383" i="8"/>
  <c r="J382" i="8"/>
  <c r="F382" i="8"/>
  <c r="B382" i="8"/>
  <c r="K381" i="8"/>
  <c r="G381" i="8"/>
  <c r="C381" i="8"/>
  <c r="L380" i="8"/>
  <c r="H380" i="8"/>
  <c r="D380" i="8"/>
  <c r="M379" i="8"/>
  <c r="I379" i="8"/>
  <c r="E379" i="8"/>
  <c r="A379" i="8"/>
  <c r="J378" i="8"/>
  <c r="F378" i="8"/>
  <c r="B378" i="8"/>
  <c r="J377" i="8"/>
  <c r="F377" i="8"/>
  <c r="B377" i="8"/>
  <c r="J376" i="8"/>
  <c r="F376" i="8"/>
  <c r="B376" i="8"/>
  <c r="J375" i="8"/>
  <c r="F375" i="8"/>
  <c r="B375" i="8"/>
  <c r="J374" i="8"/>
  <c r="F374" i="8"/>
  <c r="B374" i="8"/>
  <c r="K373" i="8"/>
  <c r="G373" i="8"/>
  <c r="C373" i="8"/>
  <c r="L372" i="8"/>
  <c r="H372" i="8"/>
  <c r="D372" i="8"/>
  <c r="M371" i="8"/>
  <c r="I371" i="8"/>
  <c r="E371" i="8"/>
  <c r="A371" i="8"/>
  <c r="J370" i="8"/>
  <c r="F370" i="8"/>
  <c r="B370" i="8"/>
  <c r="J369" i="8"/>
  <c r="F369" i="8"/>
  <c r="B369" i="8"/>
  <c r="J368" i="8"/>
  <c r="F368" i="8"/>
  <c r="B368" i="8"/>
  <c r="J367" i="8"/>
  <c r="F367" i="8"/>
  <c r="B367" i="8"/>
  <c r="J366" i="8"/>
  <c r="F366" i="8"/>
  <c r="B366" i="8"/>
  <c r="K365" i="8"/>
  <c r="G365" i="8"/>
  <c r="C365" i="8"/>
  <c r="L364" i="8"/>
  <c r="H364" i="8"/>
  <c r="D364" i="8"/>
  <c r="M363" i="8"/>
  <c r="I363" i="8"/>
  <c r="E363" i="8"/>
  <c r="A363" i="8"/>
  <c r="J362" i="8"/>
  <c r="F362" i="8"/>
  <c r="B362" i="8"/>
  <c r="J361" i="8"/>
  <c r="F361" i="8"/>
  <c r="B361" i="8"/>
  <c r="J360" i="8"/>
  <c r="F360" i="8"/>
  <c r="B360" i="8"/>
  <c r="J359" i="8"/>
  <c r="F359" i="8"/>
  <c r="B359" i="8"/>
  <c r="J358" i="8"/>
  <c r="F358" i="8"/>
  <c r="B358" i="8"/>
  <c r="K357" i="8"/>
  <c r="C107" i="9"/>
  <c r="C93" i="9"/>
  <c r="B79" i="9"/>
  <c r="A65" i="9"/>
  <c r="A51" i="9"/>
  <c r="C36" i="9"/>
  <c r="B22" i="9"/>
  <c r="B8" i="9"/>
  <c r="F408" i="8"/>
  <c r="B405" i="8"/>
  <c r="L401" i="8"/>
  <c r="H398" i="8"/>
  <c r="K395" i="8"/>
  <c r="J393" i="8"/>
  <c r="G392" i="8"/>
  <c r="D391" i="8"/>
  <c r="A390" i="8"/>
  <c r="K388" i="8"/>
  <c r="H387" i="8"/>
  <c r="J386" i="8"/>
  <c r="M385" i="8"/>
  <c r="A385" i="8"/>
  <c r="B384" i="8"/>
  <c r="E383" i="8"/>
  <c r="I382" i="8"/>
  <c r="A382" i="8"/>
  <c r="F381" i="8"/>
  <c r="K380" i="8"/>
  <c r="C380" i="8"/>
  <c r="H379" i="8"/>
  <c r="M378" i="8"/>
  <c r="E378" i="8"/>
  <c r="I377" i="8"/>
  <c r="A377" i="8"/>
  <c r="E376" i="8"/>
  <c r="I375" i="8"/>
  <c r="A375" i="8"/>
  <c r="E374" i="8"/>
  <c r="J373" i="8"/>
  <c r="B373" i="8"/>
  <c r="G372" i="8"/>
  <c r="L371" i="8"/>
  <c r="D371" i="8"/>
  <c r="I370" i="8"/>
  <c r="A370" i="8"/>
  <c r="E369" i="8"/>
  <c r="I368" i="8"/>
  <c r="A368" i="8"/>
  <c r="E367" i="8"/>
  <c r="I366" i="8"/>
  <c r="A366" i="8"/>
  <c r="F365" i="8"/>
  <c r="K364" i="8"/>
  <c r="C364" i="8"/>
  <c r="H363" i="8"/>
  <c r="M362" i="8"/>
  <c r="E362" i="8"/>
  <c r="I361" i="8"/>
  <c r="A361" i="8"/>
  <c r="E360" i="8"/>
  <c r="I359" i="8"/>
  <c r="A359" i="8"/>
  <c r="E358" i="8"/>
  <c r="J357" i="8"/>
  <c r="E357" i="8"/>
  <c r="L356" i="8"/>
  <c r="G356" i="8"/>
  <c r="B356" i="8"/>
  <c r="I355" i="8"/>
  <c r="D355" i="8"/>
  <c r="L354" i="8"/>
  <c r="F354" i="8"/>
  <c r="B354" i="8"/>
  <c r="J353" i="8"/>
  <c r="F353" i="8"/>
  <c r="B353" i="8"/>
  <c r="J352" i="8"/>
  <c r="F352" i="8"/>
  <c r="B352" i="8"/>
  <c r="J351" i="8"/>
  <c r="F351" i="8"/>
  <c r="B351" i="8"/>
  <c r="J350" i="8"/>
  <c r="F350" i="8"/>
  <c r="B350" i="8"/>
  <c r="K349" i="8"/>
  <c r="G349" i="8"/>
  <c r="C349" i="8"/>
  <c r="L348" i="8"/>
  <c r="H348" i="8"/>
  <c r="D348" i="8"/>
  <c r="M347" i="8"/>
  <c r="I347" i="8"/>
  <c r="E347" i="8"/>
  <c r="A347" i="8"/>
  <c r="J346" i="8"/>
  <c r="F346" i="8"/>
  <c r="B346" i="8"/>
  <c r="J345" i="8"/>
  <c r="F345" i="8"/>
  <c r="B345" i="8"/>
  <c r="J344" i="8"/>
  <c r="F344" i="8"/>
  <c r="B344" i="8"/>
  <c r="J343" i="8"/>
  <c r="F343" i="8"/>
  <c r="B343" i="8"/>
  <c r="J342" i="8"/>
  <c r="F342" i="8"/>
  <c r="B342" i="8"/>
  <c r="K341" i="8"/>
  <c r="G341" i="8"/>
  <c r="C341" i="8"/>
  <c r="L340" i="8"/>
  <c r="H340" i="8"/>
  <c r="D340" i="8"/>
  <c r="M339" i="8"/>
  <c r="I339" i="8"/>
  <c r="E339" i="8"/>
  <c r="A339" i="8"/>
  <c r="J338" i="8"/>
  <c r="F338" i="8"/>
  <c r="B338" i="8"/>
  <c r="J337" i="8"/>
  <c r="F337" i="8"/>
  <c r="B337" i="8"/>
  <c r="J336" i="8"/>
  <c r="F336" i="8"/>
  <c r="B336" i="8"/>
  <c r="J335" i="8"/>
  <c r="F335" i="8"/>
  <c r="B335" i="8"/>
  <c r="J334" i="8"/>
  <c r="F334" i="8"/>
  <c r="B334" i="8"/>
  <c r="K333" i="8"/>
  <c r="G333" i="8"/>
  <c r="C333" i="8"/>
  <c r="L332" i="8"/>
  <c r="H332" i="8"/>
  <c r="D332" i="8"/>
  <c r="M331" i="8"/>
  <c r="I331" i="8"/>
  <c r="E331" i="8"/>
  <c r="A331" i="8"/>
  <c r="J330" i="8"/>
  <c r="F330" i="8"/>
  <c r="B330" i="8"/>
  <c r="J329" i="8"/>
  <c r="F329" i="8"/>
  <c r="B329" i="8"/>
  <c r="J328" i="8"/>
  <c r="F328" i="8"/>
  <c r="B328" i="8"/>
  <c r="J327" i="8"/>
  <c r="F327" i="8"/>
  <c r="B327" i="8"/>
  <c r="J326" i="8"/>
  <c r="F326" i="8"/>
  <c r="B326" i="8"/>
  <c r="K325" i="8"/>
  <c r="G325" i="8"/>
  <c r="C325" i="8"/>
  <c r="L324" i="8"/>
  <c r="H324" i="8"/>
  <c r="D324" i="8"/>
  <c r="M323" i="8"/>
  <c r="I323" i="8"/>
  <c r="E323" i="8"/>
  <c r="A323" i="8"/>
  <c r="J322" i="8"/>
  <c r="F322" i="8"/>
  <c r="B322" i="8"/>
  <c r="J321" i="8"/>
  <c r="F321" i="8"/>
  <c r="B321" i="8"/>
  <c r="J320" i="8"/>
  <c r="F320" i="8"/>
  <c r="B320" i="8"/>
  <c r="J319" i="8"/>
  <c r="F319" i="8"/>
  <c r="B319" i="8"/>
  <c r="J318" i="8"/>
  <c r="F318" i="8"/>
  <c r="B318" i="8"/>
  <c r="K317" i="8"/>
  <c r="G317" i="8"/>
  <c r="C317" i="8"/>
  <c r="L316" i="8"/>
  <c r="H316" i="8"/>
  <c r="D316" i="8"/>
  <c r="M315" i="8"/>
  <c r="I315" i="8"/>
  <c r="E315" i="8"/>
  <c r="A315" i="8"/>
  <c r="J314" i="8"/>
  <c r="F314" i="8"/>
  <c r="B314" i="8"/>
  <c r="J313" i="8"/>
  <c r="F313" i="8"/>
  <c r="B313" i="8"/>
  <c r="J312" i="8"/>
  <c r="F312" i="8"/>
  <c r="B312" i="8"/>
  <c r="J311" i="8"/>
  <c r="F311" i="8"/>
  <c r="B311" i="8"/>
  <c r="J310" i="8"/>
  <c r="F310" i="8"/>
  <c r="B310" i="8"/>
  <c r="K309" i="8"/>
  <c r="G309" i="8"/>
  <c r="C309" i="8"/>
  <c r="L308" i="8"/>
  <c r="H308" i="8"/>
  <c r="D308" i="8"/>
  <c r="M307" i="8"/>
  <c r="I307" i="8"/>
  <c r="E307" i="8"/>
  <c r="A307" i="8"/>
  <c r="J306" i="8"/>
  <c r="F306" i="8"/>
  <c r="B306" i="8"/>
  <c r="J305" i="8"/>
  <c r="F305" i="8"/>
  <c r="B305" i="8"/>
  <c r="J304" i="8"/>
  <c r="F304" i="8"/>
  <c r="B304" i="8"/>
  <c r="J303" i="8"/>
  <c r="F303" i="8"/>
  <c r="B303" i="8"/>
  <c r="J302" i="8"/>
  <c r="F302" i="8"/>
  <c r="B302" i="8"/>
  <c r="K301" i="8"/>
  <c r="G301" i="8"/>
  <c r="C301" i="8"/>
  <c r="L300" i="8"/>
  <c r="H300" i="8"/>
  <c r="D300" i="8"/>
  <c r="M299" i="8"/>
  <c r="I299" i="8"/>
  <c r="E299" i="8"/>
  <c r="A299" i="8"/>
  <c r="J298" i="8"/>
  <c r="F298" i="8"/>
  <c r="B298" i="8"/>
  <c r="J297" i="8"/>
  <c r="F297" i="8"/>
  <c r="B297" i="8"/>
  <c r="J296" i="8"/>
  <c r="F296" i="8"/>
  <c r="A106" i="9"/>
  <c r="C91" i="9"/>
  <c r="C77" i="9"/>
  <c r="B63" i="9"/>
  <c r="A49" i="9"/>
  <c r="A35" i="9"/>
  <c r="C20" i="9"/>
  <c r="B6" i="9"/>
  <c r="A408" i="8"/>
  <c r="J404" i="8"/>
  <c r="F401" i="8"/>
  <c r="C398" i="8"/>
  <c r="G395" i="8"/>
  <c r="I393" i="8"/>
  <c r="F392" i="8"/>
  <c r="C391" i="8"/>
  <c r="M389" i="8"/>
  <c r="J388" i="8"/>
  <c r="G387" i="8"/>
  <c r="I386" i="8"/>
  <c r="J385" i="8"/>
  <c r="M384" i="8"/>
  <c r="A384" i="8"/>
  <c r="D383" i="8"/>
  <c r="H382" i="8"/>
  <c r="M381" i="8"/>
  <c r="E381" i="8"/>
  <c r="J380" i="8"/>
  <c r="B380" i="8"/>
  <c r="G379" i="8"/>
  <c r="L378" i="8"/>
  <c r="D378" i="8"/>
  <c r="H377" i="8"/>
  <c r="M376" i="8"/>
  <c r="D376" i="8"/>
  <c r="H375" i="8"/>
  <c r="M374" i="8"/>
  <c r="D374" i="8"/>
  <c r="I373" i="8"/>
  <c r="A373" i="8"/>
  <c r="F372" i="8"/>
  <c r="K371" i="8"/>
  <c r="C371" i="8"/>
  <c r="H370" i="8"/>
  <c r="M369" i="8"/>
  <c r="D369" i="8"/>
  <c r="H368" i="8"/>
  <c r="M367" i="8"/>
  <c r="D367" i="8"/>
  <c r="H366" i="8"/>
  <c r="M365" i="8"/>
  <c r="E365" i="8"/>
  <c r="J364" i="8"/>
  <c r="B364" i="8"/>
  <c r="G363" i="8"/>
  <c r="L362" i="8"/>
  <c r="D362" i="8"/>
  <c r="H361" i="8"/>
  <c r="M360" i="8"/>
  <c r="D360" i="8"/>
  <c r="H359" i="8"/>
  <c r="M358" i="8"/>
  <c r="D358" i="8"/>
  <c r="I357" i="8"/>
  <c r="C357" i="8"/>
  <c r="K356" i="8"/>
  <c r="F356" i="8"/>
  <c r="M355" i="8"/>
  <c r="H355" i="8"/>
  <c r="C355" i="8"/>
  <c r="J354" i="8"/>
  <c r="E354" i="8"/>
  <c r="A354" i="8"/>
  <c r="I353" i="8"/>
  <c r="E353" i="8"/>
  <c r="A353" i="8"/>
  <c r="I352" i="8"/>
  <c r="E352" i="8"/>
  <c r="A352" i="8"/>
  <c r="I351" i="8"/>
  <c r="E351" i="8"/>
  <c r="A351" i="8"/>
  <c r="I350" i="8"/>
  <c r="E350" i="8"/>
  <c r="A350" i="8"/>
  <c r="J349" i="8"/>
  <c r="F349" i="8"/>
  <c r="B349" i="8"/>
  <c r="K348" i="8"/>
  <c r="G348" i="8"/>
  <c r="C348" i="8"/>
  <c r="L347" i="8"/>
  <c r="H347" i="8"/>
  <c r="D347" i="8"/>
  <c r="M346" i="8"/>
  <c r="I346" i="8"/>
  <c r="E346" i="8"/>
  <c r="A346" i="8"/>
  <c r="I345" i="8"/>
  <c r="E345" i="8"/>
  <c r="A345" i="8"/>
  <c r="I344" i="8"/>
  <c r="E344" i="8"/>
  <c r="A344" i="8"/>
  <c r="I343" i="8"/>
  <c r="E343" i="8"/>
  <c r="A343" i="8"/>
  <c r="I342" i="8"/>
  <c r="E342" i="8"/>
  <c r="A342" i="8"/>
  <c r="J341" i="8"/>
  <c r="F341" i="8"/>
  <c r="B341" i="8"/>
  <c r="K340" i="8"/>
  <c r="G340" i="8"/>
  <c r="C340" i="8"/>
  <c r="L339" i="8"/>
  <c r="H339" i="8"/>
  <c r="D339" i="8"/>
  <c r="M338" i="8"/>
  <c r="I338" i="8"/>
  <c r="E338" i="8"/>
  <c r="A338" i="8"/>
  <c r="I337" i="8"/>
  <c r="E337" i="8"/>
  <c r="A337" i="8"/>
  <c r="I336" i="8"/>
  <c r="E336" i="8"/>
  <c r="A336" i="8"/>
  <c r="I335" i="8"/>
  <c r="E335" i="8"/>
  <c r="A335" i="8"/>
  <c r="I334" i="8"/>
  <c r="E334" i="8"/>
  <c r="A334" i="8"/>
  <c r="J333" i="8"/>
  <c r="F333" i="8"/>
  <c r="B333" i="8"/>
  <c r="K332" i="8"/>
  <c r="G332" i="8"/>
  <c r="C332" i="8"/>
  <c r="L331" i="8"/>
  <c r="H331" i="8"/>
  <c r="D331" i="8"/>
  <c r="M330" i="8"/>
  <c r="I330" i="8"/>
  <c r="E330" i="8"/>
  <c r="A330" i="8"/>
  <c r="I329" i="8"/>
  <c r="E329" i="8"/>
  <c r="A329" i="8"/>
  <c r="I328" i="8"/>
  <c r="E328" i="8"/>
  <c r="A328" i="8"/>
  <c r="I327" i="8"/>
  <c r="E327" i="8"/>
  <c r="A327" i="8"/>
  <c r="I326" i="8"/>
  <c r="E326" i="8"/>
  <c r="A326" i="8"/>
  <c r="J325" i="8"/>
  <c r="F325" i="8"/>
  <c r="B325" i="8"/>
  <c r="K324" i="8"/>
  <c r="G324" i="8"/>
  <c r="C324" i="8"/>
  <c r="L323" i="8"/>
  <c r="H323" i="8"/>
  <c r="D323" i="8"/>
  <c r="M322" i="8"/>
  <c r="I322" i="8"/>
  <c r="E322" i="8"/>
  <c r="A322" i="8"/>
  <c r="I321" i="8"/>
  <c r="E321" i="8"/>
  <c r="A321" i="8"/>
  <c r="I320" i="8"/>
  <c r="E320" i="8"/>
  <c r="A320" i="8"/>
  <c r="I319" i="8"/>
  <c r="E319" i="8"/>
  <c r="A319" i="8"/>
  <c r="I318" i="8"/>
  <c r="E318" i="8"/>
  <c r="A318" i="8"/>
  <c r="J317" i="8"/>
  <c r="F317" i="8"/>
  <c r="B317" i="8"/>
  <c r="K316" i="8"/>
  <c r="G316" i="8"/>
  <c r="C316" i="8"/>
  <c r="L315" i="8"/>
  <c r="H315" i="8"/>
  <c r="D315" i="8"/>
  <c r="M314" i="8"/>
  <c r="I314" i="8"/>
  <c r="E314" i="8"/>
  <c r="A314" i="8"/>
  <c r="I313" i="8"/>
  <c r="E313" i="8"/>
  <c r="A313" i="8"/>
  <c r="I312" i="8"/>
  <c r="E312" i="8"/>
  <c r="A312" i="8"/>
  <c r="I311" i="8"/>
  <c r="E311" i="8"/>
  <c r="A311" i="8"/>
  <c r="I310" i="8"/>
  <c r="E310" i="8"/>
  <c r="A310" i="8"/>
  <c r="J309" i="8"/>
  <c r="F309" i="8"/>
  <c r="B309" i="8"/>
  <c r="K308" i="8"/>
  <c r="G308" i="8"/>
  <c r="C308" i="8"/>
  <c r="L307" i="8"/>
  <c r="H307" i="8"/>
  <c r="D307" i="8"/>
  <c r="M306" i="8"/>
  <c r="I306" i="8"/>
  <c r="E306" i="8"/>
  <c r="A306" i="8"/>
  <c r="I305" i="8"/>
  <c r="E305" i="8"/>
  <c r="A305" i="8"/>
  <c r="I304" i="8"/>
  <c r="E304" i="8"/>
  <c r="A304" i="8"/>
  <c r="I303" i="8"/>
  <c r="E303" i="8"/>
  <c r="A303" i="8"/>
  <c r="I302" i="8"/>
  <c r="E302" i="8"/>
  <c r="A302" i="8"/>
  <c r="J301" i="8"/>
  <c r="F301" i="8"/>
  <c r="B301" i="8"/>
  <c r="K300" i="8"/>
  <c r="G300" i="8"/>
  <c r="C300" i="8"/>
  <c r="L299" i="8"/>
  <c r="H299" i="8"/>
  <c r="D299" i="8"/>
  <c r="M298" i="8"/>
  <c r="I298" i="8"/>
  <c r="E298" i="8"/>
  <c r="A298" i="8"/>
  <c r="I297" i="8"/>
  <c r="E297" i="8"/>
  <c r="A297" i="8"/>
  <c r="I296" i="8"/>
  <c r="E296" i="8"/>
  <c r="A296" i="8"/>
  <c r="I295" i="8"/>
  <c r="C100" i="9"/>
  <c r="B86" i="9"/>
  <c r="B72" i="9"/>
  <c r="A58" i="9"/>
  <c r="C43" i="9"/>
  <c r="C29" i="9"/>
  <c r="B15" i="9"/>
  <c r="A1" i="9"/>
  <c r="K406" i="8"/>
  <c r="G403" i="8"/>
  <c r="C400" i="8"/>
  <c r="A397" i="8"/>
  <c r="H394" i="8"/>
  <c r="B393" i="8"/>
  <c r="L391" i="8"/>
  <c r="I390" i="8"/>
  <c r="F389" i="8"/>
  <c r="C388" i="8"/>
  <c r="C387" i="8"/>
  <c r="E386" i="8"/>
  <c r="F385" i="8"/>
  <c r="H384" i="8"/>
  <c r="I383" i="8"/>
  <c r="A383" i="8"/>
  <c r="E382" i="8"/>
  <c r="J381" i="8"/>
  <c r="B381" i="8"/>
  <c r="G380" i="8"/>
  <c r="L379" i="8"/>
  <c r="D379" i="8"/>
  <c r="I378" i="8"/>
  <c r="A378" i="8"/>
  <c r="E377" i="8"/>
  <c r="I376" i="8"/>
  <c r="A376" i="8"/>
  <c r="E375" i="8"/>
  <c r="I374" i="8"/>
  <c r="A374" i="8"/>
  <c r="F373" i="8"/>
  <c r="K372" i="8"/>
  <c r="C372" i="8"/>
  <c r="H371" i="8"/>
  <c r="M370" i="8"/>
  <c r="E370" i="8"/>
  <c r="I369" i="8"/>
  <c r="A369" i="8"/>
  <c r="E368" i="8"/>
  <c r="I367" i="8"/>
  <c r="A367" i="8"/>
  <c r="E366" i="8"/>
  <c r="J365" i="8"/>
  <c r="B365" i="8"/>
  <c r="G364" i="8"/>
  <c r="L363" i="8"/>
  <c r="D363" i="8"/>
  <c r="I362" i="8"/>
  <c r="A362" i="8"/>
  <c r="E361" i="8"/>
  <c r="I360" i="8"/>
  <c r="A360" i="8"/>
  <c r="E359" i="8"/>
  <c r="I358" i="8"/>
  <c r="A358" i="8"/>
  <c r="G357" i="8"/>
  <c r="B357" i="8"/>
  <c r="J356" i="8"/>
  <c r="D356" i="8"/>
  <c r="L355" i="8"/>
  <c r="G355" i="8"/>
  <c r="A355" i="8"/>
  <c r="I354" i="8"/>
  <c r="D354" i="8"/>
  <c r="M353" i="8"/>
  <c r="H353" i="8"/>
  <c r="D353" i="8"/>
  <c r="M352" i="8"/>
  <c r="H352" i="8"/>
  <c r="D352" i="8"/>
  <c r="M351" i="8"/>
  <c r="H351" i="8"/>
  <c r="D351" i="8"/>
  <c r="M350" i="8"/>
  <c r="H350" i="8"/>
  <c r="D350" i="8"/>
  <c r="M349" i="8"/>
  <c r="I349" i="8"/>
  <c r="E349" i="8"/>
  <c r="A349" i="8"/>
  <c r="J348" i="8"/>
  <c r="F348" i="8"/>
  <c r="B348" i="8"/>
  <c r="K347" i="8"/>
  <c r="G347" i="8"/>
  <c r="C347" i="8"/>
  <c r="L346" i="8"/>
  <c r="H346" i="8"/>
  <c r="D346" i="8"/>
  <c r="M345" i="8"/>
  <c r="H345" i="8"/>
  <c r="D345" i="8"/>
  <c r="M344" i="8"/>
  <c r="H344" i="8"/>
  <c r="D344" i="8"/>
  <c r="M343" i="8"/>
  <c r="H343" i="8"/>
  <c r="D343" i="8"/>
  <c r="M342" i="8"/>
  <c r="H342" i="8"/>
  <c r="D342" i="8"/>
  <c r="M341" i="8"/>
  <c r="I341" i="8"/>
  <c r="E341" i="8"/>
  <c r="A341" i="8"/>
  <c r="J340" i="8"/>
  <c r="F340" i="8"/>
  <c r="B340" i="8"/>
  <c r="K339" i="8"/>
  <c r="G339" i="8"/>
  <c r="C339" i="8"/>
  <c r="L338" i="8"/>
  <c r="H338" i="8"/>
  <c r="D338" i="8"/>
  <c r="M337" i="8"/>
  <c r="H337" i="8"/>
  <c r="D337" i="8"/>
  <c r="M336" i="8"/>
  <c r="H336" i="8"/>
  <c r="D336" i="8"/>
  <c r="M335" i="8"/>
  <c r="H335" i="8"/>
  <c r="D335" i="8"/>
  <c r="M334" i="8"/>
  <c r="H334" i="8"/>
  <c r="D334" i="8"/>
  <c r="M333" i="8"/>
  <c r="I333" i="8"/>
  <c r="E333" i="8"/>
  <c r="A333" i="8"/>
  <c r="J332" i="8"/>
  <c r="F332" i="8"/>
  <c r="B332" i="8"/>
  <c r="K331" i="8"/>
  <c r="G331" i="8"/>
  <c r="C331" i="8"/>
  <c r="L330" i="8"/>
  <c r="H330" i="8"/>
  <c r="D330" i="8"/>
  <c r="M329" i="8"/>
  <c r="H329" i="8"/>
  <c r="D329" i="8"/>
  <c r="M328" i="8"/>
  <c r="H328" i="8"/>
  <c r="D328" i="8"/>
  <c r="M327" i="8"/>
  <c r="H327" i="8"/>
  <c r="D327" i="8"/>
  <c r="M326" i="8"/>
  <c r="H326" i="8"/>
  <c r="D326" i="8"/>
  <c r="M325" i="8"/>
  <c r="I325" i="8"/>
  <c r="E325" i="8"/>
  <c r="A325" i="8"/>
  <c r="J324" i="8"/>
  <c r="F324" i="8"/>
  <c r="B324" i="8"/>
  <c r="K323" i="8"/>
  <c r="G323" i="8"/>
  <c r="C323" i="8"/>
  <c r="L322" i="8"/>
  <c r="H322" i="8"/>
  <c r="D322" i="8"/>
  <c r="M321" i="8"/>
  <c r="H321" i="8"/>
  <c r="D321" i="8"/>
  <c r="M320" i="8"/>
  <c r="H320" i="8"/>
  <c r="D320" i="8"/>
  <c r="M319" i="8"/>
  <c r="H319" i="8"/>
  <c r="D319" i="8"/>
  <c r="M318" i="8"/>
  <c r="H318" i="8"/>
  <c r="D318" i="8"/>
  <c r="M317" i="8"/>
  <c r="I317" i="8"/>
  <c r="E317" i="8"/>
  <c r="A317" i="8"/>
  <c r="J316" i="8"/>
  <c r="F316" i="8"/>
  <c r="B316" i="8"/>
  <c r="K315" i="8"/>
  <c r="G315" i="8"/>
  <c r="C315" i="8"/>
  <c r="L314" i="8"/>
  <c r="H314" i="8"/>
  <c r="D314" i="8"/>
  <c r="M313" i="8"/>
  <c r="H313" i="8"/>
  <c r="D313" i="8"/>
  <c r="M312" i="8"/>
  <c r="H312" i="8"/>
  <c r="D312" i="8"/>
  <c r="M311" i="8"/>
  <c r="H311" i="8"/>
  <c r="D311" i="8"/>
  <c r="M310" i="8"/>
  <c r="H310" i="8"/>
  <c r="D310" i="8"/>
  <c r="M309" i="8"/>
  <c r="I309" i="8"/>
  <c r="E309" i="8"/>
  <c r="A309" i="8"/>
  <c r="J308" i="8"/>
  <c r="F308" i="8"/>
  <c r="B308" i="8"/>
  <c r="K307" i="8"/>
  <c r="G307" i="8"/>
  <c r="C307" i="8"/>
  <c r="L306" i="8"/>
  <c r="H306" i="8"/>
  <c r="D306" i="8"/>
  <c r="M305" i="8"/>
  <c r="H305" i="8"/>
  <c r="D305" i="8"/>
  <c r="M304" i="8"/>
  <c r="H304" i="8"/>
  <c r="D304" i="8"/>
  <c r="M303" i="8"/>
  <c r="H303" i="8"/>
  <c r="D303" i="8"/>
  <c r="M302" i="8"/>
  <c r="H302" i="8"/>
  <c r="D302" i="8"/>
  <c r="M301" i="8"/>
  <c r="I301" i="8"/>
  <c r="E301" i="8"/>
  <c r="A301" i="8"/>
  <c r="J300" i="8"/>
  <c r="F300" i="8"/>
  <c r="B300" i="8"/>
  <c r="K299" i="8"/>
  <c r="G299" i="8"/>
  <c r="C299" i="8"/>
  <c r="L298" i="8"/>
  <c r="H298" i="8"/>
  <c r="D298" i="8"/>
  <c r="M297" i="8"/>
  <c r="A99" i="9"/>
  <c r="A42" i="9"/>
  <c r="E406" i="8"/>
  <c r="D394" i="8"/>
  <c r="E389" i="8"/>
  <c r="E385" i="8"/>
  <c r="D382" i="8"/>
  <c r="K379" i="8"/>
  <c r="D377" i="8"/>
  <c r="H374" i="8"/>
  <c r="B372" i="8"/>
  <c r="H369" i="8"/>
  <c r="M366" i="8"/>
  <c r="F364" i="8"/>
  <c r="M361" i="8"/>
  <c r="D359" i="8"/>
  <c r="A357" i="8"/>
  <c r="E355" i="8"/>
  <c r="L353" i="8"/>
  <c r="G352" i="8"/>
  <c r="C351" i="8"/>
  <c r="L349" i="8"/>
  <c r="I348" i="8"/>
  <c r="F347" i="8"/>
  <c r="C346" i="8"/>
  <c r="L344" i="8"/>
  <c r="G343" i="8"/>
  <c r="C342" i="8"/>
  <c r="M340" i="8"/>
  <c r="J339" i="8"/>
  <c r="G338" i="8"/>
  <c r="C337" i="8"/>
  <c r="L335" i="8"/>
  <c r="G334" i="8"/>
  <c r="D333" i="8"/>
  <c r="A332" i="8"/>
  <c r="K330" i="8"/>
  <c r="G329" i="8"/>
  <c r="C328" i="8"/>
  <c r="L326" i="8"/>
  <c r="H325" i="8"/>
  <c r="E324" i="8"/>
  <c r="B323" i="8"/>
  <c r="L321" i="8"/>
  <c r="G320" i="8"/>
  <c r="C319" i="8"/>
  <c r="L317" i="8"/>
  <c r="I316" i="8"/>
  <c r="F315" i="8"/>
  <c r="C314" i="8"/>
  <c r="L312" i="8"/>
  <c r="G311" i="8"/>
  <c r="C310" i="8"/>
  <c r="M308" i="8"/>
  <c r="J307" i="8"/>
  <c r="G306" i="8"/>
  <c r="C305" i="8"/>
  <c r="L303" i="8"/>
  <c r="G302" i="8"/>
  <c r="D301" i="8"/>
  <c r="A300" i="8"/>
  <c r="K298" i="8"/>
  <c r="H297" i="8"/>
  <c r="M296" i="8"/>
  <c r="D296" i="8"/>
  <c r="L295" i="8"/>
  <c r="F295" i="8"/>
  <c r="B295" i="8"/>
  <c r="J294" i="8"/>
  <c r="F294" i="8"/>
  <c r="B294" i="8"/>
  <c r="K293" i="8"/>
  <c r="G293" i="8"/>
  <c r="C293" i="8"/>
  <c r="L292" i="8"/>
  <c r="H292" i="8"/>
  <c r="D292" i="8"/>
  <c r="M291" i="8"/>
  <c r="I291" i="8"/>
  <c r="E291" i="8"/>
  <c r="A291" i="8"/>
  <c r="J290" i="8"/>
  <c r="F290" i="8"/>
  <c r="B290" i="8"/>
  <c r="J289" i="8"/>
  <c r="F289" i="8"/>
  <c r="B289" i="8"/>
  <c r="J288" i="8"/>
  <c r="F288" i="8"/>
  <c r="B288" i="8"/>
  <c r="J287" i="8"/>
  <c r="F287" i="8"/>
  <c r="B287" i="8"/>
  <c r="J286" i="8"/>
  <c r="F286" i="8"/>
  <c r="B286" i="8"/>
  <c r="K285" i="8"/>
  <c r="G285" i="8"/>
  <c r="C285" i="8"/>
  <c r="L284" i="8"/>
  <c r="H284" i="8"/>
  <c r="D284" i="8"/>
  <c r="M283" i="8"/>
  <c r="I283" i="8"/>
  <c r="E283" i="8"/>
  <c r="A283" i="8"/>
  <c r="J282" i="8"/>
  <c r="F282" i="8"/>
  <c r="B282" i="8"/>
  <c r="J281" i="8"/>
  <c r="F281" i="8"/>
  <c r="B281" i="8"/>
  <c r="J280" i="8"/>
  <c r="F280" i="8"/>
  <c r="B280" i="8"/>
  <c r="J279" i="8"/>
  <c r="F279" i="8"/>
  <c r="B279" i="8"/>
  <c r="J278" i="8"/>
  <c r="F278" i="8"/>
  <c r="B278" i="8"/>
  <c r="K277" i="8"/>
  <c r="G277" i="8"/>
  <c r="C277" i="8"/>
  <c r="L276" i="8"/>
  <c r="H276" i="8"/>
  <c r="D276" i="8"/>
  <c r="M275" i="8"/>
  <c r="I275" i="8"/>
  <c r="E275" i="8"/>
  <c r="A275" i="8"/>
  <c r="J274" i="8"/>
  <c r="F274" i="8"/>
  <c r="B274" i="8"/>
  <c r="J273" i="8"/>
  <c r="F273" i="8"/>
  <c r="B273" i="8"/>
  <c r="J272" i="8"/>
  <c r="F272" i="8"/>
  <c r="B272" i="8"/>
  <c r="J271" i="8"/>
  <c r="F271" i="8"/>
  <c r="B271" i="8"/>
  <c r="J270" i="8"/>
  <c r="F270" i="8"/>
  <c r="B270" i="8"/>
  <c r="K269" i="8"/>
  <c r="G269" i="8"/>
  <c r="C269" i="8"/>
  <c r="L268" i="8"/>
  <c r="H268" i="8"/>
  <c r="D268" i="8"/>
  <c r="M267" i="8"/>
  <c r="I267" i="8"/>
  <c r="E267" i="8"/>
  <c r="A267" i="8"/>
  <c r="J266" i="8"/>
  <c r="F266" i="8"/>
  <c r="B266" i="8"/>
  <c r="J265" i="8"/>
  <c r="F265" i="8"/>
  <c r="B265" i="8"/>
  <c r="J264" i="8"/>
  <c r="F264" i="8"/>
  <c r="B264" i="8"/>
  <c r="J263" i="8"/>
  <c r="F263" i="8"/>
  <c r="B263" i="8"/>
  <c r="J262" i="8"/>
  <c r="F262" i="8"/>
  <c r="B262" i="8"/>
  <c r="K261" i="8"/>
  <c r="G261" i="8"/>
  <c r="C261" i="8"/>
  <c r="L260" i="8"/>
  <c r="H260" i="8"/>
  <c r="D260" i="8"/>
  <c r="M259" i="8"/>
  <c r="I259" i="8"/>
  <c r="E259" i="8"/>
  <c r="A259" i="8"/>
  <c r="J258" i="8"/>
  <c r="F258" i="8"/>
  <c r="B258" i="8"/>
  <c r="J257" i="8"/>
  <c r="F257" i="8"/>
  <c r="B257" i="8"/>
  <c r="J256" i="8"/>
  <c r="F256" i="8"/>
  <c r="B256" i="8"/>
  <c r="J255" i="8"/>
  <c r="F255" i="8"/>
  <c r="B255" i="8"/>
  <c r="J254" i="8"/>
  <c r="F254" i="8"/>
  <c r="B254" i="8"/>
  <c r="K253" i="8"/>
  <c r="G253" i="8"/>
  <c r="C253" i="8"/>
  <c r="L252" i="8"/>
  <c r="H252" i="8"/>
  <c r="D252" i="8"/>
  <c r="M251" i="8"/>
  <c r="I251" i="8"/>
  <c r="E251" i="8"/>
  <c r="A251" i="8"/>
  <c r="J250" i="8"/>
  <c r="F250" i="8"/>
  <c r="B250" i="8"/>
  <c r="J249" i="8"/>
  <c r="F249" i="8"/>
  <c r="B249" i="8"/>
  <c r="J248" i="8"/>
  <c r="F248" i="8"/>
  <c r="B248" i="8"/>
  <c r="J247" i="8"/>
  <c r="F247" i="8"/>
  <c r="B247" i="8"/>
  <c r="J246" i="8"/>
  <c r="F246" i="8"/>
  <c r="B246" i="8"/>
  <c r="K245" i="8"/>
  <c r="G245" i="8"/>
  <c r="C245" i="8"/>
  <c r="L244" i="8"/>
  <c r="H244" i="8"/>
  <c r="D244" i="8"/>
  <c r="M243" i="8"/>
  <c r="I243" i="8"/>
  <c r="E243" i="8"/>
  <c r="A243" i="8"/>
  <c r="J242" i="8"/>
  <c r="F242" i="8"/>
  <c r="B242" i="8"/>
  <c r="J241" i="8"/>
  <c r="F241" i="8"/>
  <c r="B241" i="8"/>
  <c r="J240" i="8"/>
  <c r="F240" i="8"/>
  <c r="B240" i="8"/>
  <c r="C84" i="9"/>
  <c r="C27" i="9"/>
  <c r="B403" i="8"/>
  <c r="A393" i="8"/>
  <c r="B388" i="8"/>
  <c r="F384" i="8"/>
  <c r="I381" i="8"/>
  <c r="C379" i="8"/>
  <c r="H376" i="8"/>
  <c r="M373" i="8"/>
  <c r="G371" i="8"/>
  <c r="M368" i="8"/>
  <c r="D366" i="8"/>
  <c r="K363" i="8"/>
  <c r="D361" i="8"/>
  <c r="H358" i="8"/>
  <c r="H356" i="8"/>
  <c r="M354" i="8"/>
  <c r="G353" i="8"/>
  <c r="C352" i="8"/>
  <c r="L350" i="8"/>
  <c r="H349" i="8"/>
  <c r="E348" i="8"/>
  <c r="B347" i="8"/>
  <c r="L345" i="8"/>
  <c r="G344" i="8"/>
  <c r="C343" i="8"/>
  <c r="L341" i="8"/>
  <c r="I340" i="8"/>
  <c r="F339" i="8"/>
  <c r="C338" i="8"/>
  <c r="L336" i="8"/>
  <c r="G335" i="8"/>
  <c r="C334" i="8"/>
  <c r="M332" i="8"/>
  <c r="J331" i="8"/>
  <c r="G330" i="8"/>
  <c r="C329" i="8"/>
  <c r="L327" i="8"/>
  <c r="G326" i="8"/>
  <c r="D325" i="8"/>
  <c r="A324" i="8"/>
  <c r="K322" i="8"/>
  <c r="G321" i="8"/>
  <c r="C320" i="8"/>
  <c r="L318" i="8"/>
  <c r="H317" i="8"/>
  <c r="E316" i="8"/>
  <c r="B315" i="8"/>
  <c r="L313" i="8"/>
  <c r="G312" i="8"/>
  <c r="C311" i="8"/>
  <c r="L309" i="8"/>
  <c r="I308" i="8"/>
  <c r="F307" i="8"/>
  <c r="C306" i="8"/>
  <c r="L304" i="8"/>
  <c r="G303" i="8"/>
  <c r="C302" i="8"/>
  <c r="M300" i="8"/>
  <c r="J299" i="8"/>
  <c r="G298" i="8"/>
  <c r="G297" i="8"/>
  <c r="L296" i="8"/>
  <c r="C296" i="8"/>
  <c r="J295" i="8"/>
  <c r="E295" i="8"/>
  <c r="A295" i="8"/>
  <c r="I294" i="8"/>
  <c r="E294" i="8"/>
  <c r="A294" i="8"/>
  <c r="J293" i="8"/>
  <c r="F293" i="8"/>
  <c r="B293" i="8"/>
  <c r="K292" i="8"/>
  <c r="G292" i="8"/>
  <c r="C292" i="8"/>
  <c r="L291" i="8"/>
  <c r="H291" i="8"/>
  <c r="D291" i="8"/>
  <c r="M290" i="8"/>
  <c r="I290" i="8"/>
  <c r="E290" i="8"/>
  <c r="A290" i="8"/>
  <c r="I289" i="8"/>
  <c r="E289" i="8"/>
  <c r="A289" i="8"/>
  <c r="I288" i="8"/>
  <c r="E288" i="8"/>
  <c r="A288" i="8"/>
  <c r="I287" i="8"/>
  <c r="E287" i="8"/>
  <c r="A287" i="8"/>
  <c r="I286" i="8"/>
  <c r="E286" i="8"/>
  <c r="A286" i="8"/>
  <c r="J285" i="8"/>
  <c r="F285" i="8"/>
  <c r="B285" i="8"/>
  <c r="K284" i="8"/>
  <c r="G284" i="8"/>
  <c r="C284" i="8"/>
  <c r="L283" i="8"/>
  <c r="H283" i="8"/>
  <c r="D283" i="8"/>
  <c r="M282" i="8"/>
  <c r="I282" i="8"/>
  <c r="E282" i="8"/>
  <c r="A282" i="8"/>
  <c r="I281" i="8"/>
  <c r="E281" i="8"/>
  <c r="A281" i="8"/>
  <c r="I280" i="8"/>
  <c r="E280" i="8"/>
  <c r="A280" i="8"/>
  <c r="I279" i="8"/>
  <c r="E279" i="8"/>
  <c r="A279" i="8"/>
  <c r="I278" i="8"/>
  <c r="E278" i="8"/>
  <c r="A278" i="8"/>
  <c r="J277" i="8"/>
  <c r="F277" i="8"/>
  <c r="B277" i="8"/>
  <c r="K276" i="8"/>
  <c r="G276" i="8"/>
  <c r="C276" i="8"/>
  <c r="L275" i="8"/>
  <c r="H275" i="8"/>
  <c r="D275" i="8"/>
  <c r="M274" i="8"/>
  <c r="I274" i="8"/>
  <c r="E274" i="8"/>
  <c r="A274" i="8"/>
  <c r="I273" i="8"/>
  <c r="E273" i="8"/>
  <c r="A273" i="8"/>
  <c r="I272" i="8"/>
  <c r="E272" i="8"/>
  <c r="A272" i="8"/>
  <c r="I271" i="8"/>
  <c r="E271" i="8"/>
  <c r="A271" i="8"/>
  <c r="I270" i="8"/>
  <c r="E270" i="8"/>
  <c r="A270" i="8"/>
  <c r="J269" i="8"/>
  <c r="F269" i="8"/>
  <c r="B269" i="8"/>
  <c r="K268" i="8"/>
  <c r="G268" i="8"/>
  <c r="C268" i="8"/>
  <c r="L267" i="8"/>
  <c r="H267" i="8"/>
  <c r="D267" i="8"/>
  <c r="M266" i="8"/>
  <c r="I266" i="8"/>
  <c r="E266" i="8"/>
  <c r="A266" i="8"/>
  <c r="I265" i="8"/>
  <c r="E265" i="8"/>
  <c r="A265" i="8"/>
  <c r="I264" i="8"/>
  <c r="E264" i="8"/>
  <c r="A264" i="8"/>
  <c r="I263" i="8"/>
  <c r="E263" i="8"/>
  <c r="A263" i="8"/>
  <c r="I262" i="8"/>
  <c r="E262" i="8"/>
  <c r="A262" i="8"/>
  <c r="J261" i="8"/>
  <c r="F261" i="8"/>
  <c r="B261" i="8"/>
  <c r="K260" i="8"/>
  <c r="G260" i="8"/>
  <c r="C260" i="8"/>
  <c r="L259" i="8"/>
  <c r="H259" i="8"/>
  <c r="D259" i="8"/>
  <c r="M258" i="8"/>
  <c r="I258" i="8"/>
  <c r="E258" i="8"/>
  <c r="A258" i="8"/>
  <c r="I257" i="8"/>
  <c r="E257" i="8"/>
  <c r="A257" i="8"/>
  <c r="I256" i="8"/>
  <c r="E256" i="8"/>
  <c r="A256" i="8"/>
  <c r="I255" i="8"/>
  <c r="E255" i="8"/>
  <c r="A255" i="8"/>
  <c r="I254" i="8"/>
  <c r="E254" i="8"/>
  <c r="A254" i="8"/>
  <c r="J253" i="8"/>
  <c r="F253" i="8"/>
  <c r="B253" i="8"/>
  <c r="K252" i="8"/>
  <c r="G252" i="8"/>
  <c r="C252" i="8"/>
  <c r="L251" i="8"/>
  <c r="H251" i="8"/>
  <c r="D251" i="8"/>
  <c r="M250" i="8"/>
  <c r="I250" i="8"/>
  <c r="E250" i="8"/>
  <c r="A250" i="8"/>
  <c r="I249" i="8"/>
  <c r="E249" i="8"/>
  <c r="A249" i="8"/>
  <c r="I248" i="8"/>
  <c r="E248" i="8"/>
  <c r="A248" i="8"/>
  <c r="I247" i="8"/>
  <c r="E247" i="8"/>
  <c r="A247" i="8"/>
  <c r="I246" i="8"/>
  <c r="E246" i="8"/>
  <c r="A246" i="8"/>
  <c r="J245" i="8"/>
  <c r="F245" i="8"/>
  <c r="B245" i="8"/>
  <c r="K244" i="8"/>
  <c r="G244" i="8"/>
  <c r="C244" i="8"/>
  <c r="L243" i="8"/>
  <c r="H243" i="8"/>
  <c r="D243" i="8"/>
  <c r="M242" i="8"/>
  <c r="I242" i="8"/>
  <c r="E242" i="8"/>
  <c r="A242" i="8"/>
  <c r="I241" i="8"/>
  <c r="E241" i="8"/>
  <c r="A241" i="8"/>
  <c r="I240" i="8"/>
  <c r="E240" i="8"/>
  <c r="A240" i="8"/>
  <c r="I239" i="8"/>
  <c r="E239" i="8"/>
  <c r="A239" i="8"/>
  <c r="I238" i="8"/>
  <c r="E238" i="8"/>
  <c r="A238" i="8"/>
  <c r="J237" i="8"/>
  <c r="F237" i="8"/>
  <c r="B237" i="8"/>
  <c r="K236" i="8"/>
  <c r="G236" i="8"/>
  <c r="C236" i="8"/>
  <c r="L235" i="8"/>
  <c r="H235" i="8"/>
  <c r="D235" i="8"/>
  <c r="M234" i="8"/>
  <c r="B70" i="9"/>
  <c r="C13" i="9"/>
  <c r="K399" i="8"/>
  <c r="K391" i="8"/>
  <c r="A387" i="8"/>
  <c r="H383" i="8"/>
  <c r="A381" i="8"/>
  <c r="H378" i="8"/>
  <c r="M375" i="8"/>
  <c r="E373" i="8"/>
  <c r="L370" i="8"/>
  <c r="D368" i="8"/>
  <c r="I365" i="8"/>
  <c r="C363" i="8"/>
  <c r="H360" i="8"/>
  <c r="M357" i="8"/>
  <c r="C356" i="8"/>
  <c r="H354" i="8"/>
  <c r="C353" i="8"/>
  <c r="L351" i="8"/>
  <c r="G350" i="8"/>
  <c r="D349" i="8"/>
  <c r="A348" i="8"/>
  <c r="K346" i="8"/>
  <c r="G345" i="8"/>
  <c r="C344" i="8"/>
  <c r="L342" i="8"/>
  <c r="H341" i="8"/>
  <c r="E340" i="8"/>
  <c r="B339" i="8"/>
  <c r="L337" i="8"/>
  <c r="G336" i="8"/>
  <c r="C335" i="8"/>
  <c r="L333" i="8"/>
  <c r="I332" i="8"/>
  <c r="F331" i="8"/>
  <c r="C330" i="8"/>
  <c r="L328" i="8"/>
  <c r="G327" i="8"/>
  <c r="C326" i="8"/>
  <c r="M324" i="8"/>
  <c r="J323" i="8"/>
  <c r="G322" i="8"/>
  <c r="C321" i="8"/>
  <c r="L319" i="8"/>
  <c r="G318" i="8"/>
  <c r="D317" i="8"/>
  <c r="A316" i="8"/>
  <c r="K314" i="8"/>
  <c r="G313" i="8"/>
  <c r="C312" i="8"/>
  <c r="L310" i="8"/>
  <c r="H309" i="8"/>
  <c r="E308" i="8"/>
  <c r="B307" i="8"/>
  <c r="L305" i="8"/>
  <c r="G304" i="8"/>
  <c r="C303" i="8"/>
  <c r="L301" i="8"/>
  <c r="I300" i="8"/>
  <c r="F299" i="8"/>
  <c r="C298" i="8"/>
  <c r="D297" i="8"/>
  <c r="H296" i="8"/>
  <c r="B296" i="8"/>
  <c r="H295" i="8"/>
  <c r="D295" i="8"/>
  <c r="M294" i="8"/>
  <c r="H294" i="8"/>
  <c r="D294" i="8"/>
  <c r="M293" i="8"/>
  <c r="I293" i="8"/>
  <c r="E293" i="8"/>
  <c r="A293" i="8"/>
  <c r="J292" i="8"/>
  <c r="F292" i="8"/>
  <c r="B292" i="8"/>
  <c r="K291" i="8"/>
  <c r="G291" i="8"/>
  <c r="C291" i="8"/>
  <c r="L290" i="8"/>
  <c r="H290" i="8"/>
  <c r="D290" i="8"/>
  <c r="M289" i="8"/>
  <c r="H289" i="8"/>
  <c r="D289" i="8"/>
  <c r="M288" i="8"/>
  <c r="H288" i="8"/>
  <c r="D288" i="8"/>
  <c r="M287" i="8"/>
  <c r="H287" i="8"/>
  <c r="D287" i="8"/>
  <c r="M286" i="8"/>
  <c r="H286" i="8"/>
  <c r="D286" i="8"/>
  <c r="M285" i="8"/>
  <c r="I285" i="8"/>
  <c r="E285" i="8"/>
  <c r="A285" i="8"/>
  <c r="J284" i="8"/>
  <c r="F284" i="8"/>
  <c r="B284" i="8"/>
  <c r="K283" i="8"/>
  <c r="G283" i="8"/>
  <c r="C283" i="8"/>
  <c r="L282" i="8"/>
  <c r="H282" i="8"/>
  <c r="D282" i="8"/>
  <c r="M281" i="8"/>
  <c r="H281" i="8"/>
  <c r="D281" i="8"/>
  <c r="M280" i="8"/>
  <c r="H280" i="8"/>
  <c r="D280" i="8"/>
  <c r="M279" i="8"/>
  <c r="H279" i="8"/>
  <c r="D279" i="8"/>
  <c r="M278" i="8"/>
  <c r="H278" i="8"/>
  <c r="D278" i="8"/>
  <c r="M277" i="8"/>
  <c r="I277" i="8"/>
  <c r="E277" i="8"/>
  <c r="A277" i="8"/>
  <c r="J276" i="8"/>
  <c r="F276" i="8"/>
  <c r="B276" i="8"/>
  <c r="K275" i="8"/>
  <c r="G275" i="8"/>
  <c r="C275" i="8"/>
  <c r="L274" i="8"/>
  <c r="H274" i="8"/>
  <c r="D274" i="8"/>
  <c r="M273" i="8"/>
  <c r="H273" i="8"/>
  <c r="D273" i="8"/>
  <c r="M272" i="8"/>
  <c r="H272" i="8"/>
  <c r="D272" i="8"/>
  <c r="M271" i="8"/>
  <c r="H271" i="8"/>
  <c r="D271" i="8"/>
  <c r="M270" i="8"/>
  <c r="H270" i="8"/>
  <c r="D270" i="8"/>
  <c r="M269" i="8"/>
  <c r="I269" i="8"/>
  <c r="E269" i="8"/>
  <c r="A269" i="8"/>
  <c r="J268" i="8"/>
  <c r="F268" i="8"/>
  <c r="B268" i="8"/>
  <c r="K267" i="8"/>
  <c r="G267" i="8"/>
  <c r="C267" i="8"/>
  <c r="L266" i="8"/>
  <c r="H266" i="8"/>
  <c r="D266" i="8"/>
  <c r="M265" i="8"/>
  <c r="H265" i="8"/>
  <c r="D265" i="8"/>
  <c r="M264" i="8"/>
  <c r="H264" i="8"/>
  <c r="D264" i="8"/>
  <c r="M263" i="8"/>
  <c r="H263" i="8"/>
  <c r="D263" i="8"/>
  <c r="M262" i="8"/>
  <c r="H262" i="8"/>
  <c r="D262" i="8"/>
  <c r="M261" i="8"/>
  <c r="I261" i="8"/>
  <c r="E261" i="8"/>
  <c r="A261" i="8"/>
  <c r="J260" i="8"/>
  <c r="F260" i="8"/>
  <c r="B260" i="8"/>
  <c r="K259" i="8"/>
  <c r="G259" i="8"/>
  <c r="C259" i="8"/>
  <c r="L258" i="8"/>
  <c r="H258" i="8"/>
  <c r="D258" i="8"/>
  <c r="M257" i="8"/>
  <c r="H257" i="8"/>
  <c r="D257" i="8"/>
  <c r="M256" i="8"/>
  <c r="H256" i="8"/>
  <c r="D256" i="8"/>
  <c r="M255" i="8"/>
  <c r="H255" i="8"/>
  <c r="D255" i="8"/>
  <c r="M254" i="8"/>
  <c r="H254" i="8"/>
  <c r="D254" i="8"/>
  <c r="M253" i="8"/>
  <c r="I253" i="8"/>
  <c r="E253" i="8"/>
  <c r="A253" i="8"/>
  <c r="J252" i="8"/>
  <c r="F252" i="8"/>
  <c r="B252" i="8"/>
  <c r="K251" i="8"/>
  <c r="G251" i="8"/>
  <c r="C251" i="8"/>
  <c r="L250" i="8"/>
  <c r="H250" i="8"/>
  <c r="D250" i="8"/>
  <c r="M249" i="8"/>
  <c r="H249" i="8"/>
  <c r="D249" i="8"/>
  <c r="M248" i="8"/>
  <c r="H248" i="8"/>
  <c r="D248" i="8"/>
  <c r="M247" i="8"/>
  <c r="H247" i="8"/>
  <c r="D247" i="8"/>
  <c r="M246" i="8"/>
  <c r="H246" i="8"/>
  <c r="D246" i="8"/>
  <c r="M245" i="8"/>
  <c r="I245" i="8"/>
  <c r="E245" i="8"/>
  <c r="A245" i="8"/>
  <c r="J244" i="8"/>
  <c r="F244" i="8"/>
  <c r="B244" i="8"/>
  <c r="K243" i="8"/>
  <c r="G243" i="8"/>
  <c r="C243" i="8"/>
  <c r="L242" i="8"/>
  <c r="H242" i="8"/>
  <c r="D242" i="8"/>
  <c r="M241" i="8"/>
  <c r="H241" i="8"/>
  <c r="D241" i="8"/>
  <c r="M240" i="8"/>
  <c r="H240" i="8"/>
  <c r="D240" i="8"/>
  <c r="M239" i="8"/>
  <c r="H239" i="8"/>
  <c r="D239" i="8"/>
  <c r="M238" i="8"/>
  <c r="H238" i="8"/>
  <c r="D238" i="8"/>
  <c r="M237" i="8"/>
  <c r="I237" i="8"/>
  <c r="E237" i="8"/>
  <c r="A237" i="8"/>
  <c r="J236" i="8"/>
  <c r="F236" i="8"/>
  <c r="B236" i="8"/>
  <c r="K235" i="8"/>
  <c r="G235" i="8"/>
  <c r="C235" i="8"/>
  <c r="B56" i="9"/>
  <c r="D386" i="8"/>
  <c r="D375" i="8"/>
  <c r="A365" i="8"/>
  <c r="K355" i="8"/>
  <c r="C350" i="8"/>
  <c r="C345" i="8"/>
  <c r="A340" i="8"/>
  <c r="L334" i="8"/>
  <c r="L329" i="8"/>
  <c r="I324" i="8"/>
  <c r="G319" i="8"/>
  <c r="G314" i="8"/>
  <c r="D309" i="8"/>
  <c r="C304" i="8"/>
  <c r="B299" i="8"/>
  <c r="M295" i="8"/>
  <c r="G294" i="8"/>
  <c r="D293" i="8"/>
  <c r="A292" i="8"/>
  <c r="K290" i="8"/>
  <c r="G289" i="8"/>
  <c r="C288" i="8"/>
  <c r="L286" i="8"/>
  <c r="H285" i="8"/>
  <c r="E284" i="8"/>
  <c r="B283" i="8"/>
  <c r="L281" i="8"/>
  <c r="G280" i="8"/>
  <c r="C279" i="8"/>
  <c r="L277" i="8"/>
  <c r="I276" i="8"/>
  <c r="F275" i="8"/>
  <c r="C274" i="8"/>
  <c r="L272" i="8"/>
  <c r="G271" i="8"/>
  <c r="C270" i="8"/>
  <c r="M268" i="8"/>
  <c r="J267" i="8"/>
  <c r="G266" i="8"/>
  <c r="C265" i="8"/>
  <c r="L263" i="8"/>
  <c r="G262" i="8"/>
  <c r="D261" i="8"/>
  <c r="A260" i="8"/>
  <c r="K258" i="8"/>
  <c r="G257" i="8"/>
  <c r="C256" i="8"/>
  <c r="L254" i="8"/>
  <c r="H253" i="8"/>
  <c r="E252" i="8"/>
  <c r="B251" i="8"/>
  <c r="L249" i="8"/>
  <c r="G248" i="8"/>
  <c r="C247" i="8"/>
  <c r="L245" i="8"/>
  <c r="I244" i="8"/>
  <c r="F243" i="8"/>
  <c r="C242" i="8"/>
  <c r="L240" i="8"/>
  <c r="J239" i="8"/>
  <c r="B239" i="8"/>
  <c r="F238" i="8"/>
  <c r="K237" i="8"/>
  <c r="C237" i="8"/>
  <c r="H236" i="8"/>
  <c r="M235" i="8"/>
  <c r="E235" i="8"/>
  <c r="K234" i="8"/>
  <c r="G234" i="8"/>
  <c r="C234" i="8"/>
  <c r="L233" i="8"/>
  <c r="G233" i="8"/>
  <c r="C233" i="8"/>
  <c r="L232" i="8"/>
  <c r="G232" i="8"/>
  <c r="C232" i="8"/>
  <c r="L231" i="8"/>
  <c r="G231" i="8"/>
  <c r="C231" i="8"/>
  <c r="L230" i="8"/>
  <c r="G230" i="8"/>
  <c r="C230" i="8"/>
  <c r="L229" i="8"/>
  <c r="H229" i="8"/>
  <c r="D229" i="8"/>
  <c r="M228" i="8"/>
  <c r="I228" i="8"/>
  <c r="E228" i="8"/>
  <c r="A228" i="8"/>
  <c r="J227" i="8"/>
  <c r="F227" i="8"/>
  <c r="B227" i="8"/>
  <c r="K226" i="8"/>
  <c r="G226" i="8"/>
  <c r="C226" i="8"/>
  <c r="L225" i="8"/>
  <c r="G225" i="8"/>
  <c r="C225" i="8"/>
  <c r="L224" i="8"/>
  <c r="G224" i="8"/>
  <c r="C224" i="8"/>
  <c r="L223" i="8"/>
  <c r="G223" i="8"/>
  <c r="C223" i="8"/>
  <c r="L222" i="8"/>
  <c r="G222" i="8"/>
  <c r="C222" i="8"/>
  <c r="L221" i="8"/>
  <c r="H221" i="8"/>
  <c r="D221" i="8"/>
  <c r="M220" i="8"/>
  <c r="I220" i="8"/>
  <c r="E220" i="8"/>
  <c r="A220" i="8"/>
  <c r="J219" i="8"/>
  <c r="F219" i="8"/>
  <c r="B219" i="8"/>
  <c r="K218" i="8"/>
  <c r="G218" i="8"/>
  <c r="C218" i="8"/>
  <c r="L217" i="8"/>
  <c r="G217" i="8"/>
  <c r="C217" i="8"/>
  <c r="L216" i="8"/>
  <c r="G216" i="8"/>
  <c r="C216" i="8"/>
  <c r="L215" i="8"/>
  <c r="G215" i="8"/>
  <c r="C215" i="8"/>
  <c r="L214" i="8"/>
  <c r="G214" i="8"/>
  <c r="C214" i="8"/>
  <c r="L213" i="8"/>
  <c r="H213" i="8"/>
  <c r="D213" i="8"/>
  <c r="M212" i="8"/>
  <c r="I212" i="8"/>
  <c r="E212" i="8"/>
  <c r="A212" i="8"/>
  <c r="J211" i="8"/>
  <c r="F211" i="8"/>
  <c r="B211" i="8"/>
  <c r="K210" i="8"/>
  <c r="G210" i="8"/>
  <c r="C210" i="8"/>
  <c r="L209" i="8"/>
  <c r="G209" i="8"/>
  <c r="C209" i="8"/>
  <c r="L208" i="8"/>
  <c r="G208" i="8"/>
  <c r="C208" i="8"/>
  <c r="L207" i="8"/>
  <c r="G207" i="8"/>
  <c r="C207" i="8"/>
  <c r="L206" i="8"/>
  <c r="G206" i="8"/>
  <c r="C206" i="8"/>
  <c r="L205" i="8"/>
  <c r="H205" i="8"/>
  <c r="D205" i="8"/>
  <c r="M204" i="8"/>
  <c r="I204" i="8"/>
  <c r="E204" i="8"/>
  <c r="A204" i="8"/>
  <c r="J203" i="8"/>
  <c r="F203" i="8"/>
  <c r="B203" i="8"/>
  <c r="K202" i="8"/>
  <c r="G202" i="8"/>
  <c r="C202" i="8"/>
  <c r="L201" i="8"/>
  <c r="G201" i="8"/>
  <c r="C201" i="8"/>
  <c r="L200" i="8"/>
  <c r="G200" i="8"/>
  <c r="C200" i="8"/>
  <c r="L199" i="8"/>
  <c r="G199" i="8"/>
  <c r="C199" i="8"/>
  <c r="L198" i="8"/>
  <c r="G198" i="8"/>
  <c r="C198" i="8"/>
  <c r="L197" i="8"/>
  <c r="H197" i="8"/>
  <c r="D197" i="8"/>
  <c r="M196" i="8"/>
  <c r="I196" i="8"/>
  <c r="E196" i="8"/>
  <c r="A196" i="8"/>
  <c r="J195" i="8"/>
  <c r="F195" i="8"/>
  <c r="B195" i="8"/>
  <c r="K194" i="8"/>
  <c r="G194" i="8"/>
  <c r="C194" i="8"/>
  <c r="L193" i="8"/>
  <c r="G193" i="8"/>
  <c r="C193" i="8"/>
  <c r="L192" i="8"/>
  <c r="G192" i="8"/>
  <c r="C192" i="8"/>
  <c r="L191" i="8"/>
  <c r="G191" i="8"/>
  <c r="C191" i="8"/>
  <c r="L190" i="8"/>
  <c r="G190" i="8"/>
  <c r="C190" i="8"/>
  <c r="L189" i="8"/>
  <c r="G189" i="8"/>
  <c r="C189" i="8"/>
  <c r="L188" i="8"/>
  <c r="G188" i="8"/>
  <c r="C188" i="8"/>
  <c r="L187" i="8"/>
  <c r="H187" i="8"/>
  <c r="D187" i="8"/>
  <c r="M186" i="8"/>
  <c r="I186" i="8"/>
  <c r="E186" i="8"/>
  <c r="A186" i="8"/>
  <c r="I185" i="8"/>
  <c r="E185" i="8"/>
  <c r="A185" i="8"/>
  <c r="I184" i="8"/>
  <c r="E184" i="8"/>
  <c r="A184" i="8"/>
  <c r="I183" i="8"/>
  <c r="E183" i="8"/>
  <c r="A183" i="8"/>
  <c r="I182" i="8"/>
  <c r="E182" i="8"/>
  <c r="A182" i="8"/>
  <c r="I181" i="8"/>
  <c r="E181" i="8"/>
  <c r="A181" i="8"/>
  <c r="I180" i="8"/>
  <c r="E180" i="8"/>
  <c r="A180" i="8"/>
  <c r="J179" i="8"/>
  <c r="F179" i="8"/>
  <c r="B179" i="8"/>
  <c r="K178" i="8"/>
  <c r="G178" i="8"/>
  <c r="C178" i="8"/>
  <c r="L177" i="8"/>
  <c r="G177" i="8"/>
  <c r="C177" i="8"/>
  <c r="L176" i="8"/>
  <c r="G176" i="8"/>
  <c r="C176" i="8"/>
  <c r="L175" i="8"/>
  <c r="G175" i="8"/>
  <c r="C175" i="8"/>
  <c r="L174" i="8"/>
  <c r="I409" i="8"/>
  <c r="M382" i="8"/>
  <c r="J372" i="8"/>
  <c r="H362" i="8"/>
  <c r="C354" i="8"/>
  <c r="M348" i="8"/>
  <c r="L343" i="8"/>
  <c r="K338" i="8"/>
  <c r="H333" i="8"/>
  <c r="G328" i="8"/>
  <c r="F323" i="8"/>
  <c r="C318" i="8"/>
  <c r="C313" i="8"/>
  <c r="A308" i="8"/>
  <c r="L302" i="8"/>
  <c r="L297" i="8"/>
  <c r="G295" i="8"/>
  <c r="C294" i="8"/>
  <c r="M292" i="8"/>
  <c r="J291" i="8"/>
  <c r="G290" i="8"/>
  <c r="C289" i="8"/>
  <c r="L287" i="8"/>
  <c r="G286" i="8"/>
  <c r="D285" i="8"/>
  <c r="A284" i="8"/>
  <c r="K282" i="8"/>
  <c r="G281" i="8"/>
  <c r="C280" i="8"/>
  <c r="L278" i="8"/>
  <c r="H277" i="8"/>
  <c r="E276" i="8"/>
  <c r="B275" i="8"/>
  <c r="L273" i="8"/>
  <c r="G272" i="8"/>
  <c r="C271" i="8"/>
  <c r="L269" i="8"/>
  <c r="I268" i="8"/>
  <c r="F267" i="8"/>
  <c r="C266" i="8"/>
  <c r="L264" i="8"/>
  <c r="G263" i="8"/>
  <c r="C262" i="8"/>
  <c r="M260" i="8"/>
  <c r="J259" i="8"/>
  <c r="G258" i="8"/>
  <c r="C257" i="8"/>
  <c r="L255" i="8"/>
  <c r="G254" i="8"/>
  <c r="D253" i="8"/>
  <c r="A252" i="8"/>
  <c r="K250" i="8"/>
  <c r="G249" i="8"/>
  <c r="C248" i="8"/>
  <c r="L246" i="8"/>
  <c r="H245" i="8"/>
  <c r="E244" i="8"/>
  <c r="B243" i="8"/>
  <c r="L241" i="8"/>
  <c r="G240" i="8"/>
  <c r="G239" i="8"/>
  <c r="L238" i="8"/>
  <c r="C238" i="8"/>
  <c r="H237" i="8"/>
  <c r="M236" i="8"/>
  <c r="E236" i="8"/>
  <c r="J235" i="8"/>
  <c r="B235" i="8"/>
  <c r="J234" i="8"/>
  <c r="F234" i="8"/>
  <c r="B234" i="8"/>
  <c r="J233" i="8"/>
  <c r="F233" i="8"/>
  <c r="B233" i="8"/>
  <c r="J232" i="8"/>
  <c r="F232" i="8"/>
  <c r="B232" i="8"/>
  <c r="J231" i="8"/>
  <c r="F231" i="8"/>
  <c r="B231" i="8"/>
  <c r="J230" i="8"/>
  <c r="F230" i="8"/>
  <c r="B230" i="8"/>
  <c r="K229" i="8"/>
  <c r="G229" i="8"/>
  <c r="C229" i="8"/>
  <c r="L228" i="8"/>
  <c r="H228" i="8"/>
  <c r="D228" i="8"/>
  <c r="M227" i="8"/>
  <c r="I227" i="8"/>
  <c r="E227" i="8"/>
  <c r="A227" i="8"/>
  <c r="J226" i="8"/>
  <c r="F226" i="8"/>
  <c r="B226" i="8"/>
  <c r="J225" i="8"/>
  <c r="F225" i="8"/>
  <c r="B225" i="8"/>
  <c r="J224" i="8"/>
  <c r="F224" i="8"/>
  <c r="B224" i="8"/>
  <c r="J223" i="8"/>
  <c r="F223" i="8"/>
  <c r="B223" i="8"/>
  <c r="J222" i="8"/>
  <c r="F222" i="8"/>
  <c r="B222" i="8"/>
  <c r="K221" i="8"/>
  <c r="G221" i="8"/>
  <c r="C221" i="8"/>
  <c r="L220" i="8"/>
  <c r="H220" i="8"/>
  <c r="D220" i="8"/>
  <c r="M219" i="8"/>
  <c r="I219" i="8"/>
  <c r="E219" i="8"/>
  <c r="A219" i="8"/>
  <c r="J218" i="8"/>
  <c r="F218" i="8"/>
  <c r="B218" i="8"/>
  <c r="J217" i="8"/>
  <c r="F217" i="8"/>
  <c r="B217" i="8"/>
  <c r="J216" i="8"/>
  <c r="F216" i="8"/>
  <c r="B216" i="8"/>
  <c r="J215" i="8"/>
  <c r="F215" i="8"/>
  <c r="B215" i="8"/>
  <c r="J214" i="8"/>
  <c r="F214" i="8"/>
  <c r="B214" i="8"/>
  <c r="K213" i="8"/>
  <c r="G213" i="8"/>
  <c r="C213" i="8"/>
  <c r="L212" i="8"/>
  <c r="H212" i="8"/>
  <c r="D212" i="8"/>
  <c r="M211" i="8"/>
  <c r="I211" i="8"/>
  <c r="E211" i="8"/>
  <c r="A211" i="8"/>
  <c r="J210" i="8"/>
  <c r="F210" i="8"/>
  <c r="B210" i="8"/>
  <c r="J209" i="8"/>
  <c r="F209" i="8"/>
  <c r="B209" i="8"/>
  <c r="J208" i="8"/>
  <c r="F208" i="8"/>
  <c r="B208" i="8"/>
  <c r="J207" i="8"/>
  <c r="F207" i="8"/>
  <c r="B207" i="8"/>
  <c r="J206" i="8"/>
  <c r="F206" i="8"/>
  <c r="B206" i="8"/>
  <c r="K205" i="8"/>
  <c r="G205" i="8"/>
  <c r="C205" i="8"/>
  <c r="L204" i="8"/>
  <c r="H204" i="8"/>
  <c r="D204" i="8"/>
  <c r="M203" i="8"/>
  <c r="I203" i="8"/>
  <c r="E203" i="8"/>
  <c r="A203" i="8"/>
  <c r="J202" i="8"/>
  <c r="F202" i="8"/>
  <c r="B202" i="8"/>
  <c r="J201" i="8"/>
  <c r="F201" i="8"/>
  <c r="B201" i="8"/>
  <c r="J200" i="8"/>
  <c r="F200" i="8"/>
  <c r="B200" i="8"/>
  <c r="J199" i="8"/>
  <c r="F199" i="8"/>
  <c r="B199" i="8"/>
  <c r="J198" i="8"/>
  <c r="F198" i="8"/>
  <c r="B198" i="8"/>
  <c r="K197" i="8"/>
  <c r="G197" i="8"/>
  <c r="C197" i="8"/>
  <c r="L196" i="8"/>
  <c r="H196" i="8"/>
  <c r="D196" i="8"/>
  <c r="M195" i="8"/>
  <c r="I195" i="8"/>
  <c r="E195" i="8"/>
  <c r="A195" i="8"/>
  <c r="J194" i="8"/>
  <c r="F194" i="8"/>
  <c r="B194" i="8"/>
  <c r="J193" i="8"/>
  <c r="F193" i="8"/>
  <c r="B193" i="8"/>
  <c r="J192" i="8"/>
  <c r="F192" i="8"/>
  <c r="B192" i="8"/>
  <c r="J191" i="8"/>
  <c r="F191" i="8"/>
  <c r="B191" i="8"/>
  <c r="J190" i="8"/>
  <c r="F190" i="8"/>
  <c r="B190" i="8"/>
  <c r="J189" i="8"/>
  <c r="F189" i="8"/>
  <c r="B189" i="8"/>
  <c r="J188" i="8"/>
  <c r="F188" i="8"/>
  <c r="B188" i="8"/>
  <c r="K187" i="8"/>
  <c r="G187" i="8"/>
  <c r="C187" i="8"/>
  <c r="L186" i="8"/>
  <c r="H186" i="8"/>
  <c r="D186" i="8"/>
  <c r="M185" i="8"/>
  <c r="H185" i="8"/>
  <c r="D185" i="8"/>
  <c r="M184" i="8"/>
  <c r="H184" i="8"/>
  <c r="D184" i="8"/>
  <c r="M183" i="8"/>
  <c r="H183" i="8"/>
  <c r="D183" i="8"/>
  <c r="M182" i="8"/>
  <c r="H182" i="8"/>
  <c r="D182" i="8"/>
  <c r="M181" i="8"/>
  <c r="H181" i="8"/>
  <c r="D181" i="8"/>
  <c r="M180" i="8"/>
  <c r="H180" i="8"/>
  <c r="D180" i="8"/>
  <c r="M179" i="8"/>
  <c r="I179" i="8"/>
  <c r="E179" i="8"/>
  <c r="A179" i="8"/>
  <c r="J178" i="8"/>
  <c r="F178" i="8"/>
  <c r="B178" i="8"/>
  <c r="J177" i="8"/>
  <c r="F177" i="8"/>
  <c r="B177" i="8"/>
  <c r="J176" i="8"/>
  <c r="F176" i="8"/>
  <c r="B176" i="8"/>
  <c r="J175" i="8"/>
  <c r="F175" i="8"/>
  <c r="B175" i="8"/>
  <c r="J174" i="8"/>
  <c r="F174" i="8"/>
  <c r="B174" i="8"/>
  <c r="J173" i="8"/>
  <c r="J396" i="8"/>
  <c r="F380" i="8"/>
  <c r="D370" i="8"/>
  <c r="M359" i="8"/>
  <c r="L352" i="8"/>
  <c r="J347" i="8"/>
  <c r="G342" i="8"/>
  <c r="G337" i="8"/>
  <c r="E332" i="8"/>
  <c r="C327" i="8"/>
  <c r="C322" i="8"/>
  <c r="M316" i="8"/>
  <c r="L311" i="8"/>
  <c r="K306" i="8"/>
  <c r="H301" i="8"/>
  <c r="C297" i="8"/>
  <c r="C295" i="8"/>
  <c r="L293" i="8"/>
  <c r="I292" i="8"/>
  <c r="F291" i="8"/>
  <c r="C290" i="8"/>
  <c r="L288" i="8"/>
  <c r="G287" i="8"/>
  <c r="C286" i="8"/>
  <c r="M284" i="8"/>
  <c r="J283" i="8"/>
  <c r="G282" i="8"/>
  <c r="C281" i="8"/>
  <c r="L279" i="8"/>
  <c r="G278" i="8"/>
  <c r="D277" i="8"/>
  <c r="A276" i="8"/>
  <c r="K274" i="8"/>
  <c r="G273" i="8"/>
  <c r="C272" i="8"/>
  <c r="L270" i="8"/>
  <c r="H269" i="8"/>
  <c r="E268" i="8"/>
  <c r="B267" i="8"/>
  <c r="L265" i="8"/>
  <c r="G264" i="8"/>
  <c r="C263" i="8"/>
  <c r="L261" i="8"/>
  <c r="I260" i="8"/>
  <c r="F259" i="8"/>
  <c r="C258" i="8"/>
  <c r="L256" i="8"/>
  <c r="G255" i="8"/>
  <c r="C254" i="8"/>
  <c r="M252" i="8"/>
  <c r="J251" i="8"/>
  <c r="G250" i="8"/>
  <c r="C249" i="8"/>
  <c r="L247" i="8"/>
  <c r="G246" i="8"/>
  <c r="D245" i="8"/>
  <c r="A244" i="8"/>
  <c r="K242" i="8"/>
  <c r="G241" i="8"/>
  <c r="C240" i="8"/>
  <c r="F239" i="8"/>
  <c r="J238" i="8"/>
  <c r="B238" i="8"/>
  <c r="G237" i="8"/>
  <c r="L236" i="8"/>
  <c r="D236" i="8"/>
  <c r="I235" i="8"/>
  <c r="A235" i="8"/>
  <c r="I234" i="8"/>
  <c r="E234" i="8"/>
  <c r="A234" i="8"/>
  <c r="I233" i="8"/>
  <c r="E233" i="8"/>
  <c r="A233" i="8"/>
  <c r="I232" i="8"/>
  <c r="E232" i="8"/>
  <c r="A232" i="8"/>
  <c r="I231" i="8"/>
  <c r="E231" i="8"/>
  <c r="A231" i="8"/>
  <c r="I230" i="8"/>
  <c r="E230" i="8"/>
  <c r="A230" i="8"/>
  <c r="J229" i="8"/>
  <c r="F229" i="8"/>
  <c r="B229" i="8"/>
  <c r="K228" i="8"/>
  <c r="G228" i="8"/>
  <c r="C228" i="8"/>
  <c r="L227" i="8"/>
  <c r="H227" i="8"/>
  <c r="D227" i="8"/>
  <c r="M226" i="8"/>
  <c r="I226" i="8"/>
  <c r="E226" i="8"/>
  <c r="A226" i="8"/>
  <c r="I225" i="8"/>
  <c r="E225" i="8"/>
  <c r="A225" i="8"/>
  <c r="I224" i="8"/>
  <c r="E224" i="8"/>
  <c r="A224" i="8"/>
  <c r="I223" i="8"/>
  <c r="E223" i="8"/>
  <c r="A223" i="8"/>
  <c r="I222" i="8"/>
  <c r="E222" i="8"/>
  <c r="A222" i="8"/>
  <c r="J221" i="8"/>
  <c r="F221" i="8"/>
  <c r="B221" i="8"/>
  <c r="K220" i="8"/>
  <c r="G220" i="8"/>
  <c r="C220" i="8"/>
  <c r="L219" i="8"/>
  <c r="H219" i="8"/>
  <c r="D219" i="8"/>
  <c r="M218" i="8"/>
  <c r="I218" i="8"/>
  <c r="E218" i="8"/>
  <c r="A218" i="8"/>
  <c r="I217" i="8"/>
  <c r="E217" i="8"/>
  <c r="A217" i="8"/>
  <c r="I216" i="8"/>
  <c r="E216" i="8"/>
  <c r="A216" i="8"/>
  <c r="I215" i="8"/>
  <c r="E215" i="8"/>
  <c r="A215" i="8"/>
  <c r="I214" i="8"/>
  <c r="E214" i="8"/>
  <c r="A214" i="8"/>
  <c r="J213" i="8"/>
  <c r="F213" i="8"/>
  <c r="B213" i="8"/>
  <c r="K212" i="8"/>
  <c r="G212" i="8"/>
  <c r="C212" i="8"/>
  <c r="L211" i="8"/>
  <c r="H211" i="8"/>
  <c r="D211" i="8"/>
  <c r="M210" i="8"/>
  <c r="I210" i="8"/>
  <c r="E210" i="8"/>
  <c r="A210" i="8"/>
  <c r="I209" i="8"/>
  <c r="E209" i="8"/>
  <c r="A209" i="8"/>
  <c r="I208" i="8"/>
  <c r="E208" i="8"/>
  <c r="A208" i="8"/>
  <c r="I207" i="8"/>
  <c r="E207" i="8"/>
  <c r="A207" i="8"/>
  <c r="I206" i="8"/>
  <c r="E206" i="8"/>
  <c r="A206" i="8"/>
  <c r="J205" i="8"/>
  <c r="F205" i="8"/>
  <c r="B205" i="8"/>
  <c r="K204" i="8"/>
  <c r="G204" i="8"/>
  <c r="C204" i="8"/>
  <c r="L203" i="8"/>
  <c r="H203" i="8"/>
  <c r="D203" i="8"/>
  <c r="M202" i="8"/>
  <c r="I202" i="8"/>
  <c r="E202" i="8"/>
  <c r="A202" i="8"/>
  <c r="I201" i="8"/>
  <c r="E201" i="8"/>
  <c r="A201" i="8"/>
  <c r="I200" i="8"/>
  <c r="E200" i="8"/>
  <c r="A200" i="8"/>
  <c r="I199" i="8"/>
  <c r="E199" i="8"/>
  <c r="A199" i="8"/>
  <c r="I198" i="8"/>
  <c r="E198" i="8"/>
  <c r="A198" i="8"/>
  <c r="J197" i="8"/>
  <c r="F197" i="8"/>
  <c r="B197" i="8"/>
  <c r="K196" i="8"/>
  <c r="G196" i="8"/>
  <c r="C196" i="8"/>
  <c r="L195" i="8"/>
  <c r="H195" i="8"/>
  <c r="D195" i="8"/>
  <c r="M194" i="8"/>
  <c r="I194" i="8"/>
  <c r="E194" i="8"/>
  <c r="A194" i="8"/>
  <c r="I193" i="8"/>
  <c r="E193" i="8"/>
  <c r="A193" i="8"/>
  <c r="I192" i="8"/>
  <c r="E192" i="8"/>
  <c r="A192" i="8"/>
  <c r="I191" i="8"/>
  <c r="E191" i="8"/>
  <c r="A191" i="8"/>
  <c r="I190" i="8"/>
  <c r="E190" i="8"/>
  <c r="A190" i="8"/>
  <c r="I189" i="8"/>
  <c r="E189" i="8"/>
  <c r="A189" i="8"/>
  <c r="I188" i="8"/>
  <c r="E188" i="8"/>
  <c r="A188" i="8"/>
  <c r="J187" i="8"/>
  <c r="F187" i="8"/>
  <c r="B187" i="8"/>
  <c r="K186" i="8"/>
  <c r="G186" i="8"/>
  <c r="C186" i="8"/>
  <c r="L185" i="8"/>
  <c r="G185" i="8"/>
  <c r="C185" i="8"/>
  <c r="L184" i="8"/>
  <c r="G184" i="8"/>
  <c r="C184" i="8"/>
  <c r="L183" i="8"/>
  <c r="G183" i="8"/>
  <c r="C183" i="8"/>
  <c r="L182" i="8"/>
  <c r="G182" i="8"/>
  <c r="C182" i="8"/>
  <c r="L181" i="8"/>
  <c r="G181" i="8"/>
  <c r="C181" i="8"/>
  <c r="L180" i="8"/>
  <c r="G180" i="8"/>
  <c r="C180" i="8"/>
  <c r="L179" i="8"/>
  <c r="H179" i="8"/>
  <c r="D179" i="8"/>
  <c r="M178" i="8"/>
  <c r="I178" i="8"/>
  <c r="E178" i="8"/>
  <c r="A178" i="8"/>
  <c r="I177" i="8"/>
  <c r="E177" i="8"/>
  <c r="A177" i="8"/>
  <c r="I176" i="8"/>
  <c r="E176" i="8"/>
  <c r="A176" i="8"/>
  <c r="I175" i="8"/>
  <c r="E175" i="8"/>
  <c r="A175" i="8"/>
  <c r="I174" i="8"/>
  <c r="E174" i="8"/>
  <c r="A174" i="8"/>
  <c r="I173" i="8"/>
  <c r="E173" i="8"/>
  <c r="A173" i="8"/>
  <c r="H390" i="8"/>
  <c r="G351" i="8"/>
  <c r="B331" i="8"/>
  <c r="G310" i="8"/>
  <c r="L294" i="8"/>
  <c r="L289" i="8"/>
  <c r="I284" i="8"/>
  <c r="G279" i="8"/>
  <c r="G274" i="8"/>
  <c r="D269" i="8"/>
  <c r="C264" i="8"/>
  <c r="B259" i="8"/>
  <c r="L253" i="8"/>
  <c r="L248" i="8"/>
  <c r="J243" i="8"/>
  <c r="C239" i="8"/>
  <c r="I236" i="8"/>
  <c r="H234" i="8"/>
  <c r="D233" i="8"/>
  <c r="M231" i="8"/>
  <c r="H230" i="8"/>
  <c r="E229" i="8"/>
  <c r="B228" i="8"/>
  <c r="L226" i="8"/>
  <c r="H225" i="8"/>
  <c r="D224" i="8"/>
  <c r="M222" i="8"/>
  <c r="I221" i="8"/>
  <c r="F220" i="8"/>
  <c r="C219" i="8"/>
  <c r="M217" i="8"/>
  <c r="H216" i="8"/>
  <c r="D215" i="8"/>
  <c r="M213" i="8"/>
  <c r="J212" i="8"/>
  <c r="G211" i="8"/>
  <c r="D210" i="8"/>
  <c r="M208" i="8"/>
  <c r="H207" i="8"/>
  <c r="D206" i="8"/>
  <c r="A205" i="8"/>
  <c r="K203" i="8"/>
  <c r="H202" i="8"/>
  <c r="D201" i="8"/>
  <c r="M199" i="8"/>
  <c r="H198" i="8"/>
  <c r="E197" i="8"/>
  <c r="B196" i="8"/>
  <c r="L194" i="8"/>
  <c r="H193" i="8"/>
  <c r="D192" i="8"/>
  <c r="M190" i="8"/>
  <c r="H189" i="8"/>
  <c r="D188" i="8"/>
  <c r="A187" i="8"/>
  <c r="J185" i="8"/>
  <c r="F184" i="8"/>
  <c r="B183" i="8"/>
  <c r="J181" i="8"/>
  <c r="F180" i="8"/>
  <c r="C179" i="8"/>
  <c r="M177" i="8"/>
  <c r="H176" i="8"/>
  <c r="D175" i="8"/>
  <c r="D174" i="8"/>
  <c r="H173" i="8"/>
  <c r="C173" i="8"/>
  <c r="J172" i="8"/>
  <c r="F172" i="8"/>
  <c r="B172" i="8"/>
  <c r="K171" i="8"/>
  <c r="G171" i="8"/>
  <c r="C171" i="8"/>
  <c r="L170" i="8"/>
  <c r="H170" i="8"/>
  <c r="D170" i="8"/>
  <c r="M169" i="8"/>
  <c r="H169" i="8"/>
  <c r="D169" i="8"/>
  <c r="M168" i="8"/>
  <c r="H168" i="8"/>
  <c r="D168" i="8"/>
  <c r="M167" i="8"/>
  <c r="H167" i="8"/>
  <c r="D167" i="8"/>
  <c r="M166" i="8"/>
  <c r="H166" i="8"/>
  <c r="D166" i="8"/>
  <c r="M165" i="8"/>
  <c r="H165" i="8"/>
  <c r="D165" i="8"/>
  <c r="M164" i="8"/>
  <c r="H164" i="8"/>
  <c r="D164" i="8"/>
  <c r="M163" i="8"/>
  <c r="I163" i="8"/>
  <c r="E163" i="8"/>
  <c r="A163" i="8"/>
  <c r="J162" i="8"/>
  <c r="F162" i="8"/>
  <c r="B162" i="8"/>
  <c r="J161" i="8"/>
  <c r="F161" i="8"/>
  <c r="B161" i="8"/>
  <c r="J160" i="8"/>
  <c r="F160" i="8"/>
  <c r="B160" i="8"/>
  <c r="J159" i="8"/>
  <c r="F159" i="8"/>
  <c r="B159" i="8"/>
  <c r="J158" i="8"/>
  <c r="F158" i="8"/>
  <c r="B158" i="8"/>
  <c r="J157" i="8"/>
  <c r="F157" i="8"/>
  <c r="B157" i="8"/>
  <c r="J156" i="8"/>
  <c r="F156" i="8"/>
  <c r="B156" i="8"/>
  <c r="K155" i="8"/>
  <c r="G155" i="8"/>
  <c r="C155" i="8"/>
  <c r="L154" i="8"/>
  <c r="H154" i="8"/>
  <c r="D154" i="8"/>
  <c r="M153" i="8"/>
  <c r="H153" i="8"/>
  <c r="D153" i="8"/>
  <c r="M152" i="8"/>
  <c r="H152" i="8"/>
  <c r="D152" i="8"/>
  <c r="M151" i="8"/>
  <c r="H151" i="8"/>
  <c r="D151" i="8"/>
  <c r="M150" i="8"/>
  <c r="H150" i="8"/>
  <c r="D150" i="8"/>
  <c r="M149" i="8"/>
  <c r="H149" i="8"/>
  <c r="D149" i="8"/>
  <c r="M148" i="8"/>
  <c r="H148" i="8"/>
  <c r="D148" i="8"/>
  <c r="M147" i="8"/>
  <c r="I147" i="8"/>
  <c r="E147" i="8"/>
  <c r="A147" i="8"/>
  <c r="J146" i="8"/>
  <c r="F146" i="8"/>
  <c r="B146" i="8"/>
  <c r="J145" i="8"/>
  <c r="F145" i="8"/>
  <c r="B145" i="8"/>
  <c r="J144" i="8"/>
  <c r="F144" i="8"/>
  <c r="B144" i="8"/>
  <c r="J143" i="8"/>
  <c r="F143" i="8"/>
  <c r="B143" i="8"/>
  <c r="J142" i="8"/>
  <c r="F142" i="8"/>
  <c r="B142" i="8"/>
  <c r="J141" i="8"/>
  <c r="F141" i="8"/>
  <c r="B141" i="8"/>
  <c r="J140" i="8"/>
  <c r="F140" i="8"/>
  <c r="B140" i="8"/>
  <c r="K139" i="8"/>
  <c r="G139" i="8"/>
  <c r="C139" i="8"/>
  <c r="L138" i="8"/>
  <c r="H138" i="8"/>
  <c r="D138" i="8"/>
  <c r="M137" i="8"/>
  <c r="H137" i="8"/>
  <c r="D137" i="8"/>
  <c r="M136" i="8"/>
  <c r="H136" i="8"/>
  <c r="D136" i="8"/>
  <c r="M135" i="8"/>
  <c r="H135" i="8"/>
  <c r="D135" i="8"/>
  <c r="M134" i="8"/>
  <c r="H134" i="8"/>
  <c r="D134" i="8"/>
  <c r="M133" i="8"/>
  <c r="H133" i="8"/>
  <c r="D133" i="8"/>
  <c r="M132" i="8"/>
  <c r="H132" i="8"/>
  <c r="D132" i="8"/>
  <c r="M131" i="8"/>
  <c r="I131" i="8"/>
  <c r="E131" i="8"/>
  <c r="A131" i="8"/>
  <c r="J130" i="8"/>
  <c r="F130" i="8"/>
  <c r="B130" i="8"/>
  <c r="J129" i="8"/>
  <c r="F129" i="8"/>
  <c r="B129" i="8"/>
  <c r="J128" i="8"/>
  <c r="F128" i="8"/>
  <c r="B128" i="8"/>
  <c r="J127" i="8"/>
  <c r="F127" i="8"/>
  <c r="B127" i="8"/>
  <c r="J126" i="8"/>
  <c r="F126" i="8"/>
  <c r="B126" i="8"/>
  <c r="J125" i="8"/>
  <c r="F125" i="8"/>
  <c r="B125" i="8"/>
  <c r="J124" i="8"/>
  <c r="F124" i="8"/>
  <c r="B124" i="8"/>
  <c r="K123" i="8"/>
  <c r="G123" i="8"/>
  <c r="C123" i="8"/>
  <c r="L122" i="8"/>
  <c r="H122" i="8"/>
  <c r="D122" i="8"/>
  <c r="M121" i="8"/>
  <c r="H121" i="8"/>
  <c r="D121" i="8"/>
  <c r="M120" i="8"/>
  <c r="H120" i="8"/>
  <c r="D120" i="8"/>
  <c r="M119" i="8"/>
  <c r="H119" i="8"/>
  <c r="D119" i="8"/>
  <c r="M118" i="8"/>
  <c r="H118" i="8"/>
  <c r="D118" i="8"/>
  <c r="M117" i="8"/>
  <c r="H117" i="8"/>
  <c r="D117" i="8"/>
  <c r="M116" i="8"/>
  <c r="H116" i="8"/>
  <c r="D116" i="8"/>
  <c r="M115" i="8"/>
  <c r="I115" i="8"/>
  <c r="E115" i="8"/>
  <c r="A115" i="8"/>
  <c r="J114" i="8"/>
  <c r="F114" i="8"/>
  <c r="B114" i="8"/>
  <c r="J113" i="8"/>
  <c r="F113" i="8"/>
  <c r="B113" i="8"/>
  <c r="J112" i="8"/>
  <c r="F112" i="8"/>
  <c r="B112" i="8"/>
  <c r="J111" i="8"/>
  <c r="F111" i="8"/>
  <c r="B111" i="8"/>
  <c r="J110" i="8"/>
  <c r="F110" i="8"/>
  <c r="B110" i="8"/>
  <c r="J109" i="8"/>
  <c r="F109" i="8"/>
  <c r="B109" i="8"/>
  <c r="J108" i="8"/>
  <c r="F108" i="8"/>
  <c r="B108" i="8"/>
  <c r="K107" i="8"/>
  <c r="G107" i="8"/>
  <c r="C107" i="8"/>
  <c r="L106" i="8"/>
  <c r="H106" i="8"/>
  <c r="D106" i="8"/>
  <c r="M105" i="8"/>
  <c r="H105" i="8"/>
  <c r="D105" i="8"/>
  <c r="M104" i="8"/>
  <c r="H104" i="8"/>
  <c r="D104" i="8"/>
  <c r="M103" i="8"/>
  <c r="H103" i="8"/>
  <c r="D103" i="8"/>
  <c r="M102" i="8"/>
  <c r="H102" i="8"/>
  <c r="D102" i="8"/>
  <c r="M101" i="8"/>
  <c r="H101" i="8"/>
  <c r="D101" i="8"/>
  <c r="M100" i="8"/>
  <c r="H100" i="8"/>
  <c r="D100" i="8"/>
  <c r="M99" i="8"/>
  <c r="I99" i="8"/>
  <c r="E99" i="8"/>
  <c r="A99" i="8"/>
  <c r="J98" i="8"/>
  <c r="F98" i="8"/>
  <c r="B98" i="8"/>
  <c r="J97" i="8"/>
  <c r="F97" i="8"/>
  <c r="B97" i="8"/>
  <c r="J96" i="8"/>
  <c r="F96" i="8"/>
  <c r="B96" i="8"/>
  <c r="J95" i="8"/>
  <c r="F95" i="8"/>
  <c r="B95" i="8"/>
  <c r="J94" i="8"/>
  <c r="F94" i="8"/>
  <c r="B94" i="8"/>
  <c r="J93" i="8"/>
  <c r="F93" i="8"/>
  <c r="B93" i="8"/>
  <c r="J92" i="8"/>
  <c r="F92" i="8"/>
  <c r="B92" i="8"/>
  <c r="K91" i="8"/>
  <c r="G91" i="8"/>
  <c r="C91" i="8"/>
  <c r="L90" i="8"/>
  <c r="H90" i="8"/>
  <c r="D90" i="8"/>
  <c r="M89" i="8"/>
  <c r="H89" i="8"/>
  <c r="D89" i="8"/>
  <c r="M88" i="8"/>
  <c r="H88" i="8"/>
  <c r="D88" i="8"/>
  <c r="M87" i="8"/>
  <c r="H87" i="8"/>
  <c r="D87" i="8"/>
  <c r="M86" i="8"/>
  <c r="H86" i="8"/>
  <c r="D86" i="8"/>
  <c r="M85" i="8"/>
  <c r="H85" i="8"/>
  <c r="D85" i="8"/>
  <c r="M84" i="8"/>
  <c r="H84" i="8"/>
  <c r="D84" i="8"/>
  <c r="M83" i="8"/>
  <c r="I83" i="8"/>
  <c r="E83" i="8"/>
  <c r="A83" i="8"/>
  <c r="J82" i="8"/>
  <c r="F82" i="8"/>
  <c r="B82" i="8"/>
  <c r="J81" i="8"/>
  <c r="F81" i="8"/>
  <c r="B81" i="8"/>
  <c r="J80" i="8"/>
  <c r="F80" i="8"/>
  <c r="B80" i="8"/>
  <c r="J79" i="8"/>
  <c r="F79" i="8"/>
  <c r="B79" i="8"/>
  <c r="J78" i="8"/>
  <c r="F78" i="8"/>
  <c r="B78" i="8"/>
  <c r="J77" i="8"/>
  <c r="F77" i="8"/>
  <c r="B77" i="8"/>
  <c r="J76" i="8"/>
  <c r="F76" i="8"/>
  <c r="B76" i="8"/>
  <c r="K75" i="8"/>
  <c r="G75" i="8"/>
  <c r="C75" i="8"/>
  <c r="L74" i="8"/>
  <c r="H74" i="8"/>
  <c r="D74" i="8"/>
  <c r="M73" i="8"/>
  <c r="H73" i="8"/>
  <c r="D73" i="8"/>
  <c r="M72" i="8"/>
  <c r="M377" i="8"/>
  <c r="G346" i="8"/>
  <c r="L325" i="8"/>
  <c r="G305" i="8"/>
  <c r="H293" i="8"/>
  <c r="G288" i="8"/>
  <c r="F283" i="8"/>
  <c r="C278" i="8"/>
  <c r="C273" i="8"/>
  <c r="A268" i="8"/>
  <c r="L262" i="8"/>
  <c r="L257" i="8"/>
  <c r="I252" i="8"/>
  <c r="G247" i="8"/>
  <c r="G242" i="8"/>
  <c r="G238" i="8"/>
  <c r="A236" i="8"/>
  <c r="D234" i="8"/>
  <c r="M232" i="8"/>
  <c r="H231" i="8"/>
  <c r="D230" i="8"/>
  <c r="A229" i="8"/>
  <c r="K227" i="8"/>
  <c r="H226" i="8"/>
  <c r="D225" i="8"/>
  <c r="M223" i="8"/>
  <c r="H222" i="8"/>
  <c r="E221" i="8"/>
  <c r="B220" i="8"/>
  <c r="L218" i="8"/>
  <c r="H217" i="8"/>
  <c r="D216" i="8"/>
  <c r="M214" i="8"/>
  <c r="I213" i="8"/>
  <c r="F212" i="8"/>
  <c r="C211" i="8"/>
  <c r="M209" i="8"/>
  <c r="H208" i="8"/>
  <c r="D207" i="8"/>
  <c r="M205" i="8"/>
  <c r="J204" i="8"/>
  <c r="G203" i="8"/>
  <c r="D202" i="8"/>
  <c r="M200" i="8"/>
  <c r="H199" i="8"/>
  <c r="D198" i="8"/>
  <c r="A197" i="8"/>
  <c r="K195" i="8"/>
  <c r="H194" i="8"/>
  <c r="D193" i="8"/>
  <c r="M191" i="8"/>
  <c r="H190" i="8"/>
  <c r="D189" i="8"/>
  <c r="M187" i="8"/>
  <c r="J186" i="8"/>
  <c r="F185" i="8"/>
  <c r="B184" i="8"/>
  <c r="J182" i="8"/>
  <c r="F181" i="8"/>
  <c r="B180" i="8"/>
  <c r="L178" i="8"/>
  <c r="H177" i="8"/>
  <c r="D176" i="8"/>
  <c r="M174" i="8"/>
  <c r="C174" i="8"/>
  <c r="G173" i="8"/>
  <c r="B173" i="8"/>
  <c r="I172" i="8"/>
  <c r="E172" i="8"/>
  <c r="A172" i="8"/>
  <c r="J171" i="8"/>
  <c r="F171" i="8"/>
  <c r="B171" i="8"/>
  <c r="K170" i="8"/>
  <c r="G170" i="8"/>
  <c r="C170" i="8"/>
  <c r="L169" i="8"/>
  <c r="G169" i="8"/>
  <c r="C169" i="8"/>
  <c r="L168" i="8"/>
  <c r="G168" i="8"/>
  <c r="C168" i="8"/>
  <c r="L167" i="8"/>
  <c r="G167" i="8"/>
  <c r="C167" i="8"/>
  <c r="L166" i="8"/>
  <c r="G166" i="8"/>
  <c r="C166" i="8"/>
  <c r="L165" i="8"/>
  <c r="G165" i="8"/>
  <c r="C165" i="8"/>
  <c r="L164" i="8"/>
  <c r="G164" i="8"/>
  <c r="C164" i="8"/>
  <c r="L163" i="8"/>
  <c r="H163" i="8"/>
  <c r="D163" i="8"/>
  <c r="M162" i="8"/>
  <c r="I162" i="8"/>
  <c r="E162" i="8"/>
  <c r="A162" i="8"/>
  <c r="I161" i="8"/>
  <c r="E161" i="8"/>
  <c r="A161" i="8"/>
  <c r="I160" i="8"/>
  <c r="E160" i="8"/>
  <c r="A160" i="8"/>
  <c r="I159" i="8"/>
  <c r="E159" i="8"/>
  <c r="A159" i="8"/>
  <c r="I158" i="8"/>
  <c r="E158" i="8"/>
  <c r="A158" i="8"/>
  <c r="I157" i="8"/>
  <c r="E157" i="8"/>
  <c r="A157" i="8"/>
  <c r="I156" i="8"/>
  <c r="E156" i="8"/>
  <c r="A156" i="8"/>
  <c r="J155" i="8"/>
  <c r="F155" i="8"/>
  <c r="B155" i="8"/>
  <c r="K154" i="8"/>
  <c r="G154" i="8"/>
  <c r="C154" i="8"/>
  <c r="L153" i="8"/>
  <c r="G153" i="8"/>
  <c r="C153" i="8"/>
  <c r="L152" i="8"/>
  <c r="G152" i="8"/>
  <c r="C152" i="8"/>
  <c r="L151" i="8"/>
  <c r="G151" i="8"/>
  <c r="C151" i="8"/>
  <c r="L150" i="8"/>
  <c r="G150" i="8"/>
  <c r="C150" i="8"/>
  <c r="L149" i="8"/>
  <c r="G149" i="8"/>
  <c r="C149" i="8"/>
  <c r="L148" i="8"/>
  <c r="G148" i="8"/>
  <c r="C148" i="8"/>
  <c r="L147" i="8"/>
  <c r="H147" i="8"/>
  <c r="D147" i="8"/>
  <c r="M146" i="8"/>
  <c r="I146" i="8"/>
  <c r="E146" i="8"/>
  <c r="A146" i="8"/>
  <c r="I145" i="8"/>
  <c r="E145" i="8"/>
  <c r="A145" i="8"/>
  <c r="I144" i="8"/>
  <c r="E144" i="8"/>
  <c r="A144" i="8"/>
  <c r="I143" i="8"/>
  <c r="E143" i="8"/>
  <c r="A143" i="8"/>
  <c r="I142" i="8"/>
  <c r="E142" i="8"/>
  <c r="A142" i="8"/>
  <c r="I141" i="8"/>
  <c r="E141" i="8"/>
  <c r="A141" i="8"/>
  <c r="I140" i="8"/>
  <c r="E140" i="8"/>
  <c r="A140" i="8"/>
  <c r="J139" i="8"/>
  <c r="F139" i="8"/>
  <c r="B139" i="8"/>
  <c r="K138" i="8"/>
  <c r="G138" i="8"/>
  <c r="C138" i="8"/>
  <c r="L137" i="8"/>
  <c r="G137" i="8"/>
  <c r="C137" i="8"/>
  <c r="L136" i="8"/>
  <c r="G136" i="8"/>
  <c r="C136" i="8"/>
  <c r="L135" i="8"/>
  <c r="G135" i="8"/>
  <c r="C135" i="8"/>
  <c r="L134" i="8"/>
  <c r="G134" i="8"/>
  <c r="C134" i="8"/>
  <c r="L133" i="8"/>
  <c r="G133" i="8"/>
  <c r="C133" i="8"/>
  <c r="L132" i="8"/>
  <c r="G132" i="8"/>
  <c r="C132" i="8"/>
  <c r="L131" i="8"/>
  <c r="H131" i="8"/>
  <c r="D131" i="8"/>
  <c r="M130" i="8"/>
  <c r="I130" i="8"/>
  <c r="E130" i="8"/>
  <c r="A130" i="8"/>
  <c r="I129" i="8"/>
  <c r="E129" i="8"/>
  <c r="A129" i="8"/>
  <c r="I128" i="8"/>
  <c r="E128" i="8"/>
  <c r="A128" i="8"/>
  <c r="I127" i="8"/>
  <c r="E127" i="8"/>
  <c r="A127" i="8"/>
  <c r="I126" i="8"/>
  <c r="E126" i="8"/>
  <c r="A126" i="8"/>
  <c r="I125" i="8"/>
  <c r="E125" i="8"/>
  <c r="A125" i="8"/>
  <c r="I124" i="8"/>
  <c r="E124" i="8"/>
  <c r="A124" i="8"/>
  <c r="J123" i="8"/>
  <c r="F123" i="8"/>
  <c r="B123" i="8"/>
  <c r="K122" i="8"/>
  <c r="G122" i="8"/>
  <c r="C122" i="8"/>
  <c r="L121" i="8"/>
  <c r="G121" i="8"/>
  <c r="C121" i="8"/>
  <c r="L120" i="8"/>
  <c r="G120" i="8"/>
  <c r="C120" i="8"/>
  <c r="L119" i="8"/>
  <c r="G119" i="8"/>
  <c r="C119" i="8"/>
  <c r="L118" i="8"/>
  <c r="G118" i="8"/>
  <c r="C118" i="8"/>
  <c r="L117" i="8"/>
  <c r="G117" i="8"/>
  <c r="C117" i="8"/>
  <c r="L116" i="8"/>
  <c r="G116" i="8"/>
  <c r="C116" i="8"/>
  <c r="L115" i="8"/>
  <c r="H115" i="8"/>
  <c r="D115" i="8"/>
  <c r="M114" i="8"/>
  <c r="I114" i="8"/>
  <c r="E114" i="8"/>
  <c r="A114" i="8"/>
  <c r="I113" i="8"/>
  <c r="E113" i="8"/>
  <c r="A113" i="8"/>
  <c r="I112" i="8"/>
  <c r="E112" i="8"/>
  <c r="A112" i="8"/>
  <c r="I111" i="8"/>
  <c r="E111" i="8"/>
  <c r="A111" i="8"/>
  <c r="I110" i="8"/>
  <c r="E110" i="8"/>
  <c r="A110" i="8"/>
  <c r="I109" i="8"/>
  <c r="E109" i="8"/>
  <c r="A109" i="8"/>
  <c r="I108" i="8"/>
  <c r="E108" i="8"/>
  <c r="A108" i="8"/>
  <c r="J107" i="8"/>
  <c r="F107" i="8"/>
  <c r="B107" i="8"/>
  <c r="K106" i="8"/>
  <c r="G106" i="8"/>
  <c r="C106" i="8"/>
  <c r="L105" i="8"/>
  <c r="G105" i="8"/>
  <c r="C105" i="8"/>
  <c r="L104" i="8"/>
  <c r="G104" i="8"/>
  <c r="C104" i="8"/>
  <c r="L103" i="8"/>
  <c r="G103" i="8"/>
  <c r="C103" i="8"/>
  <c r="L102" i="8"/>
  <c r="G102" i="8"/>
  <c r="C102" i="8"/>
  <c r="L101" i="8"/>
  <c r="G101" i="8"/>
  <c r="C101" i="8"/>
  <c r="L100" i="8"/>
  <c r="G100" i="8"/>
  <c r="C100" i="8"/>
  <c r="L99" i="8"/>
  <c r="H99" i="8"/>
  <c r="D99" i="8"/>
  <c r="M98" i="8"/>
  <c r="I98" i="8"/>
  <c r="E98" i="8"/>
  <c r="A98" i="8"/>
  <c r="I97" i="8"/>
  <c r="E97" i="8"/>
  <c r="A97" i="8"/>
  <c r="I96" i="8"/>
  <c r="E96" i="8"/>
  <c r="A96" i="8"/>
  <c r="I95" i="8"/>
  <c r="E95" i="8"/>
  <c r="A95" i="8"/>
  <c r="I94" i="8"/>
  <c r="E94" i="8"/>
  <c r="A94" i="8"/>
  <c r="I93" i="8"/>
  <c r="E93" i="8"/>
  <c r="A93" i="8"/>
  <c r="I92" i="8"/>
  <c r="E92" i="8"/>
  <c r="A92" i="8"/>
  <c r="J91" i="8"/>
  <c r="F91" i="8"/>
  <c r="B91" i="8"/>
  <c r="K90" i="8"/>
  <c r="G90" i="8"/>
  <c r="C90" i="8"/>
  <c r="L89" i="8"/>
  <c r="G89" i="8"/>
  <c r="C89" i="8"/>
  <c r="L88" i="8"/>
  <c r="G88" i="8"/>
  <c r="C88" i="8"/>
  <c r="L87" i="8"/>
  <c r="G87" i="8"/>
  <c r="C87" i="8"/>
  <c r="L86" i="8"/>
  <c r="G86" i="8"/>
  <c r="C86" i="8"/>
  <c r="L85" i="8"/>
  <c r="G85" i="8"/>
  <c r="C85" i="8"/>
  <c r="L84" i="8"/>
  <c r="G84" i="8"/>
  <c r="C84" i="8"/>
  <c r="L83" i="8"/>
  <c r="H83" i="8"/>
  <c r="D83" i="8"/>
  <c r="M82" i="8"/>
  <c r="I82" i="8"/>
  <c r="E82" i="8"/>
  <c r="A82" i="8"/>
  <c r="I81" i="8"/>
  <c r="E81" i="8"/>
  <c r="A81" i="8"/>
  <c r="I80" i="8"/>
  <c r="E80" i="8"/>
  <c r="A80" i="8"/>
  <c r="I79" i="8"/>
  <c r="E79" i="8"/>
  <c r="A79" i="8"/>
  <c r="I78" i="8"/>
  <c r="E78" i="8"/>
  <c r="A78" i="8"/>
  <c r="I77" i="8"/>
  <c r="E77" i="8"/>
  <c r="A77" i="8"/>
  <c r="I76" i="8"/>
  <c r="E76" i="8"/>
  <c r="A76" i="8"/>
  <c r="J75" i="8"/>
  <c r="F75" i="8"/>
  <c r="B75" i="8"/>
  <c r="K74" i="8"/>
  <c r="G74" i="8"/>
  <c r="H367" i="8"/>
  <c r="D341" i="8"/>
  <c r="L320" i="8"/>
  <c r="E300" i="8"/>
  <c r="E292" i="8"/>
  <c r="C287" i="8"/>
  <c r="C282" i="8"/>
  <c r="M276" i="8"/>
  <c r="L271" i="8"/>
  <c r="K266" i="8"/>
  <c r="H261" i="8"/>
  <c r="G256" i="8"/>
  <c r="F251" i="8"/>
  <c r="C246" i="8"/>
  <c r="C241" i="8"/>
  <c r="L237" i="8"/>
  <c r="F235" i="8"/>
  <c r="M233" i="8"/>
  <c r="H232" i="8"/>
  <c r="D231" i="8"/>
  <c r="M229" i="8"/>
  <c r="J228" i="8"/>
  <c r="G227" i="8"/>
  <c r="D226" i="8"/>
  <c r="M224" i="8"/>
  <c r="H223" i="8"/>
  <c r="D222" i="8"/>
  <c r="A221" i="8"/>
  <c r="K219" i="8"/>
  <c r="H218" i="8"/>
  <c r="D217" i="8"/>
  <c r="M215" i="8"/>
  <c r="H214" i="8"/>
  <c r="E213" i="8"/>
  <c r="B212" i="8"/>
  <c r="L210" i="8"/>
  <c r="H209" i="8"/>
  <c r="D208" i="8"/>
  <c r="M206" i="8"/>
  <c r="I205" i="8"/>
  <c r="F204" i="8"/>
  <c r="C203" i="8"/>
  <c r="M201" i="8"/>
  <c r="H200" i="8"/>
  <c r="D199" i="8"/>
  <c r="M197" i="8"/>
  <c r="J196" i="8"/>
  <c r="G195" i="8"/>
  <c r="D194" i="8"/>
  <c r="M192" i="8"/>
  <c r="H191" i="8"/>
  <c r="D190" i="8"/>
  <c r="M188" i="8"/>
  <c r="I187" i="8"/>
  <c r="F186" i="8"/>
  <c r="B185" i="8"/>
  <c r="J183" i="8"/>
  <c r="F182" i="8"/>
  <c r="B181" i="8"/>
  <c r="K179" i="8"/>
  <c r="H178" i="8"/>
  <c r="D177" i="8"/>
  <c r="M175" i="8"/>
  <c r="H174" i="8"/>
  <c r="M173" i="8"/>
  <c r="F173" i="8"/>
  <c r="M172" i="8"/>
  <c r="H172" i="8"/>
  <c r="D172" i="8"/>
  <c r="M171" i="8"/>
  <c r="I171" i="8"/>
  <c r="E171" i="8"/>
  <c r="A171" i="8"/>
  <c r="J170" i="8"/>
  <c r="F170" i="8"/>
  <c r="B170" i="8"/>
  <c r="J169" i="8"/>
  <c r="F169" i="8"/>
  <c r="B169" i="8"/>
  <c r="J168" i="8"/>
  <c r="F168" i="8"/>
  <c r="B168" i="8"/>
  <c r="J167" i="8"/>
  <c r="F167" i="8"/>
  <c r="B167" i="8"/>
  <c r="J166" i="8"/>
  <c r="F166" i="8"/>
  <c r="B166" i="8"/>
  <c r="J165" i="8"/>
  <c r="F165" i="8"/>
  <c r="B165" i="8"/>
  <c r="J164" i="8"/>
  <c r="F164" i="8"/>
  <c r="B164" i="8"/>
  <c r="K163" i="8"/>
  <c r="G163" i="8"/>
  <c r="C163" i="8"/>
  <c r="L162" i="8"/>
  <c r="H162" i="8"/>
  <c r="D162" i="8"/>
  <c r="M161" i="8"/>
  <c r="H161" i="8"/>
  <c r="D161" i="8"/>
  <c r="M160" i="8"/>
  <c r="H160" i="8"/>
  <c r="D160" i="8"/>
  <c r="M159" i="8"/>
  <c r="H159" i="8"/>
  <c r="D159" i="8"/>
  <c r="M158" i="8"/>
  <c r="H158" i="8"/>
  <c r="D158" i="8"/>
  <c r="M157" i="8"/>
  <c r="H157" i="8"/>
  <c r="D157" i="8"/>
  <c r="M156" i="8"/>
  <c r="H156" i="8"/>
  <c r="D156" i="8"/>
  <c r="M155" i="8"/>
  <c r="I155" i="8"/>
  <c r="E155" i="8"/>
  <c r="A155" i="8"/>
  <c r="J154" i="8"/>
  <c r="F154" i="8"/>
  <c r="B154" i="8"/>
  <c r="J153" i="8"/>
  <c r="F153" i="8"/>
  <c r="B153" i="8"/>
  <c r="J152" i="8"/>
  <c r="F152" i="8"/>
  <c r="B152" i="8"/>
  <c r="J151" i="8"/>
  <c r="F151" i="8"/>
  <c r="B151" i="8"/>
  <c r="J150" i="8"/>
  <c r="F150" i="8"/>
  <c r="B150" i="8"/>
  <c r="J149" i="8"/>
  <c r="F149" i="8"/>
  <c r="B149" i="8"/>
  <c r="J148" i="8"/>
  <c r="F148" i="8"/>
  <c r="B148" i="8"/>
  <c r="K147" i="8"/>
  <c r="G147" i="8"/>
  <c r="C147" i="8"/>
  <c r="L146" i="8"/>
  <c r="H146" i="8"/>
  <c r="D146" i="8"/>
  <c r="M145" i="8"/>
  <c r="H145" i="8"/>
  <c r="D145" i="8"/>
  <c r="M144" i="8"/>
  <c r="H144" i="8"/>
  <c r="D144" i="8"/>
  <c r="M143" i="8"/>
  <c r="H143" i="8"/>
  <c r="D143" i="8"/>
  <c r="M142" i="8"/>
  <c r="H142" i="8"/>
  <c r="D142" i="8"/>
  <c r="M141" i="8"/>
  <c r="H141" i="8"/>
  <c r="D141" i="8"/>
  <c r="M140" i="8"/>
  <c r="H140" i="8"/>
  <c r="D140" i="8"/>
  <c r="M139" i="8"/>
  <c r="I139" i="8"/>
  <c r="E139" i="8"/>
  <c r="A139" i="8"/>
  <c r="J138" i="8"/>
  <c r="F138" i="8"/>
  <c r="B138" i="8"/>
  <c r="J137" i="8"/>
  <c r="F137" i="8"/>
  <c r="B137" i="8"/>
  <c r="J136" i="8"/>
  <c r="F136" i="8"/>
  <c r="B136" i="8"/>
  <c r="J135" i="8"/>
  <c r="F135" i="8"/>
  <c r="B135" i="8"/>
  <c r="J134" i="8"/>
  <c r="F134" i="8"/>
  <c r="B134" i="8"/>
  <c r="J133" i="8"/>
  <c r="F133" i="8"/>
  <c r="B133" i="8"/>
  <c r="J132" i="8"/>
  <c r="F132" i="8"/>
  <c r="B132" i="8"/>
  <c r="K131" i="8"/>
  <c r="G131" i="8"/>
  <c r="C131" i="8"/>
  <c r="L130" i="8"/>
  <c r="H130" i="8"/>
  <c r="D130" i="8"/>
  <c r="M129" i="8"/>
  <c r="H129" i="8"/>
  <c r="D129" i="8"/>
  <c r="M128" i="8"/>
  <c r="H128" i="8"/>
  <c r="D128" i="8"/>
  <c r="M127" i="8"/>
  <c r="H127" i="8"/>
  <c r="D127" i="8"/>
  <c r="M126" i="8"/>
  <c r="H126" i="8"/>
  <c r="D126" i="8"/>
  <c r="M125" i="8"/>
  <c r="H125" i="8"/>
  <c r="D125" i="8"/>
  <c r="M124" i="8"/>
  <c r="H124" i="8"/>
  <c r="D124" i="8"/>
  <c r="M123" i="8"/>
  <c r="I123" i="8"/>
  <c r="E123" i="8"/>
  <c r="A123" i="8"/>
  <c r="J122" i="8"/>
  <c r="F122" i="8"/>
  <c r="B122" i="8"/>
  <c r="J121" i="8"/>
  <c r="F121" i="8"/>
  <c r="B121" i="8"/>
  <c r="J120" i="8"/>
  <c r="F120" i="8"/>
  <c r="B120" i="8"/>
  <c r="J119" i="8"/>
  <c r="F119" i="8"/>
  <c r="B119" i="8"/>
  <c r="J118" i="8"/>
  <c r="F118" i="8"/>
  <c r="B118" i="8"/>
  <c r="J117" i="8"/>
  <c r="F117" i="8"/>
  <c r="B117" i="8"/>
  <c r="J116" i="8"/>
  <c r="F116" i="8"/>
  <c r="B116" i="8"/>
  <c r="K115" i="8"/>
  <c r="G115" i="8"/>
  <c r="C115" i="8"/>
  <c r="L114" i="8"/>
  <c r="H114" i="8"/>
  <c r="D114" i="8"/>
  <c r="M113" i="8"/>
  <c r="H113" i="8"/>
  <c r="D113" i="8"/>
  <c r="M112" i="8"/>
  <c r="H112" i="8"/>
  <c r="D112" i="8"/>
  <c r="M111" i="8"/>
  <c r="H111" i="8"/>
  <c r="D111" i="8"/>
  <c r="M110" i="8"/>
  <c r="H110" i="8"/>
  <c r="D110" i="8"/>
  <c r="M109" i="8"/>
  <c r="H109" i="8"/>
  <c r="D109" i="8"/>
  <c r="M108" i="8"/>
  <c r="H108" i="8"/>
  <c r="D108" i="8"/>
  <c r="M107" i="8"/>
  <c r="I107" i="8"/>
  <c r="E107" i="8"/>
  <c r="A107" i="8"/>
  <c r="J106" i="8"/>
  <c r="F106" i="8"/>
  <c r="B106" i="8"/>
  <c r="J105" i="8"/>
  <c r="F105" i="8"/>
  <c r="B105" i="8"/>
  <c r="J104" i="8"/>
  <c r="F104" i="8"/>
  <c r="B104" i="8"/>
  <c r="J103" i="8"/>
  <c r="F103" i="8"/>
  <c r="B103" i="8"/>
  <c r="J102" i="8"/>
  <c r="F102" i="8"/>
  <c r="B102" i="8"/>
  <c r="J101" i="8"/>
  <c r="F101" i="8"/>
  <c r="B101" i="8"/>
  <c r="J100" i="8"/>
  <c r="F100" i="8"/>
  <c r="B100" i="8"/>
  <c r="K99" i="8"/>
  <c r="G99" i="8"/>
  <c r="C99" i="8"/>
  <c r="L98" i="8"/>
  <c r="H98" i="8"/>
  <c r="D98" i="8"/>
  <c r="M97" i="8"/>
  <c r="H97" i="8"/>
  <c r="D97" i="8"/>
  <c r="M96" i="8"/>
  <c r="H96" i="8"/>
  <c r="D96" i="8"/>
  <c r="M95" i="8"/>
  <c r="H95" i="8"/>
  <c r="D95" i="8"/>
  <c r="M94" i="8"/>
  <c r="H94" i="8"/>
  <c r="D94" i="8"/>
  <c r="M93" i="8"/>
  <c r="H93" i="8"/>
  <c r="D93" i="8"/>
  <c r="M92" i="8"/>
  <c r="H92" i="8"/>
  <c r="D92" i="8"/>
  <c r="M91" i="8"/>
  <c r="I91" i="8"/>
  <c r="E91" i="8"/>
  <c r="A91" i="8"/>
  <c r="J90" i="8"/>
  <c r="F90" i="8"/>
  <c r="B90" i="8"/>
  <c r="J89" i="8"/>
  <c r="F89" i="8"/>
  <c r="B89" i="8"/>
  <c r="J88" i="8"/>
  <c r="F88" i="8"/>
  <c r="B88" i="8"/>
  <c r="J87" i="8"/>
  <c r="F87" i="8"/>
  <c r="B87" i="8"/>
  <c r="J86" i="8"/>
  <c r="F86" i="8"/>
  <c r="B86" i="8"/>
  <c r="J85" i="8"/>
  <c r="F85" i="8"/>
  <c r="B85" i="8"/>
  <c r="J84" i="8"/>
  <c r="F84" i="8"/>
  <c r="B84" i="8"/>
  <c r="K83" i="8"/>
  <c r="G83" i="8"/>
  <c r="C83" i="8"/>
  <c r="L82" i="8"/>
  <c r="H82" i="8"/>
  <c r="D82" i="8"/>
  <c r="M81" i="8"/>
  <c r="H81" i="8"/>
  <c r="D81" i="8"/>
  <c r="M80" i="8"/>
  <c r="H80" i="8"/>
  <c r="D80" i="8"/>
  <c r="M79" i="8"/>
  <c r="H79" i="8"/>
  <c r="D79" i="8"/>
  <c r="M78" i="8"/>
  <c r="H78" i="8"/>
  <c r="D78" i="8"/>
  <c r="M77" i="8"/>
  <c r="H77" i="8"/>
  <c r="D77" i="8"/>
  <c r="M76" i="8"/>
  <c r="H76" i="8"/>
  <c r="D76" i="8"/>
  <c r="M75" i="8"/>
  <c r="I75" i="8"/>
  <c r="E75" i="8"/>
  <c r="A75" i="8"/>
  <c r="J74" i="8"/>
  <c r="F74" i="8"/>
  <c r="B74" i="8"/>
  <c r="J73" i="8"/>
  <c r="F73" i="8"/>
  <c r="B73" i="8"/>
  <c r="F357" i="8"/>
  <c r="C336" i="8"/>
  <c r="J315" i="8"/>
  <c r="G296" i="8"/>
  <c r="B291" i="8"/>
  <c r="L285" i="8"/>
  <c r="L280" i="8"/>
  <c r="J275" i="8"/>
  <c r="G270" i="8"/>
  <c r="G265" i="8"/>
  <c r="E260" i="8"/>
  <c r="C255" i="8"/>
  <c r="C250" i="8"/>
  <c r="M244" i="8"/>
  <c r="L239" i="8"/>
  <c r="D237" i="8"/>
  <c r="L234" i="8"/>
  <c r="H233" i="8"/>
  <c r="D232" i="8"/>
  <c r="M230" i="8"/>
  <c r="I229" i="8"/>
  <c r="F228" i="8"/>
  <c r="C227" i="8"/>
  <c r="M225" i="8"/>
  <c r="H224" i="8"/>
  <c r="D223" i="8"/>
  <c r="M221" i="8"/>
  <c r="J220" i="8"/>
  <c r="G219" i="8"/>
  <c r="D218" i="8"/>
  <c r="M216" i="8"/>
  <c r="H215" i="8"/>
  <c r="D214" i="8"/>
  <c r="A213" i="8"/>
  <c r="K211" i="8"/>
  <c r="H210" i="8"/>
  <c r="D209" i="8"/>
  <c r="M207" i="8"/>
  <c r="H206" i="8"/>
  <c r="E205" i="8"/>
  <c r="B204" i="8"/>
  <c r="L202" i="8"/>
  <c r="H201" i="8"/>
  <c r="D200" i="8"/>
  <c r="M198" i="8"/>
  <c r="I197" i="8"/>
  <c r="F196" i="8"/>
  <c r="C195" i="8"/>
  <c r="M193" i="8"/>
  <c r="H192" i="8"/>
  <c r="D191" i="8"/>
  <c r="M189" i="8"/>
  <c r="H188" i="8"/>
  <c r="E187" i="8"/>
  <c r="B186" i="8"/>
  <c r="J184" i="8"/>
  <c r="F183" i="8"/>
  <c r="B182" i="8"/>
  <c r="J180" i="8"/>
  <c r="G179" i="8"/>
  <c r="D178" i="8"/>
  <c r="M176" i="8"/>
  <c r="H175" i="8"/>
  <c r="G174" i="8"/>
  <c r="L173" i="8"/>
  <c r="D173" i="8"/>
  <c r="L172" i="8"/>
  <c r="G172" i="8"/>
  <c r="C172" i="8"/>
  <c r="L171" i="8"/>
  <c r="H171" i="8"/>
  <c r="D171" i="8"/>
  <c r="M170" i="8"/>
  <c r="I170" i="8"/>
  <c r="E170" i="8"/>
  <c r="A170" i="8"/>
  <c r="I169" i="8"/>
  <c r="E169" i="8"/>
  <c r="A169" i="8"/>
  <c r="I168" i="8"/>
  <c r="E168" i="8"/>
  <c r="A168" i="8"/>
  <c r="I167" i="8"/>
  <c r="E167" i="8"/>
  <c r="A167" i="8"/>
  <c r="I166" i="8"/>
  <c r="E166" i="8"/>
  <c r="A166" i="8"/>
  <c r="I165" i="8"/>
  <c r="E165" i="8"/>
  <c r="A165" i="8"/>
  <c r="I164" i="8"/>
  <c r="E164" i="8"/>
  <c r="A164" i="8"/>
  <c r="J163" i="8"/>
  <c r="F163" i="8"/>
  <c r="B163" i="8"/>
  <c r="K162" i="8"/>
  <c r="G162" i="8"/>
  <c r="C162" i="8"/>
  <c r="L161" i="8"/>
  <c r="G161" i="8"/>
  <c r="C161" i="8"/>
  <c r="L160" i="8"/>
  <c r="G160" i="8"/>
  <c r="C160" i="8"/>
  <c r="L159" i="8"/>
  <c r="G159" i="8"/>
  <c r="C159" i="8"/>
  <c r="L158" i="8"/>
  <c r="G158" i="8"/>
  <c r="C158" i="8"/>
  <c r="L157" i="8"/>
  <c r="G157" i="8"/>
  <c r="C157" i="8"/>
  <c r="L156" i="8"/>
  <c r="G156" i="8"/>
  <c r="C156" i="8"/>
  <c r="L155" i="8"/>
  <c r="H155" i="8"/>
  <c r="D155" i="8"/>
  <c r="M154" i="8"/>
  <c r="I154" i="8"/>
  <c r="E154" i="8"/>
  <c r="A154" i="8"/>
  <c r="I153" i="8"/>
  <c r="E153" i="8"/>
  <c r="A153" i="8"/>
  <c r="I151" i="8"/>
  <c r="E150" i="8"/>
  <c r="A149" i="8"/>
  <c r="J147" i="8"/>
  <c r="G146" i="8"/>
  <c r="C145" i="8"/>
  <c r="L143" i="8"/>
  <c r="G142" i="8"/>
  <c r="C141" i="8"/>
  <c r="L139" i="8"/>
  <c r="I138" i="8"/>
  <c r="E137" i="8"/>
  <c r="A136" i="8"/>
  <c r="I134" i="8"/>
  <c r="E133" i="8"/>
  <c r="A132" i="8"/>
  <c r="K130" i="8"/>
  <c r="G129" i="8"/>
  <c r="C128" i="8"/>
  <c r="L126" i="8"/>
  <c r="G125" i="8"/>
  <c r="C124" i="8"/>
  <c r="M122" i="8"/>
  <c r="I121" i="8"/>
  <c r="E120" i="8"/>
  <c r="A119" i="8"/>
  <c r="I117" i="8"/>
  <c r="E116" i="8"/>
  <c r="B115" i="8"/>
  <c r="L113" i="8"/>
  <c r="G112" i="8"/>
  <c r="C111" i="8"/>
  <c r="L109" i="8"/>
  <c r="G108" i="8"/>
  <c r="D107" i="8"/>
  <c r="A106" i="8"/>
  <c r="I104" i="8"/>
  <c r="E103" i="8"/>
  <c r="A102" i="8"/>
  <c r="I100" i="8"/>
  <c r="F99" i="8"/>
  <c r="C98" i="8"/>
  <c r="L96" i="8"/>
  <c r="G95" i="8"/>
  <c r="C94" i="8"/>
  <c r="L92" i="8"/>
  <c r="H91" i="8"/>
  <c r="E90" i="8"/>
  <c r="A89" i="8"/>
  <c r="I87" i="8"/>
  <c r="E86" i="8"/>
  <c r="A85" i="8"/>
  <c r="J83" i="8"/>
  <c r="G82" i="8"/>
  <c r="C81" i="8"/>
  <c r="L79" i="8"/>
  <c r="G78" i="8"/>
  <c r="C77" i="8"/>
  <c r="L75" i="8"/>
  <c r="I74" i="8"/>
  <c r="L73" i="8"/>
  <c r="C73" i="8"/>
  <c r="I72" i="8"/>
  <c r="E72" i="8"/>
  <c r="A72" i="8"/>
  <c r="I71" i="8"/>
  <c r="E71" i="8"/>
  <c r="A71" i="8"/>
  <c r="I70" i="8"/>
  <c r="E70" i="8"/>
  <c r="A70" i="8"/>
  <c r="I69" i="8"/>
  <c r="E69" i="8"/>
  <c r="A69" i="8"/>
  <c r="I68" i="8"/>
  <c r="E68" i="8"/>
  <c r="A68" i="8"/>
  <c r="J67" i="8"/>
  <c r="F67" i="8"/>
  <c r="B67" i="8"/>
  <c r="K66" i="8"/>
  <c r="G66" i="8"/>
  <c r="C66" i="8"/>
  <c r="L65" i="8"/>
  <c r="G65" i="8"/>
  <c r="C65" i="8"/>
  <c r="L64" i="8"/>
  <c r="G64" i="8"/>
  <c r="C64" i="8"/>
  <c r="L63" i="8"/>
  <c r="G63" i="8"/>
  <c r="C63" i="8"/>
  <c r="L62" i="8"/>
  <c r="G62" i="8"/>
  <c r="C62" i="8"/>
  <c r="L61" i="8"/>
  <c r="G61" i="8"/>
  <c r="C61" i="8"/>
  <c r="L60" i="8"/>
  <c r="G60" i="8"/>
  <c r="C60" i="8"/>
  <c r="L59" i="8"/>
  <c r="H59" i="8"/>
  <c r="D59" i="8"/>
  <c r="M58" i="8"/>
  <c r="I58" i="8"/>
  <c r="E58" i="8"/>
  <c r="A58" i="8"/>
  <c r="I57" i="8"/>
  <c r="E57" i="8"/>
  <c r="A57" i="8"/>
  <c r="I56" i="8"/>
  <c r="E56" i="8"/>
  <c r="A56" i="8"/>
  <c r="I55" i="8"/>
  <c r="E55" i="8"/>
  <c r="A55" i="8"/>
  <c r="I54" i="8"/>
  <c r="E54" i="8"/>
  <c r="A54" i="8"/>
  <c r="I53" i="8"/>
  <c r="E53" i="8"/>
  <c r="A53" i="8"/>
  <c r="I52" i="8"/>
  <c r="E52" i="8"/>
  <c r="A52" i="8"/>
  <c r="J51" i="8"/>
  <c r="F51" i="8"/>
  <c r="B51" i="8"/>
  <c r="K50" i="8"/>
  <c r="G50" i="8"/>
  <c r="C50" i="8"/>
  <c r="L49" i="8"/>
  <c r="G49" i="8"/>
  <c r="C49" i="8"/>
  <c r="L48" i="8"/>
  <c r="G48" i="8"/>
  <c r="C48" i="8"/>
  <c r="L47" i="8"/>
  <c r="G47" i="8"/>
  <c r="C47" i="8"/>
  <c r="L46" i="8"/>
  <c r="G46" i="8"/>
  <c r="C46" i="8"/>
  <c r="L45" i="8"/>
  <c r="G45" i="8"/>
  <c r="C45" i="8"/>
  <c r="L44" i="8"/>
  <c r="G44" i="8"/>
  <c r="C44" i="8"/>
  <c r="L43" i="8"/>
  <c r="H43" i="8"/>
  <c r="D43" i="8"/>
  <c r="M42" i="8"/>
  <c r="I42" i="8"/>
  <c r="E42" i="8"/>
  <c r="A42" i="8"/>
  <c r="I41" i="8"/>
  <c r="E41" i="8"/>
  <c r="A41" i="8"/>
  <c r="I40" i="8"/>
  <c r="E40" i="8"/>
  <c r="A40" i="8"/>
  <c r="I39" i="8"/>
  <c r="E39" i="8"/>
  <c r="A39" i="8"/>
  <c r="I38" i="8"/>
  <c r="E38" i="8"/>
  <c r="A38" i="8"/>
  <c r="I37" i="8"/>
  <c r="E37" i="8"/>
  <c r="A37" i="8"/>
  <c r="I36" i="8"/>
  <c r="E36" i="8"/>
  <c r="A36" i="8"/>
  <c r="J35" i="8"/>
  <c r="F35" i="8"/>
  <c r="B35" i="8"/>
  <c r="K34" i="8"/>
  <c r="G34" i="8"/>
  <c r="C34" i="8"/>
  <c r="L33" i="8"/>
  <c r="G33" i="8"/>
  <c r="C33" i="8"/>
  <c r="L32" i="8"/>
  <c r="G32" i="8"/>
  <c r="C32" i="8"/>
  <c r="L31" i="8"/>
  <c r="G31" i="8"/>
  <c r="C31" i="8"/>
  <c r="L30" i="8"/>
  <c r="G30" i="8"/>
  <c r="C30" i="8"/>
  <c r="L29" i="8"/>
  <c r="G29" i="8"/>
  <c r="C29" i="8"/>
  <c r="L28" i="8"/>
  <c r="G28" i="8"/>
  <c r="C28" i="8"/>
  <c r="L27" i="8"/>
  <c r="H27" i="8"/>
  <c r="D27" i="8"/>
  <c r="M26" i="8"/>
  <c r="I26" i="8"/>
  <c r="E26" i="8"/>
  <c r="A26" i="8"/>
  <c r="I25" i="8"/>
  <c r="E25" i="8"/>
  <c r="A25" i="8"/>
  <c r="I24" i="8"/>
  <c r="E24" i="8"/>
  <c r="A24" i="8"/>
  <c r="I23" i="8"/>
  <c r="E23" i="8"/>
  <c r="A23" i="8"/>
  <c r="I22" i="8"/>
  <c r="E22" i="8"/>
  <c r="A22" i="8"/>
  <c r="I21" i="8"/>
  <c r="E21" i="8"/>
  <c r="A21" i="8"/>
  <c r="I20" i="8"/>
  <c r="E20" i="8"/>
  <c r="A20" i="8"/>
  <c r="J19" i="8"/>
  <c r="F19" i="8"/>
  <c r="B19" i="8"/>
  <c r="K18" i="8"/>
  <c r="G18" i="8"/>
  <c r="C18" i="8"/>
  <c r="L17" i="8"/>
  <c r="G17" i="8"/>
  <c r="C17" i="8"/>
  <c r="L16" i="8"/>
  <c r="G16" i="8"/>
  <c r="C16" i="8"/>
  <c r="L15" i="8"/>
  <c r="G15" i="8"/>
  <c r="C15" i="8"/>
  <c r="L14" i="8"/>
  <c r="G14" i="8"/>
  <c r="C14" i="8"/>
  <c r="L13" i="8"/>
  <c r="G13" i="8"/>
  <c r="C13" i="8"/>
  <c r="I152" i="8"/>
  <c r="E151" i="8"/>
  <c r="A150" i="8"/>
  <c r="I148" i="8"/>
  <c r="F147" i="8"/>
  <c r="C146" i="8"/>
  <c r="L144" i="8"/>
  <c r="G143" i="8"/>
  <c r="C142" i="8"/>
  <c r="L140" i="8"/>
  <c r="H139" i="8"/>
  <c r="E138" i="8"/>
  <c r="A137" i="8"/>
  <c r="I135" i="8"/>
  <c r="E134" i="8"/>
  <c r="A133" i="8"/>
  <c r="J131" i="8"/>
  <c r="G130" i="8"/>
  <c r="C129" i="8"/>
  <c r="L127" i="8"/>
  <c r="G126" i="8"/>
  <c r="C125" i="8"/>
  <c r="L123" i="8"/>
  <c r="I122" i="8"/>
  <c r="E121" i="8"/>
  <c r="A120" i="8"/>
  <c r="I118" i="8"/>
  <c r="E117" i="8"/>
  <c r="A116" i="8"/>
  <c r="K114" i="8"/>
  <c r="G113" i="8"/>
  <c r="C112" i="8"/>
  <c r="L110" i="8"/>
  <c r="G109" i="8"/>
  <c r="C108" i="8"/>
  <c r="M106" i="8"/>
  <c r="I105" i="8"/>
  <c r="E104" i="8"/>
  <c r="A103" i="8"/>
  <c r="I101" i="8"/>
  <c r="E100" i="8"/>
  <c r="B99" i="8"/>
  <c r="L97" i="8"/>
  <c r="G96" i="8"/>
  <c r="C95" i="8"/>
  <c r="L93" i="8"/>
  <c r="G92" i="8"/>
  <c r="D91" i="8"/>
  <c r="A90" i="8"/>
  <c r="I88" i="8"/>
  <c r="E87" i="8"/>
  <c r="A86" i="8"/>
  <c r="I84" i="8"/>
  <c r="F83" i="8"/>
  <c r="C82" i="8"/>
  <c r="L80" i="8"/>
  <c r="G79" i="8"/>
  <c r="C78" i="8"/>
  <c r="L76" i="8"/>
  <c r="H75" i="8"/>
  <c r="E74" i="8"/>
  <c r="I73" i="8"/>
  <c r="A73" i="8"/>
  <c r="H72" i="8"/>
  <c r="D72" i="8"/>
  <c r="M71" i="8"/>
  <c r="H71" i="8"/>
  <c r="D71" i="8"/>
  <c r="M70" i="8"/>
  <c r="H70" i="8"/>
  <c r="D70" i="8"/>
  <c r="M69" i="8"/>
  <c r="H69" i="8"/>
  <c r="D69" i="8"/>
  <c r="M68" i="8"/>
  <c r="H68" i="8"/>
  <c r="D68" i="8"/>
  <c r="M67" i="8"/>
  <c r="I67" i="8"/>
  <c r="E67" i="8"/>
  <c r="A67" i="8"/>
  <c r="J66" i="8"/>
  <c r="F66" i="8"/>
  <c r="B66" i="8"/>
  <c r="J65" i="8"/>
  <c r="F65" i="8"/>
  <c r="B65" i="8"/>
  <c r="J64" i="8"/>
  <c r="F64" i="8"/>
  <c r="B64" i="8"/>
  <c r="J63" i="8"/>
  <c r="F63" i="8"/>
  <c r="B63" i="8"/>
  <c r="J62" i="8"/>
  <c r="F62" i="8"/>
  <c r="B62" i="8"/>
  <c r="J61" i="8"/>
  <c r="F61" i="8"/>
  <c r="B61" i="8"/>
  <c r="J60" i="8"/>
  <c r="F60" i="8"/>
  <c r="B60" i="8"/>
  <c r="K59" i="8"/>
  <c r="G59" i="8"/>
  <c r="C59" i="8"/>
  <c r="L58" i="8"/>
  <c r="H58" i="8"/>
  <c r="D58" i="8"/>
  <c r="M57" i="8"/>
  <c r="H57" i="8"/>
  <c r="D57" i="8"/>
  <c r="M56" i="8"/>
  <c r="H56" i="8"/>
  <c r="D56" i="8"/>
  <c r="M55" i="8"/>
  <c r="H55" i="8"/>
  <c r="D55" i="8"/>
  <c r="M54" i="8"/>
  <c r="H54" i="8"/>
  <c r="D54" i="8"/>
  <c r="M53" i="8"/>
  <c r="H53" i="8"/>
  <c r="D53" i="8"/>
  <c r="M52" i="8"/>
  <c r="H52" i="8"/>
  <c r="D52" i="8"/>
  <c r="M51" i="8"/>
  <c r="I51" i="8"/>
  <c r="E51" i="8"/>
  <c r="A51" i="8"/>
  <c r="J50" i="8"/>
  <c r="F50" i="8"/>
  <c r="B50" i="8"/>
  <c r="J49" i="8"/>
  <c r="F49" i="8"/>
  <c r="B49" i="8"/>
  <c r="J48" i="8"/>
  <c r="F48" i="8"/>
  <c r="B48" i="8"/>
  <c r="J47" i="8"/>
  <c r="F47" i="8"/>
  <c r="B47" i="8"/>
  <c r="J46" i="8"/>
  <c r="F46" i="8"/>
  <c r="B46" i="8"/>
  <c r="J45" i="8"/>
  <c r="F45" i="8"/>
  <c r="B45" i="8"/>
  <c r="J44" i="8"/>
  <c r="F44" i="8"/>
  <c r="B44" i="8"/>
  <c r="K43" i="8"/>
  <c r="G43" i="8"/>
  <c r="C43" i="8"/>
  <c r="L42" i="8"/>
  <c r="H42" i="8"/>
  <c r="D42" i="8"/>
  <c r="M41" i="8"/>
  <c r="H41" i="8"/>
  <c r="D41" i="8"/>
  <c r="M40" i="8"/>
  <c r="H40" i="8"/>
  <c r="D40" i="8"/>
  <c r="M39" i="8"/>
  <c r="H39" i="8"/>
  <c r="D39" i="8"/>
  <c r="M38" i="8"/>
  <c r="H38" i="8"/>
  <c r="D38" i="8"/>
  <c r="M37" i="8"/>
  <c r="H37" i="8"/>
  <c r="D37" i="8"/>
  <c r="M36" i="8"/>
  <c r="H36" i="8"/>
  <c r="D36" i="8"/>
  <c r="M35" i="8"/>
  <c r="I35" i="8"/>
  <c r="E35" i="8"/>
  <c r="A35" i="8"/>
  <c r="J34" i="8"/>
  <c r="F34" i="8"/>
  <c r="B34" i="8"/>
  <c r="J33" i="8"/>
  <c r="F33" i="8"/>
  <c r="B33" i="8"/>
  <c r="J32" i="8"/>
  <c r="F32" i="8"/>
  <c r="B32" i="8"/>
  <c r="J31" i="8"/>
  <c r="F31" i="8"/>
  <c r="B31" i="8"/>
  <c r="J30" i="8"/>
  <c r="F30" i="8"/>
  <c r="B30" i="8"/>
  <c r="J29" i="8"/>
  <c r="F29" i="8"/>
  <c r="B29" i="8"/>
  <c r="J28" i="8"/>
  <c r="F28" i="8"/>
  <c r="B28" i="8"/>
  <c r="K27" i="8"/>
  <c r="G27" i="8"/>
  <c r="C27" i="8"/>
  <c r="L26" i="8"/>
  <c r="H26" i="8"/>
  <c r="D26" i="8"/>
  <c r="M25" i="8"/>
  <c r="H25" i="8"/>
  <c r="D25" i="8"/>
  <c r="M24" i="8"/>
  <c r="H24" i="8"/>
  <c r="D24" i="8"/>
  <c r="M23" i="8"/>
  <c r="H23" i="8"/>
  <c r="D23" i="8"/>
  <c r="M22" i="8"/>
  <c r="H22" i="8"/>
  <c r="D22" i="8"/>
  <c r="M21" i="8"/>
  <c r="H21" i="8"/>
  <c r="D21" i="8"/>
  <c r="M20" i="8"/>
  <c r="H20" i="8"/>
  <c r="D20" i="8"/>
  <c r="M19" i="8"/>
  <c r="I19" i="8"/>
  <c r="E19" i="8"/>
  <c r="A19" i="8"/>
  <c r="J18" i="8"/>
  <c r="F18" i="8"/>
  <c r="B18" i="8"/>
  <c r="J17" i="8"/>
  <c r="F17" i="8"/>
  <c r="B17" i="8"/>
  <c r="J16" i="8"/>
  <c r="F16" i="8"/>
  <c r="B16" i="8"/>
  <c r="J15" i="8"/>
  <c r="F15" i="8"/>
  <c r="B15" i="8"/>
  <c r="J14" i="8"/>
  <c r="F14" i="8"/>
  <c r="B14" i="8"/>
  <c r="J13" i="8"/>
  <c r="F13" i="8"/>
  <c r="B13" i="8"/>
  <c r="J12" i="8"/>
  <c r="F12" i="8"/>
  <c r="B12" i="8"/>
  <c r="K11" i="8"/>
  <c r="G11" i="8"/>
  <c r="C11" i="8"/>
  <c r="E152" i="8"/>
  <c r="A151" i="8"/>
  <c r="I149" i="8"/>
  <c r="E148" i="8"/>
  <c r="B147" i="8"/>
  <c r="L145" i="8"/>
  <c r="G144" i="8"/>
  <c r="C143" i="8"/>
  <c r="L141" i="8"/>
  <c r="G140" i="8"/>
  <c r="D139" i="8"/>
  <c r="A138" i="8"/>
  <c r="I136" i="8"/>
  <c r="E135" i="8"/>
  <c r="A134" i="8"/>
  <c r="I132" i="8"/>
  <c r="F131" i="8"/>
  <c r="C130" i="8"/>
  <c r="L128" i="8"/>
  <c r="G127" i="8"/>
  <c r="C126" i="8"/>
  <c r="L124" i="8"/>
  <c r="H123" i="8"/>
  <c r="E122" i="8"/>
  <c r="A121" i="8"/>
  <c r="I119" i="8"/>
  <c r="E118" i="8"/>
  <c r="A117" i="8"/>
  <c r="J115" i="8"/>
  <c r="G114" i="8"/>
  <c r="C113" i="8"/>
  <c r="L111" i="8"/>
  <c r="G110" i="8"/>
  <c r="C109" i="8"/>
  <c r="L107" i="8"/>
  <c r="I106" i="8"/>
  <c r="E105" i="8"/>
  <c r="A104" i="8"/>
  <c r="I102" i="8"/>
  <c r="E101" i="8"/>
  <c r="A100" i="8"/>
  <c r="K98" i="8"/>
  <c r="G97" i="8"/>
  <c r="C96" i="8"/>
  <c r="L94" i="8"/>
  <c r="G93" i="8"/>
  <c r="C92" i="8"/>
  <c r="M90" i="8"/>
  <c r="I89" i="8"/>
  <c r="E88" i="8"/>
  <c r="A87" i="8"/>
  <c r="I85" i="8"/>
  <c r="E84" i="8"/>
  <c r="B83" i="8"/>
  <c r="L81" i="8"/>
  <c r="G80" i="8"/>
  <c r="C79" i="8"/>
  <c r="L77" i="8"/>
  <c r="G76" i="8"/>
  <c r="D75" i="8"/>
  <c r="C74" i="8"/>
  <c r="G73" i="8"/>
  <c r="L72" i="8"/>
  <c r="G72" i="8"/>
  <c r="C72" i="8"/>
  <c r="L71" i="8"/>
  <c r="G71" i="8"/>
  <c r="C71" i="8"/>
  <c r="L70" i="8"/>
  <c r="G70" i="8"/>
  <c r="C70" i="8"/>
  <c r="L69" i="8"/>
  <c r="G69" i="8"/>
  <c r="C69" i="8"/>
  <c r="L68" i="8"/>
  <c r="G68" i="8"/>
  <c r="C68" i="8"/>
  <c r="L67" i="8"/>
  <c r="H67" i="8"/>
  <c r="D67" i="8"/>
  <c r="M66" i="8"/>
  <c r="I66" i="8"/>
  <c r="E66" i="8"/>
  <c r="A66" i="8"/>
  <c r="I65" i="8"/>
  <c r="E65" i="8"/>
  <c r="A65" i="8"/>
  <c r="I64" i="8"/>
  <c r="E64" i="8"/>
  <c r="A64" i="8"/>
  <c r="I63" i="8"/>
  <c r="E63" i="8"/>
  <c r="A63" i="8"/>
  <c r="I62" i="8"/>
  <c r="E62" i="8"/>
  <c r="A62" i="8"/>
  <c r="I61" i="8"/>
  <c r="E61" i="8"/>
  <c r="A61" i="8"/>
  <c r="I60" i="8"/>
  <c r="E60" i="8"/>
  <c r="A60" i="8"/>
  <c r="J59" i="8"/>
  <c r="F59" i="8"/>
  <c r="B59" i="8"/>
  <c r="K58" i="8"/>
  <c r="G58" i="8"/>
  <c r="C58" i="8"/>
  <c r="L57" i="8"/>
  <c r="G57" i="8"/>
  <c r="C57" i="8"/>
  <c r="L56" i="8"/>
  <c r="G56" i="8"/>
  <c r="C56" i="8"/>
  <c r="L55" i="8"/>
  <c r="G55" i="8"/>
  <c r="C55" i="8"/>
  <c r="L54" i="8"/>
  <c r="G54" i="8"/>
  <c r="C54" i="8"/>
  <c r="L53" i="8"/>
  <c r="G53" i="8"/>
  <c r="C53" i="8"/>
  <c r="L52" i="8"/>
  <c r="G52" i="8"/>
  <c r="C52" i="8"/>
  <c r="L51" i="8"/>
  <c r="H51" i="8"/>
  <c r="D51" i="8"/>
  <c r="M50" i="8"/>
  <c r="I50" i="8"/>
  <c r="E50" i="8"/>
  <c r="A50" i="8"/>
  <c r="I49" i="8"/>
  <c r="E49" i="8"/>
  <c r="A49" i="8"/>
  <c r="I48" i="8"/>
  <c r="E48" i="8"/>
  <c r="A48" i="8"/>
  <c r="I47" i="8"/>
  <c r="E47" i="8"/>
  <c r="A47" i="8"/>
  <c r="I46" i="8"/>
  <c r="E46" i="8"/>
  <c r="A46" i="8"/>
  <c r="I45" i="8"/>
  <c r="E45" i="8"/>
  <c r="A45" i="8"/>
  <c r="I44" i="8"/>
  <c r="E44" i="8"/>
  <c r="A44" i="8"/>
  <c r="J43" i="8"/>
  <c r="F43" i="8"/>
  <c r="B43" i="8"/>
  <c r="K42" i="8"/>
  <c r="G42" i="8"/>
  <c r="C42" i="8"/>
  <c r="L41" i="8"/>
  <c r="G41" i="8"/>
  <c r="C41" i="8"/>
  <c r="L40" i="8"/>
  <c r="G40" i="8"/>
  <c r="C40" i="8"/>
  <c r="L39" i="8"/>
  <c r="G39" i="8"/>
  <c r="C39" i="8"/>
  <c r="L38" i="8"/>
  <c r="G38" i="8"/>
  <c r="C38" i="8"/>
  <c r="L37" i="8"/>
  <c r="G37" i="8"/>
  <c r="C37" i="8"/>
  <c r="L36" i="8"/>
  <c r="G36" i="8"/>
  <c r="C36" i="8"/>
  <c r="L35" i="8"/>
  <c r="H35" i="8"/>
  <c r="D35" i="8"/>
  <c r="M34" i="8"/>
  <c r="I34" i="8"/>
  <c r="E34" i="8"/>
  <c r="A34" i="8"/>
  <c r="I33" i="8"/>
  <c r="E33" i="8"/>
  <c r="A33" i="8"/>
  <c r="I32" i="8"/>
  <c r="E32" i="8"/>
  <c r="A32" i="8"/>
  <c r="I31" i="8"/>
  <c r="E31" i="8"/>
  <c r="A31" i="8"/>
  <c r="I30" i="8"/>
  <c r="E30" i="8"/>
  <c r="A30" i="8"/>
  <c r="I29" i="8"/>
  <c r="E29" i="8"/>
  <c r="A29" i="8"/>
  <c r="I28" i="8"/>
  <c r="E28" i="8"/>
  <c r="A28" i="8"/>
  <c r="J27" i="8"/>
  <c r="F27" i="8"/>
  <c r="B27" i="8"/>
  <c r="K26" i="8"/>
  <c r="G26" i="8"/>
  <c r="C26" i="8"/>
  <c r="L25" i="8"/>
  <c r="G25" i="8"/>
  <c r="C25" i="8"/>
  <c r="L24" i="8"/>
  <c r="G24" i="8"/>
  <c r="C24" i="8"/>
  <c r="L23" i="8"/>
  <c r="G23" i="8"/>
  <c r="C23" i="8"/>
  <c r="L22" i="8"/>
  <c r="G22" i="8"/>
  <c r="C22" i="8"/>
  <c r="L21" i="8"/>
  <c r="G21" i="8"/>
  <c r="C21" i="8"/>
  <c r="L20" i="8"/>
  <c r="G20" i="8"/>
  <c r="C20" i="8"/>
  <c r="L19" i="8"/>
  <c r="H19" i="8"/>
  <c r="D19" i="8"/>
  <c r="M18" i="8"/>
  <c r="I18" i="8"/>
  <c r="E18" i="8"/>
  <c r="A18" i="8"/>
  <c r="I17" i="8"/>
  <c r="E17" i="8"/>
  <c r="A17" i="8"/>
  <c r="I16" i="8"/>
  <c r="E16" i="8"/>
  <c r="A16" i="8"/>
  <c r="I15" i="8"/>
  <c r="E15" i="8"/>
  <c r="A15" i="8"/>
  <c r="I14" i="8"/>
  <c r="E14" i="8"/>
  <c r="A14" i="8"/>
  <c r="I13" i="8"/>
  <c r="E13" i="8"/>
  <c r="A13" i="8"/>
  <c r="I12" i="8"/>
  <c r="E12" i="8"/>
  <c r="A12" i="8"/>
  <c r="J11" i="8"/>
  <c r="F11" i="8"/>
  <c r="B11" i="8"/>
  <c r="K10" i="8"/>
  <c r="G10" i="8"/>
  <c r="C10" i="8"/>
  <c r="A152" i="8"/>
  <c r="I150" i="8"/>
  <c r="E149" i="8"/>
  <c r="A148" i="8"/>
  <c r="K146" i="8"/>
  <c r="G145" i="8"/>
  <c r="C144" i="8"/>
  <c r="L142" i="8"/>
  <c r="G141" i="8"/>
  <c r="C140" i="8"/>
  <c r="M138" i="8"/>
  <c r="I137" i="8"/>
  <c r="E136" i="8"/>
  <c r="A135" i="8"/>
  <c r="I133" i="8"/>
  <c r="E132" i="8"/>
  <c r="B131" i="8"/>
  <c r="L129" i="8"/>
  <c r="G128" i="8"/>
  <c r="C127" i="8"/>
  <c r="L125" i="8"/>
  <c r="G124" i="8"/>
  <c r="D123" i="8"/>
  <c r="A122" i="8"/>
  <c r="I120" i="8"/>
  <c r="E119" i="8"/>
  <c r="A118" i="8"/>
  <c r="I116" i="8"/>
  <c r="F115" i="8"/>
  <c r="C114" i="8"/>
  <c r="L112" i="8"/>
  <c r="G111" i="8"/>
  <c r="C110" i="8"/>
  <c r="L108" i="8"/>
  <c r="H107" i="8"/>
  <c r="E106" i="8"/>
  <c r="A105" i="8"/>
  <c r="I103" i="8"/>
  <c r="E102" i="8"/>
  <c r="A101" i="8"/>
  <c r="J99" i="8"/>
  <c r="G98" i="8"/>
  <c r="C97" i="8"/>
  <c r="L95" i="8"/>
  <c r="G94" i="8"/>
  <c r="C93" i="8"/>
  <c r="L91" i="8"/>
  <c r="I90" i="8"/>
  <c r="E89" i="8"/>
  <c r="A88" i="8"/>
  <c r="I86" i="8"/>
  <c r="E85" i="8"/>
  <c r="A84" i="8"/>
  <c r="K82" i="8"/>
  <c r="G81" i="8"/>
  <c r="C80" i="8"/>
  <c r="L78" i="8"/>
  <c r="G77" i="8"/>
  <c r="C76" i="8"/>
  <c r="M74" i="8"/>
  <c r="A74" i="8"/>
  <c r="E73" i="8"/>
  <c r="J72" i="8"/>
  <c r="F72" i="8"/>
  <c r="B72" i="8"/>
  <c r="J71" i="8"/>
  <c r="F71" i="8"/>
  <c r="B71" i="8"/>
  <c r="J70" i="8"/>
  <c r="F70" i="8"/>
  <c r="B70" i="8"/>
  <c r="J69" i="8"/>
  <c r="F69" i="8"/>
  <c r="B69" i="8"/>
  <c r="J68" i="8"/>
  <c r="F68" i="8"/>
  <c r="B68" i="8"/>
  <c r="K67" i="8"/>
  <c r="G67" i="8"/>
  <c r="C67" i="8"/>
  <c r="L66" i="8"/>
  <c r="H66" i="8"/>
  <c r="D66" i="8"/>
  <c r="M65" i="8"/>
  <c r="H65" i="8"/>
  <c r="D65" i="8"/>
  <c r="M64" i="8"/>
  <c r="H64" i="8"/>
  <c r="D64" i="8"/>
  <c r="M63" i="8"/>
  <c r="H63" i="8"/>
  <c r="D63" i="8"/>
  <c r="M62" i="8"/>
  <c r="H62" i="8"/>
  <c r="D62" i="8"/>
  <c r="M61" i="8"/>
  <c r="H61" i="8"/>
  <c r="D61" i="8"/>
  <c r="M60" i="8"/>
  <c r="H60" i="8"/>
  <c r="D60" i="8"/>
  <c r="M59" i="8"/>
  <c r="I59" i="8"/>
  <c r="E59" i="8"/>
  <c r="A59" i="8"/>
  <c r="J58" i="8"/>
  <c r="F58" i="8"/>
  <c r="B58" i="8"/>
  <c r="J57" i="8"/>
  <c r="F57" i="8"/>
  <c r="B57" i="8"/>
  <c r="J56" i="8"/>
  <c r="F56" i="8"/>
  <c r="B56" i="8"/>
  <c r="J55" i="8"/>
  <c r="F55" i="8"/>
  <c r="B55" i="8"/>
  <c r="J54" i="8"/>
  <c r="F54" i="8"/>
  <c r="B54" i="8"/>
  <c r="J53" i="8"/>
  <c r="F53" i="8"/>
  <c r="B53" i="8"/>
  <c r="J52" i="8"/>
  <c r="F52" i="8"/>
  <c r="B52" i="8"/>
  <c r="K51" i="8"/>
  <c r="G51" i="8"/>
  <c r="C51" i="8"/>
  <c r="L50" i="8"/>
  <c r="H50" i="8"/>
  <c r="D50" i="8"/>
  <c r="M49" i="8"/>
  <c r="H49" i="8"/>
  <c r="D49" i="8"/>
  <c r="M48" i="8"/>
  <c r="H48" i="8"/>
  <c r="D48" i="8"/>
  <c r="M47" i="8"/>
  <c r="H47" i="8"/>
  <c r="D47" i="8"/>
  <c r="M46" i="8"/>
  <c r="H46" i="8"/>
  <c r="D46" i="8"/>
  <c r="M45" i="8"/>
  <c r="H45" i="8"/>
  <c r="D45" i="8"/>
  <c r="M44" i="8"/>
  <c r="H44" i="8"/>
  <c r="D44" i="8"/>
  <c r="M43" i="8"/>
  <c r="I43" i="8"/>
  <c r="E43" i="8"/>
  <c r="A43" i="8"/>
  <c r="J42" i="8"/>
  <c r="F42" i="8"/>
  <c r="B42" i="8"/>
  <c r="J41" i="8"/>
  <c r="F41" i="8"/>
  <c r="B41" i="8"/>
  <c r="J40" i="8"/>
  <c r="F40" i="8"/>
  <c r="B40" i="8"/>
  <c r="J39" i="8"/>
  <c r="F39" i="8"/>
  <c r="B39" i="8"/>
  <c r="J38" i="8"/>
  <c r="F38" i="8"/>
  <c r="B38" i="8"/>
  <c r="J37" i="8"/>
  <c r="F37" i="8"/>
  <c r="B37" i="8"/>
  <c r="J36" i="8"/>
  <c r="F36" i="8"/>
  <c r="B36" i="8"/>
  <c r="K35" i="8"/>
  <c r="G35" i="8"/>
  <c r="C35" i="8"/>
  <c r="L34" i="8"/>
  <c r="H34" i="8"/>
  <c r="D34" i="8"/>
  <c r="M33" i="8"/>
  <c r="H33" i="8"/>
  <c r="D33" i="8"/>
  <c r="M32" i="8"/>
  <c r="H32" i="8"/>
  <c r="D32" i="8"/>
  <c r="M31" i="8"/>
  <c r="H31" i="8"/>
  <c r="D31" i="8"/>
  <c r="M30" i="8"/>
  <c r="H30" i="8"/>
  <c r="D30" i="8"/>
  <c r="M29" i="8"/>
  <c r="H29" i="8"/>
  <c r="D29" i="8"/>
  <c r="M28" i="8"/>
  <c r="H28" i="8"/>
  <c r="D28" i="8"/>
  <c r="M27" i="8"/>
  <c r="I27" i="8"/>
  <c r="E27" i="8"/>
  <c r="A27" i="8"/>
  <c r="J26" i="8"/>
  <c r="F26" i="8"/>
  <c r="B26" i="8"/>
  <c r="J25" i="8"/>
  <c r="F25" i="8"/>
  <c r="B25" i="8"/>
  <c r="J24" i="8"/>
  <c r="F24" i="8"/>
  <c r="B24" i="8"/>
  <c r="J23" i="8"/>
  <c r="F23" i="8"/>
  <c r="B23" i="8"/>
  <c r="J22" i="8"/>
  <c r="F22" i="8"/>
  <c r="B22" i="8"/>
  <c r="J21" i="8"/>
  <c r="F21" i="8"/>
  <c r="B21" i="8"/>
  <c r="J20" i="8"/>
  <c r="F20" i="8"/>
  <c r="B20" i="8"/>
  <c r="K19" i="8"/>
  <c r="G19" i="8"/>
  <c r="C19" i="8"/>
  <c r="L18" i="8"/>
  <c r="H18" i="8"/>
  <c r="D18" i="8"/>
  <c r="M17" i="8"/>
  <c r="H17" i="8"/>
  <c r="D17" i="8"/>
  <c r="M16" i="8"/>
  <c r="H16" i="8"/>
  <c r="D16" i="8"/>
  <c r="M15" i="8"/>
  <c r="H15" i="8"/>
  <c r="D15" i="8"/>
  <c r="M14" i="8"/>
  <c r="H14" i="8"/>
  <c r="D14" i="8"/>
  <c r="M13" i="8"/>
  <c r="H13" i="8"/>
  <c r="D13" i="8"/>
  <c r="M12" i="8"/>
  <c r="H12" i="8"/>
  <c r="D12" i="8"/>
  <c r="M11" i="8"/>
  <c r="I11" i="8"/>
  <c r="E11" i="8"/>
  <c r="A11" i="8"/>
  <c r="J10" i="8"/>
  <c r="F10" i="8"/>
  <c r="B10" i="8"/>
  <c r="L12" i="8"/>
  <c r="H11" i="8"/>
  <c r="I10" i="8"/>
  <c r="A10" i="8"/>
  <c r="I9" i="8"/>
  <c r="E9" i="8"/>
  <c r="A9" i="8"/>
  <c r="I8" i="8"/>
  <c r="E8" i="8"/>
  <c r="A8" i="8"/>
  <c r="I7" i="8"/>
  <c r="E7" i="8"/>
  <c r="A7" i="8"/>
  <c r="I6" i="8"/>
  <c r="E6" i="8"/>
  <c r="A6" i="8"/>
  <c r="I5" i="8"/>
  <c r="E5" i="8"/>
  <c r="A5" i="8"/>
  <c r="I4" i="8"/>
  <c r="E4" i="8"/>
  <c r="A4" i="8"/>
  <c r="J3" i="8"/>
  <c r="F3" i="8"/>
  <c r="B3" i="8"/>
  <c r="K2" i="8"/>
  <c r="G2" i="8"/>
  <c r="C2" i="8"/>
  <c r="L1" i="8"/>
  <c r="H1" i="8"/>
  <c r="D1" i="8"/>
  <c r="A20" i="5"/>
  <c r="B19" i="5"/>
  <c r="A16" i="5"/>
  <c r="B15" i="5"/>
  <c r="G12" i="8"/>
  <c r="D11" i="8"/>
  <c r="H10" i="8"/>
  <c r="M9" i="8"/>
  <c r="H9" i="8"/>
  <c r="D9" i="8"/>
  <c r="M8" i="8"/>
  <c r="H8" i="8"/>
  <c r="D8" i="8"/>
  <c r="M7" i="8"/>
  <c r="H7" i="8"/>
  <c r="D7" i="8"/>
  <c r="M6" i="8"/>
  <c r="H6" i="8"/>
  <c r="D6" i="8"/>
  <c r="M5" i="8"/>
  <c r="H5" i="8"/>
  <c r="D5" i="8"/>
  <c r="M4" i="8"/>
  <c r="H4" i="8"/>
  <c r="D4" i="8"/>
  <c r="M3" i="8"/>
  <c r="I3" i="8"/>
  <c r="E3" i="8"/>
  <c r="A3" i="8"/>
  <c r="J2" i="8"/>
  <c r="F2" i="8"/>
  <c r="B2" i="8"/>
  <c r="K1" i="8"/>
  <c r="G1" i="8"/>
  <c r="C1" i="8"/>
  <c r="A19" i="5"/>
  <c r="B18" i="5"/>
  <c r="A15" i="5"/>
  <c r="C12" i="8"/>
  <c r="M10" i="8"/>
  <c r="E10" i="8"/>
  <c r="L9" i="8"/>
  <c r="G9" i="8"/>
  <c r="C9" i="8"/>
  <c r="L8" i="8"/>
  <c r="G8" i="8"/>
  <c r="C8" i="8"/>
  <c r="L7" i="8"/>
  <c r="G7" i="8"/>
  <c r="C7" i="8"/>
  <c r="L6" i="8"/>
  <c r="G6" i="8"/>
  <c r="C6" i="8"/>
  <c r="L5" i="8"/>
  <c r="G5" i="8"/>
  <c r="C5" i="8"/>
  <c r="L4" i="8"/>
  <c r="G4" i="8"/>
  <c r="C4" i="8"/>
  <c r="L3" i="8"/>
  <c r="H3" i="8"/>
  <c r="D3" i="8"/>
  <c r="M2" i="8"/>
  <c r="I2" i="8"/>
  <c r="E2" i="8"/>
  <c r="A2" i="8"/>
  <c r="J1" i="8"/>
  <c r="F1" i="8"/>
  <c r="B1" i="8"/>
  <c r="A18" i="5"/>
  <c r="B17" i="5"/>
  <c r="L11" i="8"/>
  <c r="L10" i="8"/>
  <c r="D10" i="8"/>
  <c r="J9" i="8"/>
  <c r="F9" i="8"/>
  <c r="B9" i="8"/>
  <c r="J8" i="8"/>
  <c r="F8" i="8"/>
  <c r="B8" i="8"/>
  <c r="J7" i="8"/>
  <c r="F7" i="8"/>
  <c r="B7" i="8"/>
  <c r="J6" i="8"/>
  <c r="F6" i="8"/>
  <c r="B6" i="8"/>
  <c r="J5" i="8"/>
  <c r="F5" i="8"/>
  <c r="B5" i="8"/>
  <c r="J4" i="8"/>
  <c r="F4" i="8"/>
  <c r="B4" i="8"/>
  <c r="K3" i="8"/>
  <c r="G3" i="8"/>
  <c r="C3" i="8"/>
  <c r="L2" i="8"/>
  <c r="H2" i="8"/>
  <c r="D2" i="8"/>
  <c r="M1" i="8"/>
  <c r="I1" i="8"/>
  <c r="E1" i="8"/>
  <c r="A1" i="8"/>
  <c r="B20" i="5"/>
  <c r="A17" i="5"/>
  <c r="B16" i="5"/>
  <c r="P17" i="5" l="1"/>
  <c r="P18" i="5"/>
  <c r="P15" i="5"/>
  <c r="P19" i="5"/>
  <c r="P16" i="5"/>
  <c r="P20" i="5"/>
  <c r="L20" i="5" l="1"/>
  <c r="H20" i="5"/>
  <c r="K20" i="5"/>
  <c r="G20" i="5"/>
  <c r="N20" i="5"/>
  <c r="J20" i="5"/>
  <c r="F20" i="5"/>
  <c r="M20" i="5"/>
  <c r="I20" i="5"/>
  <c r="L16" i="5"/>
  <c r="H16" i="5"/>
  <c r="K16" i="5"/>
  <c r="G16" i="5"/>
  <c r="N16" i="5"/>
  <c r="J16" i="5"/>
  <c r="F16" i="5"/>
  <c r="M16" i="5"/>
  <c r="I16" i="5"/>
  <c r="N18" i="5"/>
  <c r="J18" i="5"/>
  <c r="F18" i="5"/>
  <c r="M18" i="5"/>
  <c r="I18" i="5"/>
  <c r="L18" i="5"/>
  <c r="H18" i="5"/>
  <c r="K18" i="5"/>
  <c r="G18" i="5"/>
  <c r="M19" i="5"/>
  <c r="I19" i="5"/>
  <c r="L19" i="5"/>
  <c r="H19" i="5"/>
  <c r="K19" i="5"/>
  <c r="G19" i="5"/>
  <c r="N19" i="5"/>
  <c r="J19" i="5"/>
  <c r="F19" i="5"/>
  <c r="M15" i="5"/>
  <c r="I15" i="5"/>
  <c r="L15" i="5"/>
  <c r="H15" i="5"/>
  <c r="K15" i="5"/>
  <c r="G15" i="5"/>
  <c r="N15" i="5"/>
  <c r="J15" i="5"/>
  <c r="F15" i="5"/>
  <c r="K17" i="5"/>
  <c r="G17" i="5"/>
  <c r="N17" i="5"/>
  <c r="J17" i="5"/>
  <c r="F17" i="5"/>
  <c r="M17" i="5"/>
  <c r="I17" i="5"/>
  <c r="L17" i="5"/>
  <c r="H17" i="5"/>
  <c r="O18" i="5" l="1"/>
  <c r="O15" i="5"/>
  <c r="O20" i="5"/>
  <c r="O19" i="5"/>
  <c r="O17" i="5"/>
  <c r="O16" i="5"/>
</calcChain>
</file>

<file path=xl/sharedStrings.xml><?xml version="1.0" encoding="utf-8"?>
<sst xmlns="http://schemas.openxmlformats.org/spreadsheetml/2006/main" count="731" uniqueCount="662">
  <si>
    <t>Formato de Matriz de Indicadores de Resultados</t>
  </si>
  <si>
    <t>Ejercicio Fiscal 2024</t>
  </si>
  <si>
    <t>Programas Presupuestarios</t>
  </si>
  <si>
    <t>MUNICIPIO</t>
  </si>
  <si>
    <t>GUADALAJARA</t>
  </si>
  <si>
    <t>DENOMINACIÓN DEL PROGRAMA</t>
  </si>
  <si>
    <t xml:space="preserve">Guadalajara Bien Educada </t>
  </si>
  <si>
    <t></t>
  </si>
  <si>
    <t>CATEGORÍA PROGRAMÁTICA</t>
  </si>
  <si>
    <t>E. Prestación de Servicios Públicos.</t>
  </si>
  <si>
    <t>UNIDAD RESPONSABLE/OPD</t>
  </si>
  <si>
    <t xml:space="preserve">Sistema para el Desarrollo Integral de la Familia DIF Guadalajara </t>
  </si>
  <si>
    <t>FINALIDAD</t>
  </si>
  <si>
    <t>2. Desarrollo Social</t>
  </si>
  <si>
    <t>FUNCIÓN</t>
  </si>
  <si>
    <t>2.5. Educación</t>
  </si>
  <si>
    <t>SUB-FUNCIÓN</t>
  </si>
  <si>
    <t>2.5.6 Otros Servicios Educativos y Actividades Inherentes</t>
  </si>
  <si>
    <t>PLAN NACIONAL DE DESARROLLO</t>
  </si>
  <si>
    <t>ALINEACIÓN CON LOS EJES DEL PND</t>
  </si>
  <si>
    <t>EJE 2. Bienestar</t>
  </si>
  <si>
    <t>ALINEACIÓN CON OBJETIVOS  DEL PND</t>
  </si>
  <si>
    <t>2.1 Brindar atención prioritaria a grupos históricamente discriminados
mediante acciones que permitan reducir las brechas de
desigualdad sociales y territoriales</t>
  </si>
  <si>
    <t>PLAN ESTATAL DE DESARROLLO</t>
  </si>
  <si>
    <t>ALINEACIÓN CON LOS EJES DEL PED</t>
  </si>
  <si>
    <t>ALINEACIÓN CON OBJETIVOS DE RESULTADO DEL PED</t>
  </si>
  <si>
    <t xml:space="preserve">2.2.OS. Incrementar la calidad y pertinencia educativa hacia la excelencia de la misma, con un enfoque integral en beneficio de las y los estudiantes del estado de Jalisco, para formar una ciudadanía responsable que  enfrente de manera positiva los desafíos personales y colectivos durante su trayecto de vida. </t>
  </si>
  <si>
    <t>PLAN MUNICIPAL DE DESARROLLO</t>
  </si>
  <si>
    <t>ALINEACIÓN CON LOS EJES DEL PMDyG</t>
  </si>
  <si>
    <t>1. Guadalajara Próspera e Incluyente</t>
  </si>
  <si>
    <t>ALINEACIÓN CON OBJETIVOS DEL PMDyG</t>
  </si>
  <si>
    <t>O2. Ejecutar programas sociales estatégicos que impulsen la innovación social responsable e incluyente, para garantizar un crecimiento equitativo, equilibrado y sostenible.</t>
  </si>
  <si>
    <t xml:space="preserve">ESTRATEGIA </t>
  </si>
  <si>
    <t>E2.1 Atención y cuidado infantil, y la prevención a la deserción escolar en la niñez y en juventudes.</t>
  </si>
  <si>
    <t>LÍNEA DE ACCIÓN</t>
  </si>
  <si>
    <t>L2.1.1 Atención a la niñez en estancias infantiles municipales y apoyos para el pago de guarderías privadas.</t>
  </si>
  <si>
    <t>IMPORTE</t>
  </si>
  <si>
    <t>POBLACIÓN BENEFICIARIA POR BIEN Y/O SERVICIO</t>
  </si>
  <si>
    <t>RESUMEN NARRATIVO</t>
  </si>
  <si>
    <t>OBJETIVOS DE RESULTADO</t>
  </si>
  <si>
    <t>NOMBRE DEL INDICADOR</t>
  </si>
  <si>
    <t>DEFINICIÓN</t>
  </si>
  <si>
    <t>DIMENSIÓN</t>
  </si>
  <si>
    <t>TIPO</t>
  </si>
  <si>
    <t>MÉTODO DE CÁLCULO</t>
  </si>
  <si>
    <t>VARIABLE 1 (NUMERADOR)</t>
  </si>
  <si>
    <t>VARIABLE 2 (DENOMINADOR)</t>
  </si>
  <si>
    <t>FRECUENCIA DE MEDICIÓN</t>
  </si>
  <si>
    <t>UNIDAD DE MEDIDA</t>
  </si>
  <si>
    <t>LÍNEA BASE</t>
  </si>
  <si>
    <t>META PROGRAMADA</t>
  </si>
  <si>
    <t>META ALCANZADA</t>
  </si>
  <si>
    <t>FUENTES DE INFORMACIÓN Y MEDIOS DE VERIFICACIÓN</t>
  </si>
  <si>
    <t>SUPUESTOS</t>
  </si>
  <si>
    <t>FIN</t>
  </si>
  <si>
    <t>Contribuir a la formación de las niñas y niños en situación de vulnerabilidad que habitan Guadalajara, para crear oportunidades, reducir los riesgos psicosociales y disminuir el rezago educativo en 2024.</t>
  </si>
  <si>
    <t>Porcentaje de las Niñas y Niños que asistieron a los CDI, CEDI, CAIC o sesiones psicopedagógicas en el CAPI durante el 2024</t>
  </si>
  <si>
    <t>Mide el porcentaje de la población de Niñas, Niños con vulnerabilidad económica y/o barreras de aprendizaje, que asistieron a los servicios de educación inicial, preescolar y a sesiones de atenciones psicopedagógicas, en el CDI, CEDI, CAIC y CAPI en 2024.</t>
  </si>
  <si>
    <t>Eficacia</t>
  </si>
  <si>
    <t>Estratégico</t>
  </si>
  <si>
    <t>(Niñas y niños con vulnerabilidad económica y/o barreras de aprendizaje que asistieron a los CDI, CEDI, CAIC y CAPI en 2024 / Niñas y niños con vulnerabilidad económica y/o barreras de aprendizaje que asistieron a los CDI, CEDI, CAIC y CAPI planteadas como meta en 2024) *100</t>
  </si>
  <si>
    <t>Anual</t>
  </si>
  <si>
    <t>Porcentaje</t>
  </si>
  <si>
    <t>Expedientes</t>
  </si>
  <si>
    <t>Las y los cuidadores de niñas y niños con vulnerabilidad económica y con barreras del aprendizaje se comprometen a que éstos asistan constantemente a los CDI, CAIC y CAPI.</t>
  </si>
  <si>
    <t>PROPÓSITO</t>
  </si>
  <si>
    <t xml:space="preserve">
Las Niñas y Niños con vulnerabilidad económica y/o barreras de aprendizaje tienen acceso a la educación inicial y preescolar, así como a atenciones terapéuticas, en 2024.</t>
  </si>
  <si>
    <t>Porcentaje de Niñas y Niños con acceso a educación inicial y preescolar, así como atenciones psicopedagógicas en los CDI, CEDI, CAIC y CAPI, durante el 2024</t>
  </si>
  <si>
    <t>Mide el porcentaje de los resultados alcanzados de los CDI, CEDI, CAIC y CAPI en 2024</t>
  </si>
  <si>
    <t>(Servicios brindados a Niñas y Niños que asistieron a CDI, CEDI, CAIC y CAPI en 2024 / Servicios de Niñas y Niños que asistieron a los CDI, CEDI, CAIC y CAPI, programados para el 2024) *100</t>
  </si>
  <si>
    <t>Expedientes y listas de asistencia</t>
  </si>
  <si>
    <t>Los cuidadores de niñas y niños con vulnerabilidad económica o con barreras de aprendizaje conocen los servicios ofertados en los diversos centros y cuentan con los medios necesarios para inscribirlos y llevarlos.</t>
  </si>
  <si>
    <t>03. Niños</t>
  </si>
  <si>
    <t>COMPONENTE 1</t>
  </si>
  <si>
    <t>Servicios brindados de educación inicial y preescolar para niñas y niños en condición de vulnerabilidad económica brindados en CDI y CAIC, en el 2024.</t>
  </si>
  <si>
    <t>Porcentaje de demanda cubierta sobre servicios de atención educativa y asistencial para niñas y niños en condición de vulnerabilidad económica en 2024</t>
  </si>
  <si>
    <t>Mide el porcentaje de demanda cubierta sobre servicios de atención educativa y asistencial para niñas y niños en condición de vulnerabilidad económica con respecto a la meta programada para el año 2024</t>
  </si>
  <si>
    <t>Gestión</t>
  </si>
  <si>
    <t>(Número de solicitudes atendidas para acceder a servicios educativos y asistenciales de niñas y niños con vulnerabilidad económica durante el 2024/ Número total de solicitudes para acceder a servicios educativos y asistenciales de niñas y niños con vulnerabilidad económica, para el 2024)*100</t>
  </si>
  <si>
    <t>Mensual</t>
  </si>
  <si>
    <t>Cuidadores de niñas y niños menores de 6 años en condición de vulnerabilidad económica, cuentan con los medios necesarios para que éstos puedan asistir a un CDI, CEDI o CAIC.</t>
  </si>
  <si>
    <t>ACTIVIDAD 1.1</t>
  </si>
  <si>
    <t>Procesos de formación brindados en CDI, CEDI y CAIC de educación inicial y preescolar, en el 2024.</t>
  </si>
  <si>
    <t>Porcentaje de Niñas y Niños que reciben educación inicial y preescolar en CDI, CEDI y CAIC en 2024</t>
  </si>
  <si>
    <t>(Número de niñas y niños menores de 6 años que cursan su educación inicial y preescolar durante el 2024/ Número total de niñas y niños planteados como meta para el 2024)*100</t>
  </si>
  <si>
    <t>Expedientes de usuarias y usuarios</t>
  </si>
  <si>
    <t>Cuidadores de niñas y niños menores de 6 años, pueden y acceden a llevarlos al CDI, CEDI o al CAIC.</t>
  </si>
  <si>
    <t>ACTIVIDAD 1.2</t>
  </si>
  <si>
    <t>Actividades educativas realizadas en educación inicial y preescolar en CDI, CEDI y CAIC, en el 2024.</t>
  </si>
  <si>
    <t>Porcentaje de actividades educativas realizadas en CDI, CEDI y CAIC en 2024</t>
  </si>
  <si>
    <t>Mide el porcentaje de actividades educativas realizadas en los CDI, CEDI y CAIC con respecto a la meta para el 2024</t>
  </si>
  <si>
    <t>(Número de actividades educativas realizadas en CDI, CEDI y CAIC durante el 2024/ Número de actividades educativas planeadas en CDI, CEDI y CAIC para el 2024)*100</t>
  </si>
  <si>
    <t>Registros de CDI, CEDI y CAIC</t>
  </si>
  <si>
    <t>Niñas y niños, menores de 6 años, y en condición de vulnerabilidad, asisten a actividades educativas en algún CDI, CEDI o CAIC.</t>
  </si>
  <si>
    <t>08. Discapacitados</t>
  </si>
  <si>
    <t>COMPONENTE 2</t>
  </si>
  <si>
    <t>Atenciones terapéuticas brindadas a niñas y niños con barreras de aprendizaje en el Centro de Atención Psicopedagógica Infantil durante el 2024</t>
  </si>
  <si>
    <t>Promedio de personas atendidas con atención terapéutica - educativa en el Centro de Atención Psicopedagógica Infantil durante el 2024</t>
  </si>
  <si>
    <t>Mide el promedio mensual de personas con atención terapéutica-educativa en el Centro de Atención Psicopedagógica Infantil por trimestre</t>
  </si>
  <si>
    <t>(Número total de personas que reciben atención terapeútica en el 2024/ 4)</t>
  </si>
  <si>
    <t>Trimestral</t>
  </si>
  <si>
    <t>Promedio</t>
  </si>
  <si>
    <t>Listas de asistencia a servicios otorgados</t>
  </si>
  <si>
    <t>Los cuidadores reconocen la condición de las niñas y niños  con barreras de aprendizaje y comprenden la necesidad de atención terapéutica.</t>
  </si>
  <si>
    <t>ACTIVIDAD  2.1</t>
  </si>
  <si>
    <t>Actividades de diagnóstico y valoración psicológica ejecutadas para niñas y niños que requieran atención en el CAPI durante el 2024</t>
  </si>
  <si>
    <t>Porcentaje de diagnósticos y valoraciones realizados a niñas y niños que requieran atención en el CAPI en 2024</t>
  </si>
  <si>
    <t>Mide el porcentaje de diagnósticos y valoraciones realizados a niñas y niños que lo requirieron en el CAPI con respecto a la meta planteada para el 2024</t>
  </si>
  <si>
    <t>(Número de diagnósticos y valoraciones realizados a niñas y niños que requieren la atención del CAPI en el 2024/ Número de diagnósticos y valoraciones establecidas como meta en CAPI para el 2024)*100</t>
  </si>
  <si>
    <t>Expedientes de diagnósticos realizados</t>
  </si>
  <si>
    <t>Cuidadores de niñas y niños reconocen la necesidad que éstos tienen de contar con un diagnóstico psicológico.</t>
  </si>
  <si>
    <t>ACTIVIDAD 2.2</t>
  </si>
  <si>
    <t>Terapias impartidas para el desarrollo psicosocial de las niñas y los niños durante el 2024</t>
  </si>
  <si>
    <t>Porcentaje de cumplimiento en la ejecución de terapias de lenguaje, conducta y aprendizaje en el CAPI en 2024</t>
  </si>
  <si>
    <t>Mide el porcentaje de cumplimiento de terapias de lenguaje, conducta y aprendizaje en el CAPI con respecto a las programadas para el 2024.</t>
  </si>
  <si>
    <t>(Número de terapias de lenguaje, conducta y aprendizaje ejecutadas, en el 2024/ terapias de lenguaje, conducta y aprendizaje programadas para el 2024)*100</t>
  </si>
  <si>
    <t>Bitácora de servicio</t>
  </si>
  <si>
    <t>Cuidadores de niñas y niños menores de 6 años, cuentan con un diagnóstico y pueden llevar a éstos al CDI.</t>
  </si>
  <si>
    <t>1. Corriente</t>
  </si>
  <si>
    <t>91. Ciudadanos</t>
  </si>
  <si>
    <t>Porcentaje de Niñas y Niños que reciben en educación inicial y preescolar en CDI, CEDI y CAIC en 2024</t>
  </si>
  <si>
    <t>Mide el porcentaje de Niñas, Niños que se reciben en educación inicial y preescolar en los CDI, CEDI y CAIC durante el 2024</t>
  </si>
  <si>
    <t>SISTEMA DIF GUADALAJARA</t>
  </si>
  <si>
    <t>EJE: GUADALAJARA BIEN EDUCADA</t>
  </si>
  <si>
    <t>ESTADÍSTICAS GENERADAS</t>
  </si>
  <si>
    <t>Identificador</t>
  </si>
  <si>
    <t>Programa</t>
  </si>
  <si>
    <t>NIÑAS</t>
  </si>
  <si>
    <t>NIÑOS</t>
  </si>
  <si>
    <t>ADOLESCENTES MUJERES</t>
  </si>
  <si>
    <t>ADOLESCENTES HOMBRES</t>
  </si>
  <si>
    <t>MUJERES ADULTAS</t>
  </si>
  <si>
    <t>HOMBRES ADULTOS</t>
  </si>
  <si>
    <t>ADULTAS MAYORES MUJERES</t>
  </si>
  <si>
    <t>ADULTOS MAYORES HOMBRES</t>
  </si>
  <si>
    <t>SERVICIOS</t>
  </si>
  <si>
    <t>TOTAL</t>
  </si>
  <si>
    <t>Medida</t>
  </si>
  <si>
    <t xml:space="preserve">
Las Niñas y Niños con vulnerabilidad económica y/o barreras de aprendizaje tienen acceso a la educación inicial y preescolar, así como a atenciones terapéuticas, en 2023.</t>
  </si>
  <si>
    <t>Porcentaje de Niñas y Niños con acceso a educación inicial y preescolar, así como atenciones psicopedagógicas en los CDI, CEDI, CAIC y CAPI, durante el 2023</t>
  </si>
  <si>
    <t>Contribuir a la formación de las niñas y niños en situación de vulnerabilidad que habitan Guadalajara, para crear oportunidades, reducir los riesgos psicosociales y disminuir el rezago educativo en 2023.</t>
  </si>
  <si>
    <t>Porcentaje de las Niñas y Niños que asistieron a los CDI, CEDI, CAIC o sesiones psicopedagógicas en el CAPI durante el 2023</t>
  </si>
  <si>
    <t>ANUAL</t>
  </si>
  <si>
    <t>ANEXO 1  DE  MEMORÁNDUM PEM-039/2024</t>
  </si>
  <si>
    <t xml:space="preserve">Categoría Prográmatica. </t>
  </si>
  <si>
    <t xml:space="preserve">Denominación del Programa. </t>
  </si>
  <si>
    <t>Coordinación Responsable</t>
  </si>
  <si>
    <t>finalidad</t>
  </si>
  <si>
    <t>Función</t>
  </si>
  <si>
    <t>Sub-Función</t>
  </si>
  <si>
    <t>Ejes PND</t>
  </si>
  <si>
    <t>Objetivos Estratégicos del PND</t>
  </si>
  <si>
    <t xml:space="preserve">Eje PED </t>
  </si>
  <si>
    <t>Objetivos Estratégicos</t>
  </si>
  <si>
    <t>EJE PMDYG</t>
  </si>
  <si>
    <t>Objetivos PMDYG</t>
  </si>
  <si>
    <t>Estrategias PMDyG</t>
  </si>
  <si>
    <t xml:space="preserve">Tipo de Gasto </t>
  </si>
  <si>
    <t>Fuente de Financiamiento</t>
  </si>
  <si>
    <t>Género</t>
  </si>
  <si>
    <t>Población Objetivo</t>
  </si>
  <si>
    <t>S. Sujetos a Reglas de Operación.</t>
  </si>
  <si>
    <t>1. Inclusión, Discapacidad, Adultos Mayores y Grupos Vulnerables</t>
  </si>
  <si>
    <t>Coordinación General de Combate a la Desigualdad</t>
  </si>
  <si>
    <t>1. Gobierno</t>
  </si>
  <si>
    <t>1.1. Legislación</t>
  </si>
  <si>
    <t>1.1.1 Legislación</t>
  </si>
  <si>
    <t>EJE 1. Justicia y Estado de Derecho</t>
  </si>
  <si>
    <t>1.1 Fortalecer la gobernabilidad democrática</t>
  </si>
  <si>
    <t>Eje 1. Seguridad ciudadana, justicia y estado de derecho</t>
  </si>
  <si>
    <t>O1. Incrementar la sostenibilidad del medio ambiente y reducir la vulnerabilidad ante el cambio climático</t>
  </si>
  <si>
    <t>1. Guadalajara próspera e incluyente</t>
  </si>
  <si>
    <t>O1. Impulsar el desarrollo de oportunidades a todas las personas para acceder a un empleo digno o emprender un negocio, sin distinción de raza, sexo, edad, condición económica, sistema de creencias, origen o discapacidad</t>
  </si>
  <si>
    <t>E1.1 Desarrollo económico, social y cultural en el Centro Histórico</t>
  </si>
  <si>
    <t>Recursos Fiscales</t>
  </si>
  <si>
    <t>Femenino</t>
  </si>
  <si>
    <t>01. Indígenas</t>
  </si>
  <si>
    <t>U. Otros Subsidios.</t>
  </si>
  <si>
    <t>2. Junvetudes y Apoyo a la Niñez</t>
  </si>
  <si>
    <t>1.2. Justicia</t>
  </si>
  <si>
    <t>1.1.2 Fiscalización</t>
  </si>
  <si>
    <t>1.2 Fortalecer la cultura democrática, abrir el gobierno a la participación
social y escuchar de manera permanente a la sociedad, dando especial
atención a las mujeres y los grupos históricamente discriminados y
marginados</t>
  </si>
  <si>
    <t>Eje 2. Desarrollo Social</t>
  </si>
  <si>
    <t>O2. Impulsar el desarrollo sostenible de las regiones del estado</t>
  </si>
  <si>
    <t>2. Guadalajara construyendo comunidad</t>
  </si>
  <si>
    <t>O2. Ejecutar programas sociales estratégicos que impulsen la innovación social responsable e incluyente, para garantizar un crecimiento equitativo, equilibrado y sostenible</t>
  </si>
  <si>
    <t>E1.2 Atracción de talento e inversión al Municipio</t>
  </si>
  <si>
    <t>2. Capital</t>
  </si>
  <si>
    <t>Financiamientos Internos</t>
  </si>
  <si>
    <t>Masculino</t>
  </si>
  <si>
    <t>02. Tercera edad</t>
  </si>
  <si>
    <t>3. Recursos Federales</t>
  </si>
  <si>
    <t>3. Desarrollo Económico</t>
  </si>
  <si>
    <t>1.3. Coordinación de la política de gobierno</t>
  </si>
  <si>
    <t>1.2.1 Impartición de Justicia</t>
  </si>
  <si>
    <t>EJE 3. Desarrollo Económico</t>
  </si>
  <si>
    <t xml:space="preserve">1.3 Promover, respetar, proteger y garantizar los derechos humanos,
individuales y colectivos
</t>
  </si>
  <si>
    <t>Eje 3. Desarrollo y crecimiento económico</t>
  </si>
  <si>
    <t>O3. Promover un desarrollo urbano sostenible, equitativo y ordenado</t>
  </si>
  <si>
    <t>3. Guadalajara segura, justa y en paz</t>
  </si>
  <si>
    <t>O3. Mejorar los niveles de educación y desarrollo de conocimientos de las y los tapatíos</t>
  </si>
  <si>
    <t>E1.3 Promover la competitividad del Municipio</t>
  </si>
  <si>
    <t>3. Amortización de la Deuda y Disminución de Pasivos</t>
  </si>
  <si>
    <t>Financiamientos Externos</t>
  </si>
  <si>
    <t>Indistinto</t>
  </si>
  <si>
    <t>B. Provisión de Bienes Públicos.</t>
  </si>
  <si>
    <t>4. Seguridad Ciudadana</t>
  </si>
  <si>
    <t>Comisaría de la Policía de Guadalajara</t>
  </si>
  <si>
    <t>4. Otras No Clasificadas en Funciones Atenriores</t>
  </si>
  <si>
    <t>1.4. Relaciones exteriores</t>
  </si>
  <si>
    <t>1.2.2 Procuración de Justicia</t>
  </si>
  <si>
    <t>1.4 Construir la paz y la seguridad con respeto a los derechos humanos</t>
  </si>
  <si>
    <t>Eje 4. Desarrollo sostenible del territorio</t>
  </si>
  <si>
    <t>O4. Garantizar el suministro sostenible y la calidad del agua para la población y las actividades productivas</t>
  </si>
  <si>
    <t>4. Guadalajara funcional y con servicios de calidad</t>
  </si>
  <si>
    <t>O4. Otorgar servicios de atención prehospitalaria y de urgencias médico quirúrgicas con alta eficiencia, calidad y seguridad a los pacientes, dentro de un esquema de asociación intermunicipal, así como promover las condiciones para la prevención, protección y promoción de la salud</t>
  </si>
  <si>
    <t>E1.4 Gestión de programas estatales y federales</t>
  </si>
  <si>
    <t>4. Pensiones y Jubilaciones</t>
  </si>
  <si>
    <t>Ingresos Propios</t>
  </si>
  <si>
    <t>04. Recien nacidos</t>
  </si>
  <si>
    <t>P. Planeación, seguimiento y evaluación de políticas públicas.</t>
  </si>
  <si>
    <t>5. Justicia Cívica</t>
  </si>
  <si>
    <t>Consejería Juridica</t>
  </si>
  <si>
    <t>1.5. Asuntos financieros y hacendarios</t>
  </si>
  <si>
    <t>1.2.3 Reclusión y Readaptación Social</t>
  </si>
  <si>
    <t>1.5 Preservar la seguridad nacional</t>
  </si>
  <si>
    <t>Eje 5. Gobierno efectivo e integridad pública</t>
  </si>
  <si>
    <t>O5. Mejorar la calidad, seguridad y sostenibilidad de la movilidad urbana</t>
  </si>
  <si>
    <t>5. Guadalajara ordenada y sustentable</t>
  </si>
  <si>
    <t>O5. Incrementar la práctica del deporte y la actividad física como parte de la vida cotidiana de la sociedad tapatía</t>
  </si>
  <si>
    <t>E2.1 Prevenir la deserción escolar en la niñez y adolescencia</t>
  </si>
  <si>
    <t xml:space="preserve">Recursos Federales </t>
  </si>
  <si>
    <t>05.jefas de familia</t>
  </si>
  <si>
    <t>F. Promoción y fomento.</t>
  </si>
  <si>
    <t>6. Comunicación Institucional</t>
  </si>
  <si>
    <t>Coordinación de análisis estratégico y comunicación institucional</t>
  </si>
  <si>
    <t>1.6. Seguridad nacional</t>
  </si>
  <si>
    <t>1.2.4 Derechos Humanos</t>
  </si>
  <si>
    <t xml:space="preserve">1.6 Conducir la política exterior en apego a los principios constitucionales y
articulada con las prioridades de política interior </t>
  </si>
  <si>
    <t>Eje TT. Temáticas transversales</t>
  </si>
  <si>
    <t>O6. Disminuir los factores de riesgo y mejorar la atención ante desastres</t>
  </si>
  <si>
    <t>6. Guadalajara honesta y bien administrada.</t>
  </si>
  <si>
    <t>O6. Garantizar el derecho a la cultura y fortalecer el desarrollo cultural comunitario</t>
  </si>
  <si>
    <t>E2.2 Fomentar el empoderamiento de la juventud y su intención emprendedora</t>
  </si>
  <si>
    <t>Recursos Estatales</t>
  </si>
  <si>
    <t>06. Jóvenes</t>
  </si>
  <si>
    <t>G. Regulación y supervisión.</t>
  </si>
  <si>
    <t>7. Imagen Urbana</t>
  </si>
  <si>
    <t>Coordinación de Servicios Municipales</t>
  </si>
  <si>
    <t>1.7. Asuntos de orden público y de seguridad interior</t>
  </si>
  <si>
    <t>1.3.1 Presidencia / Gubernatura</t>
  </si>
  <si>
    <t>1.7 Implementar una política migratoria integral apegada a los derechos
humanos, reconociendo la contribución de las personas migrantes al
desarrollo de los países</t>
  </si>
  <si>
    <t>Eje TE. Temáticas especiales</t>
  </si>
  <si>
    <t>O7. Incrementar la formalidad del empleo, la seguridad social y estabilidad laboral</t>
  </si>
  <si>
    <t>O7. Impulsar el bienestar animal en nuestra ciudad</t>
  </si>
  <si>
    <t>E2.3 Inclusión de personas con Discapacidad y Personas Adultas Mayore</t>
  </si>
  <si>
    <t>Otros Recursos de Libre Disposición</t>
  </si>
  <si>
    <t>07. Adultos</t>
  </si>
  <si>
    <t>A. Funciones de las Fuerzas Armadas (Únicamente Gobierno Federal).</t>
  </si>
  <si>
    <t>8. Servicios Públicos Funcionales</t>
  </si>
  <si>
    <t>1.8. Otros servicios generales</t>
  </si>
  <si>
    <t>1.3.2 Política Interior</t>
  </si>
  <si>
    <t>1.8 Mejorar la capacidad de prevenir y combatir de manera efectiva la
corrupción y la impunidad</t>
  </si>
  <si>
    <t>O8. Mejorar la competitividad y el crecimiento inclusivo y sostenible de los sectores económicos</t>
  </si>
  <si>
    <t>O8. Promover la prevención y el combate a las adicciones</t>
  </si>
  <si>
    <t>E2.4 Fomentar el empoderamiento de las mujeres y su intención emprendedora</t>
  </si>
  <si>
    <t>Otros Recursos de Transferencias Federales Etiquetadas</t>
  </si>
  <si>
    <t>R. Específicos.</t>
  </si>
  <si>
    <t>9. Fomento a la inversión, turismo y relaciones internacionales</t>
  </si>
  <si>
    <t xml:space="preserve">Coordinación General de Desarrollo Económico </t>
  </si>
  <si>
    <t>2.1. Protección ambiental</t>
  </si>
  <si>
    <t>1.3.3 Preservación y Cuidado del Patrimonio Público</t>
  </si>
  <si>
    <t>1.9 Construir un país más resiliente, sostenible y seguro</t>
  </si>
  <si>
    <t>O9. Incrementar de forma sostenible la productividad y rentabilidad de las actividades del sector primario</t>
  </si>
  <si>
    <t>O9. Proteger la vida y patrimonio de todas las personas que cohabitan en Guadalajara, garantizando el ejercicio de sus derechos, con perspectiva de igualdad de género, en un ambiente favorable para su desarrollo integral</t>
  </si>
  <si>
    <t>E2.5 Cohesión del tejido social</t>
  </si>
  <si>
    <t>09. Mercado</t>
  </si>
  <si>
    <t>K. Proyectos de Inversión.</t>
  </si>
  <si>
    <t>10. Emprendimiento</t>
  </si>
  <si>
    <t>2.2. Vivienda y servicios a la comunidad</t>
  </si>
  <si>
    <t>1.3.4 Función Pública</t>
  </si>
  <si>
    <t>O10. Incrementar la afuencia y la derrama económica proveniente del turismo</t>
  </si>
  <si>
    <t>O10. Salvaguardar la integridad de las personas, bienes y entorno comunitario ante situaciones de emergencia, riesgo y peligro derivado de fenómenos naturales y socio-organizativos, fortaleciendo en la ciudadanía la cultura de gestión integral de riesgos, prevención y mitigación</t>
  </si>
  <si>
    <t>E2.6 Generar condiciones para la impartición de asistencia social que propicie la restitución de derechos a las personas vulnerables</t>
  </si>
  <si>
    <t>10. Adultos mayores</t>
  </si>
  <si>
    <t>M. Apoyo al proceso presupuestario y para mejorar la eficiencia institucional.</t>
  </si>
  <si>
    <t>11. Regulación y derrama económica local</t>
  </si>
  <si>
    <t>2.3. Salud</t>
  </si>
  <si>
    <t>1.3.5 Asuntos Jurídicos</t>
  </si>
  <si>
    <t>2.2 Garantizar el derecho a la educación laica, gratuita, incluyente,
pertinente y de calidad en todos los tipos, niveles y modalidades
del Sistema Educativo Nacional y para todas las personas</t>
  </si>
  <si>
    <t>O11. Mejorar la conectividad de Jalisco, sus regiones y municipios</t>
  </si>
  <si>
    <t>O11. Garantizar la justicia y paz social en el territorio aplicando los reglamentos de gobierno y fomentando la mediación, el diálogo y la prevención en favor de los derechos humanos, la inclusión y la perspectiva de género</t>
  </si>
  <si>
    <t>E3.1.Fortalecer la capacitación a docentes de nivel básico</t>
  </si>
  <si>
    <t>11. Turista</t>
  </si>
  <si>
    <t>O. Apoyo a la función pública y al mejoramiento de la gestión.</t>
  </si>
  <si>
    <t xml:space="preserve">12. Desarrollo de la Gestión Pública Eficiente para la Atención a las y los Ciudadanos </t>
  </si>
  <si>
    <t xml:space="preserve">Jefatura de Gabinete </t>
  </si>
  <si>
    <t>2.4. Recreación, cultura y otras manifestaciones sociales</t>
  </si>
  <si>
    <t>1.3.6 Organización de Procesos Electorales</t>
  </si>
  <si>
    <t>2.3 Promover y garantizar el derecho a la alimentación nutritiva,
suficiente y de calida</t>
  </si>
  <si>
    <t>O12. Reducir la pobreza y la desigualdad</t>
  </si>
  <si>
    <t>O12. Mejorar la cobertura y eficiencia en la prestación de los servicios públicos a cargo del municipio, conforme a las competencias que marca la legislación, mejorando la calificación y satisfacción de la ciudadanía</t>
  </si>
  <si>
    <t>E3.2.Apoyar el mantenimiento, conservación e incorporación de elementos de accesibilidad universal de escuelas de niveles básicos y municipales</t>
  </si>
  <si>
    <t>12. Sector público</t>
  </si>
  <si>
    <t>W. Operaciones ajenas.</t>
  </si>
  <si>
    <t>13. Desarrollo de la Gestión Pública para la Operación Eficente y Eficaz del Ayuntamiento de Guadalajara</t>
  </si>
  <si>
    <t>1.3.7 Población</t>
  </si>
  <si>
    <t>2.4 Promover y garantizar el acceso efectivo, universal y gratuito de
la población a los servicios de salud, la asistencia social y los
medicamentos, bajo los principios de participación social,
competencia técnica, calidad médica, pertinencia cultural y trato
no discriminatorio</t>
  </si>
  <si>
    <t>O13. Proteger los derechos y ampliar las oportunidades de desarrollo de los grupos prioritarios</t>
  </si>
  <si>
    <t>O13. Impulsar el repoblamiento ordenado del municipio, particularmente en zonas de alta centralidad y corredores de transporte público</t>
  </si>
  <si>
    <t>E3.3.Impulsar la educación y formación para aprendizaje de oficios y desarrollo personal con perspectiva de derechos humanos, de igualdad de género, y participación ciudadana</t>
  </si>
  <si>
    <t>13. Sector público estatal</t>
  </si>
  <si>
    <t>L. Obligaciones de cumplimiento de resolución jurisdiccional.</t>
  </si>
  <si>
    <t>14. Mejora de la Gestión Gubernamental e Imagen del Centro Histórico.</t>
  </si>
  <si>
    <t xml:space="preserve">Presidencia </t>
  </si>
  <si>
    <t>2.6. Protección social</t>
  </si>
  <si>
    <t>1.3.8 Territorio</t>
  </si>
  <si>
    <t>2.5 Garantizar el derecho a un medio ambiente sano con enfoque de
sostenibilidad de los ecosistemas, la biodiversidad, el patrimonio y
los paisajes bioculturales</t>
  </si>
  <si>
    <t>O14. Mejorar la salud de la población</t>
  </si>
  <si>
    <t>O14. Fortalecer los instrumentos, programas y acciones de la movilidad, la gestión del transporte, el espacio público y la cultura vial</t>
  </si>
  <si>
    <t>E3.4. Disminuir el analfabetismo en el municipio de Guadalajara de manera accesible e incluyente</t>
  </si>
  <si>
    <t>14. Sector público federal</t>
  </si>
  <si>
    <t>N. Desastres Naturales.</t>
  </si>
  <si>
    <t>15. Protección Civil</t>
  </si>
  <si>
    <t>Protección Civil</t>
  </si>
  <si>
    <t>2.7. Otros asuntos sociales</t>
  </si>
  <si>
    <t>1.3.9 Otros</t>
  </si>
  <si>
    <t>2.6 Promover y garantizar elacceso incluyente al agua
potable en calidad y cantidad y al saneamiento, priorizando a los
grupos históricamente discriminados, procurando la salud de los
ecosistemas y cuencas</t>
  </si>
  <si>
    <t>O15. Aumentar el acceso de la población a una vivienda digna</t>
  </si>
  <si>
    <t>O15. Fortalecer la planeación y gestión de acciones, campañas y estrategias que promuevan la cultura del cuidado del medio ambiente, así como la corresponsabilidad de la ciudadanía con el medio que lo rodea</t>
  </si>
  <si>
    <t>E3.5. Fortalecer la cobertura, para disminuir el rezago educativo</t>
  </si>
  <si>
    <t>15. Sector público municipal</t>
  </si>
  <si>
    <t>J. Pensiones y jubilaciones.</t>
  </si>
  <si>
    <t>16. Participación y Colaboración Ciudadana</t>
  </si>
  <si>
    <t>Secretaría General</t>
  </si>
  <si>
    <t>3.1. Asuntos económicos, comerciales y laborales en general</t>
  </si>
  <si>
    <t>1.4.1 Relaciones Exteriores</t>
  </si>
  <si>
    <t>2.7 Promover y apoyar el acceso a una vivienda adecuada y accesible,
en un entorno ordenado y sostenible</t>
  </si>
  <si>
    <t>O16. Incrementar el acceso, la equidad y la calidad de la educación</t>
  </si>
  <si>
    <t>O16. Gestionar con eficacia y transparencia los recursos financieros del municipio, fortaleciendo la hacienda pública, incrementando el patrimonio y mejorando la calidad del gasto</t>
  </si>
  <si>
    <t>E3.6. Fortalecer la educación cívica y en valores</t>
  </si>
  <si>
    <t>16. Opd´s</t>
  </si>
  <si>
    <t>T. Aportaciones a la seguridad social.</t>
  </si>
  <si>
    <t>17. Servicios Registrales</t>
  </si>
  <si>
    <t>3.2. Agropecuaria, silvicultura, pesca y caza</t>
  </si>
  <si>
    <t>1.5.1 Asuntos Financieros</t>
  </si>
  <si>
    <t xml:space="preserve">2.8 Fortalecer la rectoría y vinculación del ordenamiento territorial y
ecológico de los asentamientos humanos y de la tenencia de la
tierra, mediante el uso racional y equilibrado del territorio,
promoviendo la accesibilidad y la movilidad eficiente </t>
  </si>
  <si>
    <t>O17. Incrementar el desarrollo tecnológico, la investigación científca y la innovación</t>
  </si>
  <si>
    <t>O17. Impulsar el desarrollo de la administración pública municipal mediante metodologías y modelos de gestión para la innovación y mejora de sistemas</t>
  </si>
  <si>
    <t>E4.1 Fortalecer de forma sostenida los procesos de atención, así como las condiciones de infraestructura, equipamiento médico, ambulancias, redes e infraestructura de cómputo de los sistemas de información gerencial</t>
  </si>
  <si>
    <t>17. Opd´s servicios de salud</t>
  </si>
  <si>
    <t>Y. Aportaciones a fondos de estabilización.</t>
  </si>
  <si>
    <t>18. Transparencia y Buenas Prácticas</t>
  </si>
  <si>
    <t>Transparencia y Buenas Prácticas</t>
  </si>
  <si>
    <t>3.3. Combustibles y energía</t>
  </si>
  <si>
    <t>1.5.2 Asuntos Hacendarios</t>
  </si>
  <si>
    <t>2.9 Promover y garantizar el derecho humano de acceso a la cultura
de la población, atendiendo a la diversidad cultural en todas sus
manifestaciones y expresiones con pleno respeto a la libertad
creativa, lingüística, de elección o pertenencia de una identidad
cultural de creencias y de participación</t>
  </si>
  <si>
    <t>O18. Garantizar el acceso de toda la población a la cultura y las diferentes expresiones artísticas</t>
  </si>
  <si>
    <t>O18. Impulsar la cultura de la transparencia como un motor transversal de la gestión municipal, basado en los principios de un Gobierno Abierto</t>
  </si>
  <si>
    <t>E4.2 Desarrollar políticas públicas y mecanismos intra y extra municipales que impulsen de manera gradual acciones de prevención de enfermedades, protección y promoción de la salud</t>
  </si>
  <si>
    <t>18. Opd´s comude</t>
  </si>
  <si>
    <t>Z. Aportaciones a fondos de inversión y reestructura de pensiones.</t>
  </si>
  <si>
    <t>19. Sindicatura</t>
  </si>
  <si>
    <t>Sindicatura</t>
  </si>
  <si>
    <t>3.4. Minería, manufacturas y construcción</t>
  </si>
  <si>
    <t>1.6.1 Defensa</t>
  </si>
  <si>
    <t>2.10 Garantizar la cultura física y la práctica del deporte como medios
para el desarrollo integral de las personas y la integración de las
comunidades</t>
  </si>
  <si>
    <t>O19. Aumentar la práctica del deporte y actividades físicas de la población</t>
  </si>
  <si>
    <t>O19. Combatir la corrupción en la administración pública municipal, mediante acciones coordinadas</t>
  </si>
  <si>
    <t>E5.1. Garantizar el libre acceso y el uso de instalaciones deportivas públicas de calidad</t>
  </si>
  <si>
    <t>19. Opd´s dif</t>
  </si>
  <si>
    <t>I. Gasto Federalizado.</t>
  </si>
  <si>
    <t>20. Desarrollo Administrativo</t>
  </si>
  <si>
    <t>Coordinación General de Administración e Innovación Gubernamental</t>
  </si>
  <si>
    <t>3.5. Transporte</t>
  </si>
  <si>
    <t>1.6.2 Marina</t>
  </si>
  <si>
    <t>2.11 Promover y garantizar el acceso a un trabajo digno, con seguridad
social y sin ningún tipo de discriminación, a través de la
capacitación en el trabajo, el diálogo social, la política de
recuperación de salarios y el cumplimiento de la normatividad
laboral, con énfasis en la población en situación de vulnerabilidad</t>
  </si>
  <si>
    <t>O20. Reducir la incidencia delictiva y mejorar la percepción de seguridad</t>
  </si>
  <si>
    <t>O20. Defender con eficacia y profesionalismo el patrimonio, los intereses y ordenamientos del municipio, así como asegurar la legalidad de los actos y resoluciones de la autoridad</t>
  </si>
  <si>
    <t>E5.2. Fomentar la práctica de actividades físicas y deportivas en todos los segmentos poblacionales, promoviendo un estilo de vida saludable</t>
  </si>
  <si>
    <t>20. Otros organismos</t>
  </si>
  <si>
    <t>C. Participaciones a entidades federativas y municipios.</t>
  </si>
  <si>
    <t>21. Innovación Gubernamental</t>
  </si>
  <si>
    <t>3.6. Comunicaciones</t>
  </si>
  <si>
    <t>1.6.3 Inteligencia para la Preservación de la Seguridad Nacional</t>
  </si>
  <si>
    <t>3.1 Propiciar un desarrollo incluyente del sistema financiero priorizando la
atención al rezago de la población no atendida y la asignación más
eficiente de los recursos a las actividades con mayor beneficio
económico, social y ambiental</t>
  </si>
  <si>
    <t>O21. Mejorar la impartición de justicia con un sistema efcaz, expedito, imparcial y transparente</t>
  </si>
  <si>
    <t>O21. Publicar oportunamente los acuerdos y resoluciones del Ayuntamiento, y dar seguimiento a su debido cumplimiento</t>
  </si>
  <si>
    <t>E6.1. Fomentar la diversidad y desarrollo cultural comunitario</t>
  </si>
  <si>
    <t>21. Empresa</t>
  </si>
  <si>
    <t>D. Costo financiero, deuda o apoyos a deudores y ahorradores de la banca.</t>
  </si>
  <si>
    <t>22. Combate a la corrupción</t>
  </si>
  <si>
    <t>Contraloría Ciudadana</t>
  </si>
  <si>
    <t>3.7. Turismo</t>
  </si>
  <si>
    <t>1.7.1 Policía</t>
  </si>
  <si>
    <t xml:space="preserve">3.2 Propiciar un ambiente que incentive la formalidad y la creación de
empleos y que permita mejorar las condiciones laborales para las
personas trabajadoras </t>
  </si>
  <si>
    <t>O22. Reducir la impunidad mejorando la imparcialidad, transparencia y efciencia en la procuración de justicia</t>
  </si>
  <si>
    <t>E6.2. Conservar y difundir el patrimonio cultural</t>
  </si>
  <si>
    <t>22. Instituciones religiosas</t>
  </si>
  <si>
    <t>H. Adeudos de ejercicios fiscales anteriores.</t>
  </si>
  <si>
    <t>23. Medio Ambiente</t>
  </si>
  <si>
    <t>Coordinación de General de Gestión Integral de la Ciudad</t>
  </si>
  <si>
    <t>3.8. Ciencia, tecnología e innovación</t>
  </si>
  <si>
    <t>1.7.2 Protección Civil</t>
  </si>
  <si>
    <t xml:space="preserve">3.3 Promover la innovación, la competencia, la integración en las cadenas
de valor y la generación de un mayor valor agregado en todos los
sectores productivos bajo un enfoque de sostenibilidad </t>
  </si>
  <si>
    <t>O23. Garantizar el respeto y la protección de los derechos humanos y eliminar la discriminación</t>
  </si>
  <si>
    <t>E6.3. Fomentar las industrias creativas y promocionar las manifestaciones artísticas</t>
  </si>
  <si>
    <t>23. Instituciones deportivas</t>
  </si>
  <si>
    <t>24. Movilidad y Transporte</t>
  </si>
  <si>
    <t>3.9. Otras industrias y otros asuntos económicos</t>
  </si>
  <si>
    <t>1.7.3 Otros Asuntos de Orden Público y Seguridad</t>
  </si>
  <si>
    <t>3.4 Propiciar un ambiente de estabilidad macroeconómica y finanzas
públicas sostenibles que favorezcan la inversión pública y privada</t>
  </si>
  <si>
    <t>O24. Mejorar la estabilidad y funcionalidad del sistema democrático</t>
  </si>
  <si>
    <t>E6.4.Formar públicos para las artes y capacitación cultural</t>
  </si>
  <si>
    <t>24. Delegaciones</t>
  </si>
  <si>
    <t xml:space="preserve">25. Obra Pública y Control de la Edificación </t>
  </si>
  <si>
    <t>4.1. Transacciones de la deuda pública / costo financiero de la deuda</t>
  </si>
  <si>
    <t>1.7.4 Sistema Nacional de Seguridad Pública</t>
  </si>
  <si>
    <t>3.5 Establecer una política energética soberana, sostenible, baja en
emisiones y eficiente para garantizar la accesibilidad, calidad y
seguridad energética</t>
  </si>
  <si>
    <t>O25. Mejorar la efectividad de las instituciones públicas y gubernamentales</t>
  </si>
  <si>
    <t>E7.1. Generar políticas públicas para garantizar la protección y bienestar de la fauna doméstica y silvestre de la ciudad</t>
  </si>
  <si>
    <t>25. Grupos vulnerables</t>
  </si>
  <si>
    <t>26. Ordenamiento del Territorio</t>
  </si>
  <si>
    <t>4.2. Transferencias, participaciones y aportaciones entre diferentes niveles y órdenes de gobierno</t>
  </si>
  <si>
    <t>1.8.1 Servicios Registrales, Administrativos y Patrimoniales</t>
  </si>
  <si>
    <t xml:space="preserve">3.6 Desarrollar de manera transparente, una red de comunicaciones y
transportes accesible, segura, eficiente, sostenible, incluyente y
moderna, con visión de desarrollo regional y de redes logísticas que
conecte a todas las personas, facilite el traslado de bienes y servicios,
y que contribuya a salvaguardar la seguridad nacional </t>
  </si>
  <si>
    <t>O26. Mejorar la igualdad entre los géneros y empoderar a las mujeres</t>
  </si>
  <si>
    <t>E7.2. Promover en la población el cuidado responsable de los animales de compañía</t>
  </si>
  <si>
    <t>26. Colonias</t>
  </si>
  <si>
    <t>27. Centros Colmena</t>
  </si>
  <si>
    <t>Construcción General de Construcción a la comunidad</t>
  </si>
  <si>
    <t>4.3. Saneamiento del sistema financiero</t>
  </si>
  <si>
    <t>1.8.2 Servicios Estadísticos</t>
  </si>
  <si>
    <t>3.7 Facilitar a la población, el acceso y desarrollo transparente y
sostenible a las redes de radiodifusión y telecomunicaciones, con
énfasis en internet y banda ancha, e impulsar el desarrollo integral de
la economía digital</t>
  </si>
  <si>
    <t>O27. Incrementar la capacidad innovadora en los sectores social, privado y público</t>
  </si>
  <si>
    <t>E7.3. Consolidar a Guadalajara como una ciudad amigable con los animales</t>
  </si>
  <si>
    <t>27. Ejidos</t>
  </si>
  <si>
    <t>28. Educación y Cultura</t>
  </si>
  <si>
    <t>4.4. Adeudos de ejercicios fiscales anteriores</t>
  </si>
  <si>
    <t>1.8.3 Servicios de Comunicación y Medios</t>
  </si>
  <si>
    <t>3.8 Desarrollar de manera sostenible e incluyente los sectores
agropecuario y acuícola-pesquero en los territorios rurales, y en los
pueblos y comunidades indígenas y afromexicanas</t>
  </si>
  <si>
    <t>E8.1.Coadyuvar con otras áreas del Ayuntamiento, ONG’s, Asociaciones Civiles y demás instituciones en la prevención y el combate a las adicciones</t>
  </si>
  <si>
    <t>28. Instituciones financieras</t>
  </si>
  <si>
    <t xml:space="preserve">29. Oferta educativa </t>
  </si>
  <si>
    <t>1.8.4 Acceso a la Información Pública Gubernamental</t>
  </si>
  <si>
    <t>3.9 Posicionar a México como un destino turístico competitivo, de
vanguardia, sostenible e incluyente
vanguardia, sostenible e incluyent</t>
  </si>
  <si>
    <t>8.2. Diseñar estrategias de atención a grupos que requieran atención diferenciada</t>
  </si>
  <si>
    <t>29. Fideicomiso</t>
  </si>
  <si>
    <t>30. Manejo de la hacienda pública</t>
  </si>
  <si>
    <t>Tesorería</t>
  </si>
  <si>
    <t>1.8.5 Otros</t>
  </si>
  <si>
    <t>3.10 Fomentar un desarrollo económico que promueva la reducción de
emisiones de gases y compuestos de efecto invernadero y la
adaptación al cambio climático para mejorar la calidad de vida de la
población</t>
  </si>
  <si>
    <t>E9.1. Disminuir la cantidad de detenciones no vinculadas a proceso</t>
  </si>
  <si>
    <t>30. Organismos internacionales</t>
  </si>
  <si>
    <t>2.1.1 Ordenación de Desechos</t>
  </si>
  <si>
    <t>E9.2. Reducir las tasas delictivas</t>
  </si>
  <si>
    <t>31. Asociaciones civiles</t>
  </si>
  <si>
    <t>2.1.2 Administración del Agua</t>
  </si>
  <si>
    <t>E9.3. Mejorar la percepción ciudadana de la seguridad y eficacia de la policía</t>
  </si>
  <si>
    <t>32. Organizaciones no gubernamentales</t>
  </si>
  <si>
    <t>2.1.3 Ordenación de Aguas Residuales, Drenaje y Alcantarillado</t>
  </si>
  <si>
    <t>E9.4 Prevenir la naturalización de conductas indebidas en niños y adolescentes, con enfoque de derechos humanos, igualdad de género y gobernanza</t>
  </si>
  <si>
    <t>33. Instituciones educativas internacionales</t>
  </si>
  <si>
    <t>2.1.4 Reducción de la Contaminación</t>
  </si>
  <si>
    <t>E9.5 Reducir la violencia contra las Mujeres</t>
  </si>
  <si>
    <t>34. Instituciones de educación básica</t>
  </si>
  <si>
    <t>2.1.5 Protección de la Diversidad Biológica y del Paisaje</t>
  </si>
  <si>
    <t>E9.6 Fijar una política de respeto y protección a los derechos humanos a la igualdad de género y a la no discriminación</t>
  </si>
  <si>
    <t>35. Instituciones de educación media+</t>
  </si>
  <si>
    <t>2.1.6 Otros de Protección Ambiental</t>
  </si>
  <si>
    <t>E10.1. Reducir la probabilidad de peligros, riesgo y los daños a la población en general y a las infraestructuras, ocasionados por fenómenos naturales</t>
  </si>
  <si>
    <t>36. Instituciones de educación superior</t>
  </si>
  <si>
    <t>2.2.1 Urbanización</t>
  </si>
  <si>
    <t>E10.2. Reducir los riesgos derivados de fenómenos socio-organizativos</t>
  </si>
  <si>
    <t>37. Instituciones de educación técnica</t>
  </si>
  <si>
    <t>2.2.2 Desarrollo Comunitario</t>
  </si>
  <si>
    <t>E10.3.Crear un Sistema Municipal de Protección Civil</t>
  </si>
  <si>
    <t>38. Instituciones de educación</t>
  </si>
  <si>
    <t>2.2.3 Abastecimiento de Agua</t>
  </si>
  <si>
    <t>E10.4.Fortalecimiento del equipo USAR-GDL para mejorar tiempos de respuesta ante sismos, rescates y estructuras colapsadas</t>
  </si>
  <si>
    <t>39. Asociaciones vecinales</t>
  </si>
  <si>
    <t>2.2.4 Alumbrado Público</t>
  </si>
  <si>
    <t>E11.1. Instaurar en el área de juzgados municipales mecanismos de control y respeto a los derechos humanos, la inclusión y la perspectiva de género</t>
  </si>
  <si>
    <t>40.becarios</t>
  </si>
  <si>
    <t>2.2.5 Vivienda</t>
  </si>
  <si>
    <t>E11.2. Promover la “Cultura de la Paz” en todos los sectores sociales de la población del municipio</t>
  </si>
  <si>
    <t>41. Migrantes</t>
  </si>
  <si>
    <t>2.2.6 Servicios Comunales</t>
  </si>
  <si>
    <t>E11.3. Dar seguimiento a los infractores durante su arresto, generando responsabilidad y evitar reincidencia</t>
  </si>
  <si>
    <t>42. Instituto de pensiones del estado de jalisco</t>
  </si>
  <si>
    <t>2.2.7 Desarrollo Regional</t>
  </si>
  <si>
    <t>E12.1. Reducir los tiempos y ampliar la cobertura en la atención de reportes por fallas en servicios</t>
  </si>
  <si>
    <t>43. Imss</t>
  </si>
  <si>
    <t>2.3.1 Prestación de Servicios de Salud a la Comunidad</t>
  </si>
  <si>
    <t>E12.2. Mejorar los niveles de iluminación en la ciudad</t>
  </si>
  <si>
    <t>44. Cfe</t>
  </si>
  <si>
    <t>2.3.2 Prestación de Servicios de Salud a la Persona</t>
  </si>
  <si>
    <t>E12.3. Impulsar, con las diversas áreas involucradas del Municipio, una política integral y sostenible de gestión de residuos sólidos para reducir su volumen, costo e impacto ambiental</t>
  </si>
  <si>
    <t>45. Siapa</t>
  </si>
  <si>
    <t>2.3.3 Generación de Recursos para la Salud</t>
  </si>
  <si>
    <t>E12.4. Realizar un plan de mejoramiento y mantenimiento de los cementerios municipales para hacerlos más seguros y funcionales</t>
  </si>
  <si>
    <t>46. Instituciones de cultura</t>
  </si>
  <si>
    <t>2.3.4 Rectoría del Sistema de Salud</t>
  </si>
  <si>
    <t>E12.5. Mejorar la imagen, limpieza y conservación del equipamiento y mobiliario urbano</t>
  </si>
  <si>
    <t>47. Docentes</t>
  </si>
  <si>
    <t>2.3.5 Protección Social en Salud</t>
  </si>
  <si>
    <t>E12.6. Renovar la infraestructura de mercados municipales, además de brindarles mejoramiento y mantenimiento</t>
  </si>
  <si>
    <t>48. Sindicatos</t>
  </si>
  <si>
    <t>2.4.1 Deporte y Recreación</t>
  </si>
  <si>
    <t>E12.7. Mejorar la atención, cuidado y conservación de parques, jardines y áreas verdes intra - urbanas</t>
  </si>
  <si>
    <t>49. Colegios de profesionistas</t>
  </si>
  <si>
    <t>2.4.2 Cultura</t>
  </si>
  <si>
    <t>E12.8. Brindar mantenimiento efectivo a las infraestructuras y superficies de rodamiento en las vialidades</t>
  </si>
  <si>
    <t>50. Asociaciones empresariales</t>
  </si>
  <si>
    <t>2.4.3 Radio, Televisión y Editoriales</t>
  </si>
  <si>
    <t>E12.9. Realizar un plan de renovación integral del rastro municipal para mejorar su inocuidad, seguridad y eficiencia</t>
  </si>
  <si>
    <t>51. Camaras empresariales</t>
  </si>
  <si>
    <t>2.4.4 Asuntos Religiosos y Otras Manifestaciones Sociales</t>
  </si>
  <si>
    <t>E12.10. Regular y garantizar el orden en la operación de los tianguis y el comercio en espacios abiertos</t>
  </si>
  <si>
    <t>52. Sector primario</t>
  </si>
  <si>
    <t>2.5.1 Educación Básica</t>
  </si>
  <si>
    <t>E13.1.Renovación ampliación y mejoramiento de los equipamientos y espacios públicos</t>
  </si>
  <si>
    <t>53. Sector secundario</t>
  </si>
  <si>
    <t>2.5.2 Educación Media Superior</t>
  </si>
  <si>
    <t>E13.2. Impulso al desarrollo de vivienda adecuada a la demanda</t>
  </si>
  <si>
    <t>54. Sector de terciario</t>
  </si>
  <si>
    <t>2.5.3 Educación Superior</t>
  </si>
  <si>
    <t>E13.3. Mantener un entorno atractivo para que el sector privado de la vivienda tenga las mejores condiciones para generar la oferta de soluciones habitacionales que requiere el municipio</t>
  </si>
  <si>
    <t>55. Bomberos</t>
  </si>
  <si>
    <t>2.5.4 Posgrado</t>
  </si>
  <si>
    <t>E13.4. Retomar y fortalecer las atribuciones y capacidades de promoción inmobiliaria directa del Ayuntamiento para dirigirlas prioritariamente a la demanda de vivienda que no puede ser atendida por el sector privado</t>
  </si>
  <si>
    <t>56. Policias</t>
  </si>
  <si>
    <t>2.5.5 Educación para Adultos</t>
  </si>
  <si>
    <t>E13.5. Actualizar los instrumentos y normativa de ordenamiento territorial y planeación urbana en el municipio así como la normatividad relativa con criterios de sustentabilidad ambiental, accesibilidad universal y competitividad</t>
  </si>
  <si>
    <t>57. Personal del sector salud</t>
  </si>
  <si>
    <t>E13.6. Mejorar las regulaciones de desarrollo urbano para que sean más simples y supongan una menor carga administrativa y al Ayuntamiento, sin poner en riesgo la salud pública, la seguridad de las edificaciones o la protección al medio ambiente</t>
  </si>
  <si>
    <t>58. Peatones</t>
  </si>
  <si>
    <t>2.6.1 Enfermedad e Incapacidad</t>
  </si>
  <si>
    <t>E14.1: Gestión y planeación de infraestructura para la movilidad no motorizada</t>
  </si>
  <si>
    <t>59. Ciclistas</t>
  </si>
  <si>
    <t>2.6.2 Edad Avanzada</t>
  </si>
  <si>
    <t>E14.2: Gestión, evaluación y planeación del tránsito y transporte</t>
  </si>
  <si>
    <t>60. Automovilistas</t>
  </si>
  <si>
    <t>2.6.3 Familia e Hijos</t>
  </si>
  <si>
    <t>E14.3: Renovación, ampliación y mejoramiento de la infraestructura</t>
  </si>
  <si>
    <t>61.reserva territorial</t>
  </si>
  <si>
    <t>2.6.4 Desempleo</t>
  </si>
  <si>
    <t>E14.4 Difusión y sensibilización de una correcta cultura vial, a través de programas educativos que promuevan la seguridad vial y un cambio de paradigma hacia una movilidad sustentable</t>
  </si>
  <si>
    <t>62. Área protegida</t>
  </si>
  <si>
    <t>2.6.5 Alimentación y Nutrición</t>
  </si>
  <si>
    <t>E14.5: Marco de colaboración normativa e implementación de los instrumentos legales en materia de movilidad</t>
  </si>
  <si>
    <t>63. Áreas de riesgo</t>
  </si>
  <si>
    <t>2.6.6 Apoyo Social para la Vivienda</t>
  </si>
  <si>
    <t>E14.6: Regulación y supervisión del estacionamiento</t>
  </si>
  <si>
    <t>64. Damnificados</t>
  </si>
  <si>
    <t>2.6.7 Indígenas</t>
  </si>
  <si>
    <t>E15.1 Generar y analizar diagnósticos integrales para una gestión con base en el conocimiento</t>
  </si>
  <si>
    <t>65. Especies protegidas</t>
  </si>
  <si>
    <t>2.6.8 Otros Grupos Vulnerables</t>
  </si>
  <si>
    <t>E15.2 Fortalecer la gobernanza ambiental y la corresponsabilidad ciudadana con la sustentabilidad</t>
  </si>
  <si>
    <t>66. Fauna</t>
  </si>
  <si>
    <t>2.6.9 Otros de Seguridad Social y Asistencia Social</t>
  </si>
  <si>
    <t>E15.3 Conservar y mejorar la superficie verde intraurbana y la salud del arbolado</t>
  </si>
  <si>
    <t>67. Flora</t>
  </si>
  <si>
    <t>2.7.1 Otros Asuntos Sociales</t>
  </si>
  <si>
    <t>E15.4. Fortalecer la estrategia acción climática municipal</t>
  </si>
  <si>
    <t>68. Semovientes</t>
  </si>
  <si>
    <t>3.1.1 Asuntos Económicos y Comerciales en General</t>
  </si>
  <si>
    <t>E15.5. Consolidar el Programa de Gestión Integral de Residuos Base Cero</t>
  </si>
  <si>
    <t>69. Acuicultura</t>
  </si>
  <si>
    <t>3.1.2 Asuntos Laborales Generales</t>
  </si>
  <si>
    <t>E15.6. Reducir los niveles de contaminación ambiental mediante la aplicación de políticas regulatorias más efectivas</t>
  </si>
  <si>
    <t>70. Auditoria superior</t>
  </si>
  <si>
    <t>3.2.1 Agropecuaria</t>
  </si>
  <si>
    <t>E16.1. Mejorar las normas,
procedimientos y sistemas de
información para el manejo de
La hacienda municipal</t>
  </si>
  <si>
    <t>71. Órganos autónomos</t>
  </si>
  <si>
    <t>3.2.2 Silvicultura</t>
  </si>
  <si>
    <t>E16.2. Fortalecer la
recaudación de ingresos
municipales</t>
  </si>
  <si>
    <t>72. Asociaciones sin fines de lucro</t>
  </si>
  <si>
    <t>3.2.3 Acuacultura, Pesca y Caza</t>
  </si>
  <si>
    <t>E16.3. Propiciar un gasto
público más eficiente,
manteniendo la disciplina y el
equilibrio presupuestal, así
como la transparencia.</t>
  </si>
  <si>
    <t>73. Cooperativas</t>
  </si>
  <si>
    <t>3.2.4 Agroindustrial</t>
  </si>
  <si>
    <t>E17.1. Hacer más eficiente la administración de los recursos, bienes y servicios adquiridos como parte del patrimonio municipal</t>
  </si>
  <si>
    <t>74. Cruz roja</t>
  </si>
  <si>
    <t>3.2.5 Hidroagrícola</t>
  </si>
  <si>
    <t>E17.2. Desarrollar el sistema de capacitación, profesionalización y certificación de aptitudes, así como garantizar la calidad en el servicio público</t>
  </si>
  <si>
    <t>75. Tianguis</t>
  </si>
  <si>
    <t>3.2.6 Apoyo Financiero a la Banca y Seguro Agropecuario</t>
  </si>
  <si>
    <t>E17.3. Impulsar la innovación y mejora tecnológica en la operación de las dependencias públicas</t>
  </si>
  <si>
    <t>76. Indigentes</t>
  </si>
  <si>
    <t>3.3.1 Carbón y Otros Combustibles Minerales Sólidos</t>
  </si>
  <si>
    <t>E17.4. Mejorar la comunicación estratégica del gobierno hacia la ciudadanía</t>
  </si>
  <si>
    <t>77. Inmigrante</t>
  </si>
  <si>
    <t>3.3.2 Petróleo y Gas Natural (Hidrocarburos)</t>
  </si>
  <si>
    <t>E17.5. Impulsar la calidad en el servicio y mejorar la eficiencia administrativa</t>
  </si>
  <si>
    <t>78. Estudiantes</t>
  </si>
  <si>
    <t>3.3.3 Combustibles Nucleares</t>
  </si>
  <si>
    <t>E17.6.Descentralizar y facilitar el acercamiento de los servicios de las distintas dependencias a cada zona del municipio</t>
  </si>
  <si>
    <t>79. Enfermo crónico degenerativo</t>
  </si>
  <si>
    <t>3.3.4 Otros Combustibles</t>
  </si>
  <si>
    <t>E17.7 Vincular y coordinar a las distintas áreas del Gobierno de Guadalajara con la población de la ciudad</t>
  </si>
  <si>
    <t>80. Enfermo ambulatorio</t>
  </si>
  <si>
    <t>3.3.5 Electricidad</t>
  </si>
  <si>
    <t>E17.8. Supervisar el cumplimiento de la normatividad municipal para asegurar el orden y respeto en la ciudad</t>
  </si>
  <si>
    <t>81. Museos</t>
  </si>
  <si>
    <t>3.3.6 Energía no Eléctrica</t>
  </si>
  <si>
    <t>E18.1. Garantizar el acceso a la información, rendición de cuentas y protección de datos personales basado en los criterios que establece la normatividad en la materia y los organismos evaluadores de mayor acreditación en transparencia</t>
  </si>
  <si>
    <t>82. Servidores públicos</t>
  </si>
  <si>
    <t>3.4.1 Extracción de Recursos Minerales excepto los Combustibles Minerales</t>
  </si>
  <si>
    <t>E18.2. Alcanzar los máximos niveles de transparencia a través de seguir publicando de forma continua información más transparente, clara, accesible, utilizando software de acceso libre</t>
  </si>
  <si>
    <t>83. Fuerzas armadas</t>
  </si>
  <si>
    <t>3.4.2 Manufacturas</t>
  </si>
  <si>
    <t>E19.1. Involucrar a la ciudadanía en la instauración de acciones y políticas anticorrupción</t>
  </si>
  <si>
    <t>84. Zona arqueológica</t>
  </si>
  <si>
    <t>3.4.3 Construcción</t>
  </si>
  <si>
    <t>E19.2. Impulsar acciones para armonizar y verificar el cumplimiento del marco normativo y la instrumentación de medidas preventivas que abatan los niveles de corrupción</t>
  </si>
  <si>
    <t>85. Huérfanos</t>
  </si>
  <si>
    <t>3.5.1 Transporte por Carretera</t>
  </si>
  <si>
    <t>E20.1. Fortalecer los mecanismos de coordinación, revisión y validación jurídica de los actos efectuados por la administración</t>
  </si>
  <si>
    <t>86. Desaparecidos</t>
  </si>
  <si>
    <t>3.5.2 Transporte por Agua y Puertos</t>
  </si>
  <si>
    <t>E20.2. Mejorar los procesos de información, trámite y gestión de los actos jurídicos y sus procesos en los que sea parte el Gobierno Municipal</t>
  </si>
  <si>
    <t>87. Víctima</t>
  </si>
  <si>
    <t>3.5.3 Transporte por Ferrocarril</t>
  </si>
  <si>
    <t>E21.1. Publicar y dar puntual seguimiento a los acuerdos del Ayuntamiento</t>
  </si>
  <si>
    <t>88. Infractor</t>
  </si>
  <si>
    <t>3.5.4 Transporte Aéreo</t>
  </si>
  <si>
    <t>E21.2. Atender y canalizar las solicitudes ciudadanas</t>
  </si>
  <si>
    <t>89. Indemnizados por responsabilidad patrimonial</t>
  </si>
  <si>
    <t>3.5.5 Transporte por Oleoductos y Gasoductos y Otros Sistemas de Transporte</t>
  </si>
  <si>
    <t>E21.3. Mejorar las condiciones operativas del archivo histórico del municipio sistematizando sus herramientas de consulta</t>
  </si>
  <si>
    <t>90. Artistas</t>
  </si>
  <si>
    <t>3.5.6 Otros Relacionados con Transporte</t>
  </si>
  <si>
    <t>E21.4.Prestar eficientemente los servicios del registro civil</t>
  </si>
  <si>
    <t>3.6.1 Comunicaciones</t>
  </si>
  <si>
    <t>E21.5. Incrementar los lazos e intercambios del municipio a nivel internacional</t>
  </si>
  <si>
    <t>92. Residentes</t>
  </si>
  <si>
    <t>3.7.1 Turismo</t>
  </si>
  <si>
    <t>93. Madres solteras</t>
  </si>
  <si>
    <t>3.7.2 Hoteles y Restaurantes</t>
  </si>
  <si>
    <t>94. Menores en edad escolar básica</t>
  </si>
  <si>
    <t>3.8.1 Investigación Científica</t>
  </si>
  <si>
    <t>95. Estudiantes en edad escolar media</t>
  </si>
  <si>
    <t>3.8.2 Desarrollo Tecnológico</t>
  </si>
  <si>
    <t>96. Estudiantes en edad escolar superior</t>
  </si>
  <si>
    <t>3.8.3 Servicios Científicos y Tecnológicos</t>
  </si>
  <si>
    <t>97. Indistinto</t>
  </si>
  <si>
    <t>3.8.4 Innovación</t>
  </si>
  <si>
    <t>3.9.1 Comercio, Distribución, Almacenamiento y Depósito</t>
  </si>
  <si>
    <t>3.9.2 Otras Industrias</t>
  </si>
  <si>
    <t>3.9.3 Otros Asuntos Económicos</t>
  </si>
  <si>
    <t>4.1.1 Deuda Pública Interna</t>
  </si>
  <si>
    <t>4.1.2 Deuda Pública Externa</t>
  </si>
  <si>
    <t>4.2.1 Transferencias entre Diferentes Niveles y Órdenes de Gobierno</t>
  </si>
  <si>
    <t>4.2.2 Participaciones entre Diferentes Niveles y Órdenes de Gobierno</t>
  </si>
  <si>
    <t>4.2.3 Aportaciones entre Diferentes Niveles y Órdenes de Gobierno</t>
  </si>
  <si>
    <t>4.3.1 Saneamiento del Sistema Financiero</t>
  </si>
  <si>
    <t>4.3.2 Apoyos IPAB</t>
  </si>
  <si>
    <t>4.3.3 Banca de Desarrollo</t>
  </si>
  <si>
    <t>4.3.4 Apoyo a los programas de reestructura en unidades de inversión (UDIS)</t>
  </si>
  <si>
    <t>4.4.1 Adeudos de Ejercicios Fiscales Anteriores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</si>
</sst>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;[Red]\-&quot;$&quot;#,##0.00"/>
    <numFmt numFmtId="164" formatCode="_-&quot;$&quot;* #,##0.00_-;\-&quot;$&quot;* #,##0.00_-;_-&quot;$&quot;* &quot;-&quot;??_-;_-@"/>
  </numFmts>
  <fonts count="32">
    <font>
      <sz val="10"/>
      <color rgb="FF000000"/>
      <name val="Arial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0"/>
      <name val="Arial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Noto Sans Symbols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b/>
      <sz val="9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  <scheme val="minor"/>
    </font>
    <font>
      <b/>
      <sz val="14"/>
      <color theme="1"/>
      <name val="Arial"/>
      <family val="2"/>
    </font>
    <font>
      <b/>
      <sz val="11"/>
      <color rgb="FF000000"/>
      <name val="Arial"/>
      <family val="2"/>
    </font>
    <font>
      <b/>
      <sz val="13"/>
      <color theme="1"/>
      <name val="Arial"/>
      <family val="2"/>
    </font>
    <font>
      <sz val="10"/>
      <color theme="1"/>
      <name val="Roboto"/>
    </font>
    <font>
      <sz val="11"/>
      <color theme="1"/>
      <name val="Roboto"/>
    </font>
    <font>
      <b/>
      <sz val="27"/>
      <color theme="1"/>
      <name val="Calibri"/>
      <family val="2"/>
    </font>
    <font>
      <b/>
      <sz val="18"/>
      <color theme="1"/>
      <name val="Arial"/>
      <family val="2"/>
      <scheme val="minor"/>
    </font>
    <font>
      <b/>
      <sz val="22"/>
      <color theme="1"/>
      <name val="Calibri"/>
      <family val="2"/>
    </font>
    <font>
      <b/>
      <sz val="21"/>
      <color theme="1"/>
      <name val="Arial"/>
      <family val="2"/>
    </font>
    <font>
      <sz val="9"/>
      <color theme="1"/>
      <name val="Roboto"/>
    </font>
    <font>
      <b/>
      <sz val="15"/>
      <color rgb="FF000000"/>
      <name val="&quot;Google Sans Mono&quot;"/>
    </font>
    <font>
      <b/>
      <sz val="15"/>
      <color theme="1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E5DFEC"/>
        <bgColor rgb="FFE5DFEC"/>
      </patternFill>
    </fill>
    <fill>
      <patternFill patternType="solid">
        <fgColor rgb="FFFFFF00"/>
        <bgColor rgb="FFFFFF00"/>
      </patternFill>
    </fill>
    <fill>
      <patternFill patternType="solid">
        <fgColor rgb="FFB2A1C7"/>
        <bgColor rgb="FFB2A1C7"/>
      </patternFill>
    </fill>
    <fill>
      <patternFill patternType="solid">
        <fgColor rgb="FFCCC0D9"/>
        <bgColor rgb="FFCCC0D9"/>
      </patternFill>
    </fill>
    <fill>
      <patternFill patternType="solid">
        <fgColor rgb="FFEFEFEF"/>
        <bgColor rgb="FFEFEFEF"/>
      </patternFill>
    </fill>
  </fills>
  <borders count="35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/>
      <top/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146">
    <xf numFmtId="0" fontId="0" fillId="0" borderId="0" xfId="0" applyFont="1" applyAlignment="1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 applyAlignment="1">
      <alignment horizontal="center" wrapText="1"/>
    </xf>
    <xf numFmtId="0" fontId="1" fillId="3" borderId="4" xfId="0" applyFont="1" applyFill="1" applyBorder="1"/>
    <xf numFmtId="0" fontId="4" fillId="3" borderId="4" xfId="0" applyFont="1" applyFill="1" applyBorder="1"/>
    <xf numFmtId="4" fontId="1" fillId="3" borderId="4" xfId="0" applyNumberFormat="1" applyFont="1" applyFill="1" applyBorder="1"/>
    <xf numFmtId="0" fontId="5" fillId="3" borderId="4" xfId="0" applyFont="1" applyFill="1" applyBorder="1"/>
    <xf numFmtId="0" fontId="6" fillId="3" borderId="4" xfId="0" applyFont="1" applyFill="1" applyBorder="1"/>
    <xf numFmtId="4" fontId="6" fillId="3" borderId="4" xfId="0" applyNumberFormat="1" applyFont="1" applyFill="1" applyBorder="1"/>
    <xf numFmtId="0" fontId="1" fillId="2" borderId="2" xfId="0" applyFont="1" applyFill="1" applyBorder="1" applyAlignment="1"/>
    <xf numFmtId="0" fontId="7" fillId="4" borderId="8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left" vertical="center"/>
    </xf>
    <xf numFmtId="0" fontId="6" fillId="3" borderId="4" xfId="0" applyFont="1" applyFill="1" applyBorder="1" applyAlignment="1">
      <alignment horizontal="center" vertical="center" wrapText="1"/>
    </xf>
    <xf numFmtId="0" fontId="1" fillId="0" borderId="2" xfId="0" applyFont="1" applyBorder="1" applyAlignment="1"/>
    <xf numFmtId="0" fontId="1" fillId="5" borderId="2" xfId="0" applyFont="1" applyFill="1" applyBorder="1" applyAlignment="1"/>
    <xf numFmtId="0" fontId="1" fillId="0" borderId="3" xfId="0" applyFont="1" applyBorder="1" applyAlignment="1"/>
    <xf numFmtId="0" fontId="7" fillId="4" borderId="12" xfId="0" applyFont="1" applyFill="1" applyBorder="1" applyAlignment="1">
      <alignment horizontal="center" vertical="center" wrapText="1"/>
    </xf>
    <xf numFmtId="4" fontId="6" fillId="3" borderId="4" xfId="0" applyNumberFormat="1" applyFont="1" applyFill="1" applyBorder="1" applyAlignment="1">
      <alignment horizontal="center"/>
    </xf>
    <xf numFmtId="0" fontId="7" fillId="0" borderId="0" xfId="0" applyFont="1" applyAlignment="1">
      <alignment horizontal="center" vertical="center" wrapText="1"/>
    </xf>
    <xf numFmtId="8" fontId="6" fillId="0" borderId="0" xfId="0" applyNumberFormat="1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7" fillId="6" borderId="8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/>
    <xf numFmtId="0" fontId="7" fillId="0" borderId="1" xfId="0" applyFont="1" applyBorder="1" applyAlignment="1">
      <alignment horizontal="center" vertical="center" wrapText="1"/>
    </xf>
    <xf numFmtId="0" fontId="7" fillId="6" borderId="3" xfId="0" applyFont="1" applyFill="1" applyBorder="1" applyAlignment="1">
      <alignment horizontal="center" wrapText="1"/>
    </xf>
    <xf numFmtId="4" fontId="7" fillId="6" borderId="12" xfId="0" applyNumberFormat="1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 wrapText="1"/>
    </xf>
    <xf numFmtId="4" fontId="1" fillId="0" borderId="8" xfId="0" applyNumberFormat="1" applyFont="1" applyBorder="1" applyAlignment="1">
      <alignment horizontal="center" vertical="center"/>
    </xf>
    <xf numFmtId="0" fontId="1" fillId="2" borderId="3" xfId="0" applyFont="1" applyFill="1" applyBorder="1" applyAlignment="1"/>
    <xf numFmtId="4" fontId="12" fillId="0" borderId="8" xfId="0" applyNumberFormat="1" applyFont="1" applyBorder="1" applyAlignment="1">
      <alignment horizontal="center" vertical="center" wrapText="1"/>
    </xf>
    <xf numFmtId="4" fontId="1" fillId="0" borderId="16" xfId="0" applyNumberFormat="1" applyFont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 wrapText="1"/>
    </xf>
    <xf numFmtId="3" fontId="12" fillId="0" borderId="16" xfId="0" applyNumberFormat="1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3" fontId="6" fillId="0" borderId="16" xfId="0" applyNumberFormat="1" applyFont="1" applyBorder="1" applyAlignment="1">
      <alignment horizontal="center" vertical="center" wrapText="1"/>
    </xf>
    <xf numFmtId="1" fontId="12" fillId="0" borderId="16" xfId="0" applyNumberFormat="1" applyFont="1" applyBorder="1" applyAlignment="1">
      <alignment horizontal="center" vertical="center" wrapText="1"/>
    </xf>
    <xf numFmtId="0" fontId="1" fillId="2" borderId="3" xfId="0" applyFont="1" applyFill="1" applyBorder="1"/>
    <xf numFmtId="3" fontId="13" fillId="0" borderId="0" xfId="0" applyNumberFormat="1" applyFont="1"/>
    <xf numFmtId="0" fontId="1" fillId="3" borderId="0" xfId="0" applyFont="1" applyFill="1"/>
    <xf numFmtId="0" fontId="6" fillId="3" borderId="0" xfId="0" applyFont="1" applyFill="1"/>
    <xf numFmtId="0" fontId="7" fillId="6" borderId="11" xfId="0" applyFont="1" applyFill="1" applyBorder="1" applyAlignment="1">
      <alignment horizontal="center" vertical="center" wrapText="1"/>
    </xf>
    <xf numFmtId="4" fontId="7" fillId="6" borderId="11" xfId="0" applyNumberFormat="1" applyFont="1" applyFill="1" applyBorder="1" applyAlignment="1">
      <alignment horizontal="center" vertical="center" wrapText="1"/>
    </xf>
    <xf numFmtId="0" fontId="9" fillId="4" borderId="16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4" fontId="12" fillId="0" borderId="3" xfId="0" applyNumberFormat="1" applyFont="1" applyBorder="1" applyAlignment="1">
      <alignment horizontal="center" vertical="center" wrapText="1"/>
    </xf>
    <xf numFmtId="3" fontId="1" fillId="0" borderId="3" xfId="0" applyNumberFormat="1" applyFont="1" applyBorder="1" applyAlignment="1">
      <alignment horizontal="center" vertical="center"/>
    </xf>
    <xf numFmtId="3" fontId="12" fillId="0" borderId="3" xfId="0" applyNumberFormat="1" applyFont="1" applyBorder="1" applyAlignment="1">
      <alignment horizontal="center" vertical="center" wrapText="1"/>
    </xf>
    <xf numFmtId="10" fontId="16" fillId="0" borderId="8" xfId="0" applyNumberFormat="1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3" fontId="12" fillId="0" borderId="3" xfId="0" applyNumberFormat="1" applyFont="1" applyBorder="1" applyAlignment="1">
      <alignment horizontal="center" vertical="center" wrapText="1"/>
    </xf>
    <xf numFmtId="0" fontId="6" fillId="6" borderId="3" xfId="0" applyFont="1" applyFill="1" applyBorder="1" applyAlignment="1"/>
    <xf numFmtId="0" fontId="9" fillId="4" borderId="16" xfId="0" applyFont="1" applyFill="1" applyBorder="1" applyAlignment="1">
      <alignment horizontal="center" vertical="center" wrapText="1"/>
    </xf>
    <xf numFmtId="0" fontId="17" fillId="2" borderId="16" xfId="0" applyFont="1" applyFill="1" applyBorder="1" applyAlignment="1">
      <alignment horizontal="center" vertical="center" wrapText="1"/>
    </xf>
    <xf numFmtId="0" fontId="18" fillId="2" borderId="3" xfId="0" applyFont="1" applyFill="1" applyBorder="1" applyAlignment="1">
      <alignment horizontal="center" vertical="center" wrapText="1"/>
    </xf>
    <xf numFmtId="0" fontId="6" fillId="6" borderId="2" xfId="0" applyFont="1" applyFill="1" applyBorder="1" applyAlignment="1"/>
    <xf numFmtId="1" fontId="16" fillId="0" borderId="8" xfId="0" applyNumberFormat="1" applyFont="1" applyBorder="1" applyAlignment="1">
      <alignment horizontal="center" vertical="center" wrapText="1"/>
    </xf>
    <xf numFmtId="0" fontId="13" fillId="2" borderId="17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7" fillId="2" borderId="29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 wrapText="1"/>
    </xf>
    <xf numFmtId="0" fontId="7" fillId="6" borderId="8" xfId="0" applyFont="1" applyFill="1" applyBorder="1" applyAlignment="1">
      <alignment horizontal="center" vertical="center" wrapText="1"/>
    </xf>
    <xf numFmtId="0" fontId="11" fillId="6" borderId="8" xfId="0" applyFont="1" applyFill="1" applyBorder="1" applyAlignment="1">
      <alignment horizontal="center" vertical="center" wrapText="1"/>
    </xf>
    <xf numFmtId="0" fontId="12" fillId="7" borderId="8" xfId="0" applyFont="1" applyFill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7" borderId="8" xfId="0" applyFont="1" applyFill="1" applyBorder="1" applyAlignment="1">
      <alignment horizontal="center" vertical="center" wrapText="1"/>
    </xf>
    <xf numFmtId="0" fontId="22" fillId="6" borderId="8" xfId="0" applyFont="1" applyFill="1" applyBorder="1" applyAlignment="1">
      <alignment horizontal="center" vertical="center" wrapText="1"/>
    </xf>
    <xf numFmtId="0" fontId="9" fillId="6" borderId="8" xfId="0" applyFont="1" applyFill="1" applyBorder="1" applyAlignment="1">
      <alignment horizontal="center" vertical="center" wrapText="1"/>
    </xf>
    <xf numFmtId="0" fontId="23" fillId="0" borderId="8" xfId="0" applyFont="1" applyBorder="1" applyAlignment="1">
      <alignment horizontal="center" vertical="center" wrapText="1"/>
    </xf>
    <xf numFmtId="3" fontId="24" fillId="2" borderId="8" xfId="0" applyNumberFormat="1" applyFont="1" applyFill="1" applyBorder="1" applyAlignment="1">
      <alignment horizontal="center" vertical="center"/>
    </xf>
    <xf numFmtId="3" fontId="25" fillId="6" borderId="8" xfId="0" applyNumberFormat="1" applyFont="1" applyFill="1" applyBorder="1" applyAlignment="1">
      <alignment horizontal="center" vertical="center" wrapText="1"/>
    </xf>
    <xf numFmtId="0" fontId="15" fillId="4" borderId="8" xfId="0" applyFont="1" applyFill="1" applyBorder="1" applyAlignment="1">
      <alignment horizontal="center" vertical="center" wrapText="1"/>
    </xf>
    <xf numFmtId="3" fontId="24" fillId="8" borderId="8" xfId="0" applyNumberFormat="1" applyFont="1" applyFill="1" applyBorder="1" applyAlignment="1">
      <alignment horizontal="center" vertical="center"/>
    </xf>
    <xf numFmtId="0" fontId="9" fillId="6" borderId="8" xfId="0" applyFont="1" applyFill="1" applyBorder="1" applyAlignment="1">
      <alignment horizontal="center" vertical="center" wrapText="1"/>
    </xf>
    <xf numFmtId="0" fontId="14" fillId="6" borderId="8" xfId="0" applyFont="1" applyFill="1" applyBorder="1" applyAlignment="1">
      <alignment horizontal="center" vertical="center" textRotation="90" wrapText="1"/>
    </xf>
    <xf numFmtId="0" fontId="25" fillId="6" borderId="8" xfId="0" applyFont="1" applyFill="1" applyBorder="1" applyAlignment="1">
      <alignment horizontal="center" vertical="center" wrapText="1"/>
    </xf>
    <xf numFmtId="0" fontId="16" fillId="6" borderId="8" xfId="0" applyFont="1" applyFill="1" applyBorder="1" applyAlignment="1">
      <alignment horizontal="center" vertical="center" wrapText="1"/>
    </xf>
    <xf numFmtId="0" fontId="22" fillId="6" borderId="0" xfId="0" applyFont="1" applyFill="1" applyAlignment="1">
      <alignment horizontal="center" vertical="center" wrapText="1"/>
    </xf>
    <xf numFmtId="0" fontId="26" fillId="2" borderId="30" xfId="0" applyFont="1" applyFill="1" applyBorder="1"/>
    <xf numFmtId="0" fontId="26" fillId="2" borderId="25" xfId="0" applyFont="1" applyFill="1" applyBorder="1"/>
    <xf numFmtId="0" fontId="26" fillId="2" borderId="25" xfId="0" applyFont="1" applyFill="1" applyBorder="1"/>
    <xf numFmtId="0" fontId="5" fillId="0" borderId="24" xfId="0" applyFont="1" applyBorder="1" applyAlignment="1">
      <alignment horizontal="right"/>
    </xf>
    <xf numFmtId="0" fontId="2" fillId="0" borderId="1" xfId="0" applyFont="1" applyBorder="1"/>
    <xf numFmtId="0" fontId="2" fillId="0" borderId="31" xfId="0" applyFont="1" applyBorder="1"/>
    <xf numFmtId="0" fontId="2" fillId="0" borderId="3" xfId="0" applyFont="1" applyBorder="1"/>
    <xf numFmtId="0" fontId="2" fillId="0" borderId="3" xfId="0" applyFont="1" applyBorder="1" applyAlignment="1">
      <alignment horizontal="center" wrapText="1"/>
    </xf>
    <xf numFmtId="0" fontId="2" fillId="0" borderId="3" xfId="0" applyFont="1" applyBorder="1" applyAlignment="1">
      <alignment wrapText="1"/>
    </xf>
    <xf numFmtId="0" fontId="1" fillId="0" borderId="3" xfId="0" applyFont="1" applyBorder="1"/>
    <xf numFmtId="0" fontId="1" fillId="0" borderId="32" xfId="0" applyFont="1" applyBorder="1" applyAlignment="1">
      <alignment wrapText="1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wrapText="1"/>
    </xf>
    <xf numFmtId="0" fontId="12" fillId="0" borderId="3" xfId="0" applyFont="1" applyBorder="1" applyAlignment="1">
      <alignment wrapText="1"/>
    </xf>
    <xf numFmtId="0" fontId="27" fillId="0" borderId="3" xfId="0" applyFont="1" applyBorder="1" applyAlignment="1">
      <alignment wrapText="1"/>
    </xf>
    <xf numFmtId="0" fontId="1" fillId="0" borderId="32" xfId="0" applyFont="1" applyBorder="1"/>
    <xf numFmtId="0" fontId="1" fillId="0" borderId="3" xfId="0" applyFont="1" applyBorder="1" applyAlignment="1">
      <alignment horizontal="center" vertical="top" wrapText="1"/>
    </xf>
    <xf numFmtId="0" fontId="1" fillId="0" borderId="33" xfId="0" applyFont="1" applyBorder="1"/>
    <xf numFmtId="0" fontId="1" fillId="0" borderId="34" xfId="0" applyFont="1" applyBorder="1" applyAlignment="1">
      <alignment horizontal="center" wrapText="1"/>
    </xf>
    <xf numFmtId="0" fontId="1" fillId="0" borderId="34" xfId="0" applyFont="1" applyBorder="1" applyAlignment="1">
      <alignment horizontal="center"/>
    </xf>
    <xf numFmtId="0" fontId="1" fillId="0" borderId="2" xfId="0" applyFont="1" applyBorder="1" applyAlignment="1">
      <alignment wrapText="1"/>
    </xf>
    <xf numFmtId="0" fontId="1" fillId="0" borderId="33" xfId="0" applyFont="1" applyBorder="1" applyAlignment="1">
      <alignment wrapText="1"/>
    </xf>
    <xf numFmtId="0" fontId="1" fillId="0" borderId="34" xfId="0" applyFont="1" applyBorder="1"/>
    <xf numFmtId="0" fontId="1" fillId="0" borderId="31" xfId="0" applyFont="1" applyBorder="1"/>
    <xf numFmtId="0" fontId="13" fillId="0" borderId="0" xfId="0" applyFont="1"/>
    <xf numFmtId="0" fontId="5" fillId="3" borderId="5" xfId="0" applyFont="1" applyFill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/>
    <xf numFmtId="0" fontId="7" fillId="0" borderId="9" xfId="0" applyFont="1" applyBorder="1" applyAlignment="1">
      <alignment horizontal="left" vertical="center" wrapText="1"/>
    </xf>
    <xf numFmtId="0" fontId="3" fillId="0" borderId="10" xfId="0" applyFont="1" applyBorder="1"/>
    <xf numFmtId="0" fontId="3" fillId="0" borderId="11" xfId="0" applyFont="1" applyBorder="1"/>
    <xf numFmtId="4" fontId="30" fillId="3" borderId="9" xfId="0" applyNumberFormat="1" applyFont="1" applyFill="1" applyBorder="1" applyAlignment="1">
      <alignment horizontal="left" vertical="center"/>
    </xf>
    <xf numFmtId="0" fontId="31" fillId="0" borderId="10" xfId="0" applyFont="1" applyBorder="1"/>
    <xf numFmtId="0" fontId="31" fillId="0" borderId="11" xfId="0" applyFont="1" applyBorder="1"/>
    <xf numFmtId="0" fontId="30" fillId="0" borderId="9" xfId="0" applyFont="1" applyBorder="1" applyAlignment="1">
      <alignment horizontal="left" vertical="center" wrapText="1"/>
    </xf>
    <xf numFmtId="0" fontId="28" fillId="6" borderId="2" xfId="0" applyFont="1" applyFill="1" applyBorder="1" applyAlignment="1">
      <alignment horizontal="center" vertical="center" wrapText="1"/>
    </xf>
    <xf numFmtId="0" fontId="29" fillId="0" borderId="3" xfId="0" applyFont="1" applyBorder="1" applyAlignment="1">
      <alignment horizontal="center" vertical="center"/>
    </xf>
    <xf numFmtId="0" fontId="29" fillId="0" borderId="2" xfId="0" applyFont="1" applyBorder="1" applyAlignment="1">
      <alignment horizontal="center" vertical="center"/>
    </xf>
    <xf numFmtId="4" fontId="8" fillId="2" borderId="9" xfId="0" applyNumberFormat="1" applyFont="1" applyFill="1" applyBorder="1" applyAlignment="1">
      <alignment horizontal="left" vertical="center"/>
    </xf>
    <xf numFmtId="4" fontId="8" fillId="2" borderId="9" xfId="0" applyNumberFormat="1" applyFont="1" applyFill="1" applyBorder="1" applyAlignment="1">
      <alignment horizontal="left" vertical="center" wrapText="1"/>
    </xf>
    <xf numFmtId="4" fontId="30" fillId="2" borderId="9" xfId="0" applyNumberFormat="1" applyFont="1" applyFill="1" applyBorder="1" applyAlignment="1">
      <alignment horizontal="left" vertical="center" wrapText="1"/>
    </xf>
    <xf numFmtId="164" fontId="6" fillId="3" borderId="9" xfId="0" applyNumberFormat="1" applyFont="1" applyFill="1" applyBorder="1" applyAlignment="1">
      <alignment horizontal="center"/>
    </xf>
    <xf numFmtId="0" fontId="30" fillId="3" borderId="9" xfId="0" applyFont="1" applyFill="1" applyBorder="1" applyAlignment="1">
      <alignment horizontal="left"/>
    </xf>
    <xf numFmtId="0" fontId="30" fillId="0" borderId="13" xfId="0" applyFont="1" applyBorder="1" applyAlignment="1">
      <alignment horizontal="left" vertical="center" wrapText="1"/>
    </xf>
    <xf numFmtId="0" fontId="31" fillId="0" borderId="14" xfId="0" applyFont="1" applyBorder="1"/>
    <xf numFmtId="0" fontId="31" fillId="0" borderId="15" xfId="0" applyFont="1" applyBorder="1"/>
    <xf numFmtId="0" fontId="21" fillId="2" borderId="26" xfId="0" applyFont="1" applyFill="1" applyBorder="1" applyAlignment="1">
      <alignment horizontal="center" vertical="center"/>
    </xf>
    <xf numFmtId="0" fontId="3" fillId="0" borderId="27" xfId="0" applyFont="1" applyBorder="1"/>
    <xf numFmtId="0" fontId="3" fillId="0" borderId="28" xfId="0" applyFont="1" applyBorder="1"/>
    <xf numFmtId="0" fontId="19" fillId="2" borderId="18" xfId="0" applyFont="1" applyFill="1" applyBorder="1" applyAlignment="1">
      <alignment horizontal="center" vertical="center"/>
    </xf>
    <xf numFmtId="0" fontId="3" fillId="0" borderId="19" xfId="0" applyFont="1" applyBorder="1"/>
    <xf numFmtId="0" fontId="3" fillId="0" borderId="20" xfId="0" applyFont="1" applyBorder="1"/>
    <xf numFmtId="0" fontId="3" fillId="0" borderId="21" xfId="0" applyFont="1" applyBorder="1"/>
    <xf numFmtId="0" fontId="0" fillId="0" borderId="0" xfId="0" applyFont="1" applyAlignment="1"/>
    <xf numFmtId="0" fontId="3" fillId="0" borderId="22" xfId="0" applyFont="1" applyBorder="1"/>
    <xf numFmtId="0" fontId="3" fillId="0" borderId="23" xfId="0" applyFont="1" applyBorder="1"/>
    <xf numFmtId="0" fontId="3" fillId="0" borderId="24" xfId="0" applyFont="1" applyBorder="1"/>
    <xf numFmtId="0" fontId="3" fillId="0" borderId="25" xfId="0" applyFont="1" applyBorder="1"/>
    <xf numFmtId="0" fontId="20" fillId="2" borderId="26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wrapText="1"/>
    </xf>
    <xf numFmtId="0" fontId="3" fillId="0" borderId="34" xfId="0" applyFont="1" applyBorder="1"/>
    <xf numFmtId="0" fontId="3" fillId="0" borderId="2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3514725" cy="175260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40"/>
  <sheetViews>
    <sheetView showGridLines="0" tabSelected="1" workbookViewId="0">
      <selection activeCell="D32" sqref="D32"/>
    </sheetView>
  </sheetViews>
  <sheetFormatPr baseColWidth="10" defaultColWidth="12.5703125" defaultRowHeight="15" customHeight="1"/>
  <cols>
    <col min="1" max="1" width="16.5703125" customWidth="1"/>
    <col min="2" max="2" width="44.85546875" customWidth="1"/>
    <col min="3" max="3" width="22" customWidth="1"/>
    <col min="4" max="4" width="23.42578125" customWidth="1"/>
    <col min="5" max="5" width="28.140625" customWidth="1"/>
    <col min="6" max="6" width="19" customWidth="1"/>
    <col min="7" max="7" width="18.42578125" customWidth="1"/>
    <col min="8" max="8" width="32.140625" customWidth="1"/>
    <col min="9" max="9" width="22.42578125" customWidth="1"/>
    <col min="10" max="10" width="26.140625" customWidth="1"/>
    <col min="11" max="11" width="20.42578125" customWidth="1"/>
    <col min="12" max="12" width="18.5703125" customWidth="1"/>
    <col min="13" max="13" width="17.140625" customWidth="1"/>
    <col min="14" max="14" width="23" customWidth="1"/>
    <col min="15" max="15" width="16.28515625" customWidth="1"/>
    <col min="16" max="16" width="22" customWidth="1"/>
    <col min="17" max="17" width="22.42578125" customWidth="1"/>
  </cols>
  <sheetData>
    <row r="1" spans="1:17" ht="15.75" customHeight="1">
      <c r="A1" s="41"/>
      <c r="B1" s="5"/>
      <c r="C1" s="6"/>
      <c r="D1" s="6"/>
      <c r="E1" s="6"/>
      <c r="F1" s="6"/>
      <c r="G1" s="6"/>
      <c r="H1" s="5"/>
      <c r="I1" s="7"/>
      <c r="J1" s="7"/>
      <c r="K1" s="5"/>
      <c r="L1" s="5"/>
      <c r="M1" s="7"/>
      <c r="N1" s="7"/>
      <c r="O1" s="7"/>
      <c r="P1" s="5"/>
      <c r="Q1" s="5"/>
    </row>
    <row r="2" spans="1:17" ht="15.75" customHeight="1">
      <c r="A2" s="41"/>
      <c r="B2" s="5"/>
      <c r="C2" s="6"/>
      <c r="D2" s="6"/>
      <c r="E2" s="6"/>
      <c r="F2" s="6"/>
      <c r="G2" s="6"/>
      <c r="H2" s="5"/>
      <c r="I2" s="7"/>
      <c r="J2" s="7"/>
      <c r="K2" s="5"/>
      <c r="L2" s="5"/>
      <c r="M2" s="7"/>
      <c r="N2" s="7"/>
      <c r="O2" s="7"/>
      <c r="P2" s="5"/>
      <c r="Q2" s="5"/>
    </row>
    <row r="3" spans="1:17" ht="15.75" customHeight="1">
      <c r="A3" s="41"/>
      <c r="B3" s="5"/>
      <c r="C3" s="6"/>
      <c r="D3" s="6"/>
      <c r="E3" s="6"/>
      <c r="F3" s="6"/>
      <c r="G3" s="6"/>
      <c r="H3" s="5"/>
      <c r="I3" s="7"/>
      <c r="J3" s="7"/>
      <c r="K3" s="5"/>
      <c r="L3" s="5"/>
      <c r="M3" s="7"/>
      <c r="N3" s="7"/>
      <c r="O3" s="7"/>
      <c r="P3" s="5"/>
      <c r="Q3" s="5"/>
    </row>
    <row r="4" spans="1:17" ht="15.75" customHeight="1">
      <c r="A4" s="41"/>
      <c r="B4" s="5"/>
      <c r="C4" s="108" t="s">
        <v>0</v>
      </c>
      <c r="D4" s="109"/>
      <c r="E4" s="109"/>
      <c r="F4" s="109"/>
      <c r="G4" s="110"/>
      <c r="H4" s="5"/>
      <c r="I4" s="7"/>
      <c r="J4" s="7"/>
      <c r="K4" s="5"/>
      <c r="L4" s="5"/>
      <c r="M4" s="7"/>
      <c r="N4" s="7"/>
      <c r="O4" s="7"/>
      <c r="P4" s="5"/>
      <c r="Q4" s="5"/>
    </row>
    <row r="5" spans="1:17" ht="15.75" customHeight="1">
      <c r="A5" s="41"/>
      <c r="B5" s="5"/>
      <c r="C5" s="108" t="s">
        <v>1</v>
      </c>
      <c r="D5" s="109"/>
      <c r="E5" s="109"/>
      <c r="F5" s="109"/>
      <c r="G5" s="110"/>
      <c r="H5" s="5"/>
      <c r="I5" s="7"/>
      <c r="J5" s="7"/>
      <c r="K5" s="5"/>
      <c r="L5" s="5"/>
      <c r="M5" s="7"/>
      <c r="N5" s="7"/>
      <c r="O5" s="7"/>
      <c r="P5" s="5"/>
      <c r="Q5" s="5"/>
    </row>
    <row r="6" spans="1:17" ht="15.75" customHeight="1">
      <c r="A6" s="41"/>
      <c r="B6" s="5"/>
      <c r="C6" s="108" t="s">
        <v>2</v>
      </c>
      <c r="D6" s="109"/>
      <c r="E6" s="109"/>
      <c r="F6" s="109"/>
      <c r="G6" s="110"/>
      <c r="H6" s="5"/>
      <c r="I6" s="7"/>
      <c r="J6" s="7"/>
      <c r="K6" s="5"/>
      <c r="L6" s="5"/>
      <c r="M6" s="7"/>
      <c r="N6" s="7"/>
      <c r="O6" s="7"/>
      <c r="P6" s="5"/>
      <c r="Q6" s="5"/>
    </row>
    <row r="7" spans="1:17" ht="15.75" customHeight="1">
      <c r="A7" s="41"/>
      <c r="B7" s="5"/>
      <c r="C7" s="108"/>
      <c r="D7" s="109"/>
      <c r="E7" s="109"/>
      <c r="F7" s="109"/>
      <c r="G7" s="110"/>
      <c r="H7" s="5"/>
      <c r="I7" s="7"/>
      <c r="J7" s="7"/>
      <c r="K7" s="5"/>
      <c r="L7" s="5"/>
      <c r="M7" s="7"/>
      <c r="N7" s="7"/>
      <c r="O7" s="7"/>
      <c r="P7" s="5"/>
      <c r="Q7" s="5"/>
    </row>
    <row r="8" spans="1:17" ht="15.75" customHeight="1">
      <c r="A8" s="41"/>
      <c r="B8" s="5"/>
      <c r="C8" s="8"/>
      <c r="D8" s="8"/>
      <c r="E8" s="8"/>
      <c r="F8" s="8"/>
      <c r="G8" s="8"/>
      <c r="H8" s="5"/>
      <c r="I8" s="7"/>
      <c r="J8" s="7"/>
      <c r="K8" s="5"/>
      <c r="L8" s="5"/>
      <c r="M8" s="7"/>
      <c r="N8" s="7"/>
      <c r="O8" s="7"/>
      <c r="P8" s="5"/>
      <c r="Q8" s="5"/>
    </row>
    <row r="9" spans="1:17" ht="15.75" customHeight="1">
      <c r="A9" s="41"/>
      <c r="B9" s="5"/>
      <c r="C9" s="6"/>
      <c r="D9" s="6"/>
      <c r="E9" s="6"/>
      <c r="F9" s="6"/>
      <c r="G9" s="6"/>
      <c r="H9" s="5"/>
      <c r="I9" s="7"/>
      <c r="J9" s="7"/>
      <c r="K9" s="5"/>
      <c r="L9" s="5"/>
      <c r="M9" s="7"/>
      <c r="N9" s="7"/>
      <c r="O9" s="7"/>
      <c r="P9" s="5"/>
      <c r="Q9" s="5"/>
    </row>
    <row r="10" spans="1:17" ht="15.75" customHeight="1">
      <c r="A10" s="41"/>
      <c r="B10" s="5"/>
      <c r="C10" s="6"/>
      <c r="D10" s="6"/>
      <c r="E10" s="6"/>
      <c r="F10" s="6"/>
      <c r="G10" s="6"/>
      <c r="H10" s="5"/>
      <c r="I10" s="7"/>
      <c r="J10" s="7"/>
      <c r="K10" s="5"/>
      <c r="L10" s="5"/>
      <c r="M10" s="7"/>
      <c r="N10" s="7"/>
      <c r="O10" s="7"/>
      <c r="P10" s="5"/>
      <c r="Q10" s="5"/>
    </row>
    <row r="11" spans="1:17" ht="15.75" customHeight="1">
      <c r="A11" s="41"/>
      <c r="B11" s="5"/>
      <c r="C11" s="6"/>
      <c r="D11" s="6"/>
      <c r="E11" s="6"/>
      <c r="F11" s="6"/>
      <c r="G11" s="6"/>
      <c r="H11" s="5"/>
      <c r="I11" s="7"/>
      <c r="J11" s="7"/>
      <c r="K11" s="5"/>
      <c r="L11" s="5"/>
      <c r="M11" s="7"/>
      <c r="N11" s="7"/>
      <c r="O11" s="7"/>
      <c r="P11" s="5"/>
      <c r="Q11" s="5"/>
    </row>
    <row r="12" spans="1:17" ht="15.75" customHeight="1">
      <c r="A12" s="42"/>
      <c r="B12" s="9"/>
      <c r="C12" s="9"/>
      <c r="D12" s="9"/>
      <c r="E12" s="9"/>
      <c r="F12" s="9"/>
      <c r="G12" s="9"/>
      <c r="H12" s="9"/>
      <c r="I12" s="10"/>
      <c r="J12" s="10"/>
      <c r="K12" s="9"/>
      <c r="L12" s="9"/>
      <c r="M12" s="10"/>
      <c r="N12" s="10"/>
      <c r="O12" s="10"/>
      <c r="P12" s="9"/>
      <c r="Q12" s="9"/>
    </row>
    <row r="13" spans="1:17" ht="15.75" customHeight="1">
      <c r="A13" s="11"/>
      <c r="B13" s="12" t="s">
        <v>3</v>
      </c>
      <c r="C13" s="111" t="s">
        <v>4</v>
      </c>
      <c r="D13" s="112"/>
      <c r="E13" s="112"/>
      <c r="F13" s="112"/>
      <c r="G13" s="113"/>
      <c r="H13" s="13"/>
      <c r="I13" s="10"/>
      <c r="J13" s="10"/>
      <c r="K13" s="9"/>
      <c r="L13" s="9"/>
      <c r="M13" s="10"/>
      <c r="N13" s="10"/>
      <c r="O13" s="10"/>
      <c r="P13" s="9"/>
      <c r="Q13" s="9"/>
    </row>
    <row r="14" spans="1:17" ht="36.75" customHeight="1">
      <c r="A14" s="11"/>
      <c r="B14" s="12" t="s">
        <v>5</v>
      </c>
      <c r="C14" s="114" t="s">
        <v>6</v>
      </c>
      <c r="D14" s="115"/>
      <c r="E14" s="115"/>
      <c r="F14" s="115"/>
      <c r="G14" s="116"/>
      <c r="H14" s="14" t="s">
        <v>7</v>
      </c>
      <c r="J14" s="10"/>
      <c r="K14" s="9"/>
      <c r="L14" s="9"/>
      <c r="M14" s="10"/>
      <c r="N14" s="10"/>
      <c r="O14" s="10"/>
      <c r="P14" s="9"/>
      <c r="Q14" s="9"/>
    </row>
    <row r="15" spans="1:17" ht="15.75" customHeight="1">
      <c r="A15" s="11"/>
      <c r="B15" s="12" t="s">
        <v>8</v>
      </c>
      <c r="C15" s="117" t="s">
        <v>9</v>
      </c>
      <c r="D15" s="115"/>
      <c r="E15" s="115"/>
      <c r="F15" s="115"/>
      <c r="G15" s="116"/>
      <c r="H15" s="14" t="s">
        <v>7</v>
      </c>
      <c r="I15" s="10"/>
      <c r="J15" s="10"/>
      <c r="K15" s="9"/>
      <c r="L15" s="9"/>
      <c r="M15" s="10"/>
      <c r="N15" s="10"/>
      <c r="O15" s="10"/>
      <c r="P15" s="9"/>
      <c r="Q15" s="9"/>
    </row>
    <row r="16" spans="1:17" ht="15.75" customHeight="1">
      <c r="A16" s="11"/>
      <c r="B16" s="12" t="s">
        <v>10</v>
      </c>
      <c r="C16" s="125" t="s">
        <v>11</v>
      </c>
      <c r="D16" s="115"/>
      <c r="E16" s="115"/>
      <c r="F16" s="115"/>
      <c r="G16" s="116"/>
      <c r="H16" s="15"/>
      <c r="I16" s="10"/>
      <c r="J16" s="10"/>
      <c r="K16" s="9"/>
      <c r="L16" s="9"/>
      <c r="M16" s="10"/>
      <c r="N16" s="10"/>
      <c r="O16" s="10"/>
      <c r="P16" s="9"/>
      <c r="Q16" s="9"/>
    </row>
    <row r="17" spans="1:17" ht="15.75" customHeight="1">
      <c r="A17" s="11"/>
      <c r="B17" s="12" t="s">
        <v>12</v>
      </c>
      <c r="C17" s="117" t="s">
        <v>13</v>
      </c>
      <c r="D17" s="115"/>
      <c r="E17" s="115"/>
      <c r="F17" s="115"/>
      <c r="G17" s="116"/>
      <c r="H17" s="14" t="s">
        <v>7</v>
      </c>
      <c r="I17" s="10"/>
      <c r="J17" s="10"/>
      <c r="K17" s="9"/>
      <c r="M17" s="10"/>
      <c r="N17" s="10"/>
      <c r="O17" s="10"/>
      <c r="P17" s="9"/>
      <c r="Q17" s="9"/>
    </row>
    <row r="18" spans="1:17" ht="15.75" customHeight="1">
      <c r="A18" s="16"/>
      <c r="B18" s="12" t="s">
        <v>14</v>
      </c>
      <c r="C18" s="117" t="s">
        <v>15</v>
      </c>
      <c r="D18" s="115"/>
      <c r="E18" s="115"/>
      <c r="F18" s="115"/>
      <c r="G18" s="116"/>
      <c r="H18" s="14" t="s">
        <v>7</v>
      </c>
      <c r="I18" s="10"/>
      <c r="J18" s="10"/>
      <c r="K18" s="9"/>
      <c r="L18" s="9"/>
      <c r="M18" s="10"/>
      <c r="N18" s="10"/>
      <c r="O18" s="10"/>
      <c r="P18" s="9"/>
      <c r="Q18" s="9"/>
    </row>
    <row r="19" spans="1:17" ht="15.75" hidden="1" customHeight="1">
      <c r="A19" s="17"/>
      <c r="B19" s="12" t="s">
        <v>16</v>
      </c>
      <c r="C19" s="117"/>
      <c r="D19" s="115"/>
      <c r="E19" s="115"/>
      <c r="F19" s="115"/>
      <c r="G19" s="116"/>
      <c r="H19" s="13"/>
      <c r="I19" s="10"/>
      <c r="J19" s="10"/>
      <c r="K19" s="9"/>
      <c r="L19" s="9"/>
      <c r="M19" s="10"/>
      <c r="N19" s="10"/>
      <c r="O19" s="10"/>
      <c r="P19" s="9"/>
      <c r="Q19" s="9"/>
    </row>
    <row r="20" spans="1:17" ht="15.75" customHeight="1">
      <c r="A20" s="18"/>
      <c r="B20" s="12" t="s">
        <v>16</v>
      </c>
      <c r="C20" s="117" t="s">
        <v>17</v>
      </c>
      <c r="D20" s="115"/>
      <c r="E20" s="115"/>
      <c r="F20" s="115"/>
      <c r="G20" s="116"/>
      <c r="H20" s="14" t="s">
        <v>7</v>
      </c>
      <c r="I20" s="10"/>
      <c r="J20" s="10"/>
      <c r="K20" s="9"/>
      <c r="L20" s="9"/>
      <c r="M20" s="10"/>
      <c r="N20" s="10"/>
      <c r="O20" s="10"/>
      <c r="P20" s="9"/>
      <c r="Q20" s="9"/>
    </row>
    <row r="21" spans="1:17" ht="43.5" customHeight="1">
      <c r="A21" s="118" t="s">
        <v>18</v>
      </c>
      <c r="B21" s="12" t="s">
        <v>19</v>
      </c>
      <c r="C21" s="117" t="s">
        <v>20</v>
      </c>
      <c r="D21" s="115"/>
      <c r="E21" s="115"/>
      <c r="F21" s="115"/>
      <c r="G21" s="116"/>
      <c r="H21" s="14" t="s">
        <v>7</v>
      </c>
      <c r="J21" s="10"/>
      <c r="K21" s="9"/>
      <c r="L21" s="9"/>
      <c r="M21" s="10"/>
      <c r="N21" s="10"/>
      <c r="O21" s="10"/>
      <c r="P21" s="9"/>
      <c r="Q21" s="9"/>
    </row>
    <row r="22" spans="1:17" ht="51.75" customHeight="1">
      <c r="A22" s="119"/>
      <c r="B22" s="19" t="s">
        <v>21</v>
      </c>
      <c r="C22" s="126" t="s">
        <v>22</v>
      </c>
      <c r="D22" s="127"/>
      <c r="E22" s="127"/>
      <c r="F22" s="127"/>
      <c r="G22" s="128"/>
      <c r="H22" s="14" t="s">
        <v>7</v>
      </c>
      <c r="I22" s="10"/>
      <c r="J22" s="10"/>
      <c r="K22" s="9"/>
      <c r="L22" s="9"/>
      <c r="M22" s="10"/>
      <c r="N22" s="10"/>
      <c r="O22" s="10"/>
      <c r="P22" s="9"/>
      <c r="Q22" s="9"/>
    </row>
    <row r="23" spans="1:17" ht="31.5" customHeight="1">
      <c r="A23" s="118" t="s">
        <v>23</v>
      </c>
      <c r="B23" s="12" t="s">
        <v>24</v>
      </c>
      <c r="C23" s="121" t="s">
        <v>13</v>
      </c>
      <c r="D23" s="115"/>
      <c r="E23" s="115"/>
      <c r="F23" s="115"/>
      <c r="G23" s="116"/>
      <c r="H23" s="14" t="s">
        <v>7</v>
      </c>
      <c r="I23" s="10"/>
      <c r="J23" s="10"/>
      <c r="K23" s="9"/>
      <c r="L23" s="9"/>
      <c r="M23" s="10"/>
      <c r="N23" s="10"/>
      <c r="O23" s="10"/>
      <c r="P23" s="9"/>
      <c r="Q23" s="9"/>
    </row>
    <row r="24" spans="1:17" ht="72" customHeight="1">
      <c r="A24" s="119"/>
      <c r="B24" s="12" t="s">
        <v>25</v>
      </c>
      <c r="C24" s="122" t="s">
        <v>26</v>
      </c>
      <c r="D24" s="115"/>
      <c r="E24" s="115"/>
      <c r="F24" s="115"/>
      <c r="G24" s="116"/>
      <c r="H24" s="14" t="s">
        <v>7</v>
      </c>
      <c r="I24" s="10"/>
      <c r="J24" s="10"/>
      <c r="K24" s="9"/>
      <c r="L24" s="9"/>
      <c r="M24" s="10"/>
      <c r="N24" s="10"/>
      <c r="O24" s="10"/>
      <c r="P24" s="9"/>
      <c r="Q24" s="9"/>
    </row>
    <row r="25" spans="1:17" ht="31.5" customHeight="1">
      <c r="A25" s="118" t="s">
        <v>27</v>
      </c>
      <c r="B25" s="12" t="s">
        <v>28</v>
      </c>
      <c r="C25" s="121" t="s">
        <v>29</v>
      </c>
      <c r="D25" s="115"/>
      <c r="E25" s="115"/>
      <c r="F25" s="115"/>
      <c r="G25" s="116"/>
      <c r="H25" s="14" t="s">
        <v>7</v>
      </c>
      <c r="I25" s="10"/>
      <c r="J25" s="10"/>
      <c r="K25" s="9"/>
      <c r="L25" s="9"/>
      <c r="M25" s="10"/>
      <c r="N25" s="10"/>
      <c r="O25" s="10"/>
      <c r="P25" s="9"/>
      <c r="Q25" s="9"/>
    </row>
    <row r="26" spans="1:17" ht="43.5" customHeight="1">
      <c r="A26" s="120"/>
      <c r="B26" s="12" t="s">
        <v>30</v>
      </c>
      <c r="C26" s="123" t="s">
        <v>31</v>
      </c>
      <c r="D26" s="115"/>
      <c r="E26" s="115"/>
      <c r="F26" s="115"/>
      <c r="G26" s="116"/>
      <c r="H26" s="14" t="s">
        <v>7</v>
      </c>
      <c r="I26" s="10"/>
      <c r="J26" s="10"/>
      <c r="K26" s="9"/>
      <c r="L26" s="9"/>
      <c r="M26" s="10"/>
      <c r="N26" s="10"/>
      <c r="O26" s="10"/>
      <c r="P26" s="9"/>
      <c r="Q26" s="9"/>
    </row>
    <row r="27" spans="1:17" ht="33" customHeight="1">
      <c r="A27" s="120"/>
      <c r="B27" s="12" t="s">
        <v>32</v>
      </c>
      <c r="C27" s="122" t="s">
        <v>33</v>
      </c>
      <c r="D27" s="115"/>
      <c r="E27" s="115"/>
      <c r="F27" s="115"/>
      <c r="G27" s="116"/>
      <c r="H27" s="14" t="s">
        <v>7</v>
      </c>
      <c r="I27" s="10"/>
      <c r="J27" s="10"/>
      <c r="K27" s="9"/>
      <c r="L27" s="9"/>
      <c r="M27" s="10"/>
      <c r="N27" s="10"/>
      <c r="O27" s="10"/>
      <c r="P27" s="9"/>
      <c r="Q27" s="9"/>
    </row>
    <row r="28" spans="1:17" ht="40.5" customHeight="1">
      <c r="A28" s="119"/>
      <c r="B28" s="12" t="s">
        <v>34</v>
      </c>
      <c r="C28" s="122" t="s">
        <v>35</v>
      </c>
      <c r="D28" s="115"/>
      <c r="E28" s="115"/>
      <c r="F28" s="115"/>
      <c r="G28" s="116"/>
      <c r="H28" s="9"/>
      <c r="I28" s="10"/>
      <c r="J28" s="10"/>
      <c r="K28" s="9"/>
      <c r="L28" s="9"/>
      <c r="M28" s="10"/>
      <c r="N28" s="20"/>
      <c r="O28" s="20"/>
      <c r="P28" s="9"/>
      <c r="Q28" s="9"/>
    </row>
    <row r="29" spans="1:17" ht="15.75" customHeight="1">
      <c r="A29" s="16"/>
      <c r="B29" s="21"/>
      <c r="C29" s="22"/>
      <c r="D29" s="23"/>
      <c r="E29" s="23"/>
      <c r="F29" s="23"/>
      <c r="G29" s="23"/>
      <c r="H29" s="9"/>
      <c r="I29" s="10"/>
      <c r="J29" s="10"/>
      <c r="K29" s="9"/>
      <c r="L29" s="9"/>
      <c r="M29" s="10"/>
      <c r="N29" s="20"/>
      <c r="O29" s="20"/>
      <c r="P29" s="9"/>
      <c r="Q29" s="9"/>
    </row>
    <row r="30" spans="1:17" ht="15.75" customHeight="1">
      <c r="A30" s="16"/>
      <c r="B30" s="24" t="s">
        <v>36</v>
      </c>
      <c r="C30" s="124"/>
      <c r="D30" s="112"/>
      <c r="E30" s="112"/>
      <c r="F30" s="112"/>
      <c r="G30" s="113"/>
      <c r="H30" s="13"/>
      <c r="I30" s="10"/>
      <c r="J30" s="10"/>
      <c r="K30" s="9"/>
      <c r="L30" s="9"/>
      <c r="M30" s="10"/>
      <c r="N30" s="10"/>
      <c r="O30" s="10"/>
      <c r="P30" s="9"/>
      <c r="Q30" s="9"/>
    </row>
    <row r="31" spans="1:17" ht="15.75" customHeight="1">
      <c r="A31" s="25"/>
      <c r="B31" s="9"/>
      <c r="C31" s="21"/>
      <c r="D31" s="21"/>
      <c r="E31" s="21"/>
      <c r="F31" s="21"/>
      <c r="G31" s="21"/>
      <c r="H31" s="26"/>
      <c r="I31" s="26"/>
      <c r="J31" s="26"/>
      <c r="K31" s="26"/>
      <c r="L31" s="26"/>
      <c r="M31" s="26"/>
      <c r="N31" s="26"/>
      <c r="O31" s="26"/>
      <c r="P31" s="26"/>
      <c r="Q31" s="26"/>
    </row>
    <row r="32" spans="1:17" ht="78.75">
      <c r="A32" s="27" t="s">
        <v>37</v>
      </c>
      <c r="B32" s="24" t="s">
        <v>38</v>
      </c>
      <c r="C32" s="43" t="s">
        <v>39</v>
      </c>
      <c r="D32" s="43" t="s">
        <v>40</v>
      </c>
      <c r="E32" s="43" t="s">
        <v>41</v>
      </c>
      <c r="F32" s="43" t="s">
        <v>42</v>
      </c>
      <c r="G32" s="43" t="s">
        <v>43</v>
      </c>
      <c r="H32" s="43" t="s">
        <v>44</v>
      </c>
      <c r="I32" s="44" t="s">
        <v>45</v>
      </c>
      <c r="J32" s="44" t="s">
        <v>46</v>
      </c>
      <c r="K32" s="43" t="s">
        <v>47</v>
      </c>
      <c r="L32" s="43" t="s">
        <v>48</v>
      </c>
      <c r="M32" s="44" t="s">
        <v>49</v>
      </c>
      <c r="N32" s="44" t="s">
        <v>50</v>
      </c>
      <c r="O32" s="28" t="s">
        <v>51</v>
      </c>
      <c r="P32" s="24" t="s">
        <v>52</v>
      </c>
      <c r="Q32" s="43" t="s">
        <v>53</v>
      </c>
    </row>
    <row r="33" spans="1:17" ht="165.75" customHeight="1">
      <c r="A33" s="11"/>
      <c r="B33" s="45" t="s">
        <v>54</v>
      </c>
      <c r="C33" s="46" t="s">
        <v>55</v>
      </c>
      <c r="D33" s="46" t="s">
        <v>56</v>
      </c>
      <c r="E33" s="46" t="s">
        <v>68</v>
      </c>
      <c r="F33" s="46" t="s">
        <v>58</v>
      </c>
      <c r="G33" s="46" t="s">
        <v>59</v>
      </c>
      <c r="H33" s="47" t="s">
        <v>60</v>
      </c>
      <c r="I33" s="48">
        <v>1650</v>
      </c>
      <c r="J33" s="49">
        <v>1650</v>
      </c>
      <c r="K33" s="46" t="s">
        <v>61</v>
      </c>
      <c r="L33" s="46" t="s">
        <v>62</v>
      </c>
      <c r="M33" s="30">
        <v>1726</v>
      </c>
      <c r="N33" s="30">
        <f>N36+(N38/3)</f>
        <v>1650</v>
      </c>
      <c r="O33" s="50">
        <v>1.0892929292929292</v>
      </c>
      <c r="P33" s="51" t="s">
        <v>63</v>
      </c>
      <c r="Q33" s="46" t="s">
        <v>64</v>
      </c>
    </row>
    <row r="34" spans="1:17" ht="151.5" customHeight="1">
      <c r="A34" s="31"/>
      <c r="B34" s="45" t="s">
        <v>65</v>
      </c>
      <c r="C34" s="46" t="s">
        <v>66</v>
      </c>
      <c r="D34" s="46" t="s">
        <v>67</v>
      </c>
      <c r="E34" s="46" t="s">
        <v>57</v>
      </c>
      <c r="F34" s="46" t="s">
        <v>58</v>
      </c>
      <c r="G34" s="46" t="s">
        <v>59</v>
      </c>
      <c r="H34" s="47" t="s">
        <v>69</v>
      </c>
      <c r="I34" s="52">
        <v>54400</v>
      </c>
      <c r="J34" s="49">
        <v>54400</v>
      </c>
      <c r="K34" s="46" t="s">
        <v>61</v>
      </c>
      <c r="L34" s="46" t="s">
        <v>62</v>
      </c>
      <c r="M34" s="33">
        <v>57207</v>
      </c>
      <c r="N34" s="32">
        <f>SUM(N37,N40)</f>
        <v>54400</v>
      </c>
      <c r="O34" s="50">
        <v>0.63448529411764709</v>
      </c>
      <c r="P34" s="51" t="s">
        <v>70</v>
      </c>
      <c r="Q34" s="46" t="s">
        <v>71</v>
      </c>
    </row>
    <row r="35" spans="1:17" ht="146.25" customHeight="1">
      <c r="A35" s="53" t="s">
        <v>72</v>
      </c>
      <c r="B35" s="54" t="s">
        <v>73</v>
      </c>
      <c r="C35" s="46" t="s">
        <v>74</v>
      </c>
      <c r="D35" s="46" t="s">
        <v>75</v>
      </c>
      <c r="E35" s="46" t="s">
        <v>76</v>
      </c>
      <c r="F35" s="46" t="s">
        <v>58</v>
      </c>
      <c r="G35" s="46" t="s">
        <v>77</v>
      </c>
      <c r="H35" s="46" t="s">
        <v>78</v>
      </c>
      <c r="I35" s="52">
        <v>550</v>
      </c>
      <c r="J35" s="49">
        <v>550</v>
      </c>
      <c r="K35" s="46" t="s">
        <v>79</v>
      </c>
      <c r="L35" s="46" t="s">
        <v>62</v>
      </c>
      <c r="M35" s="35">
        <v>561</v>
      </c>
      <c r="N35" s="35">
        <v>550</v>
      </c>
      <c r="O35" s="50">
        <v>0.62</v>
      </c>
      <c r="P35" s="55" t="s">
        <v>63</v>
      </c>
      <c r="Q35" s="56" t="s">
        <v>80</v>
      </c>
    </row>
    <row r="36" spans="1:17" ht="133.5" customHeight="1">
      <c r="A36" s="11"/>
      <c r="B36" s="45" t="s">
        <v>81</v>
      </c>
      <c r="C36" s="46" t="s">
        <v>82</v>
      </c>
      <c r="D36" s="46" t="s">
        <v>120</v>
      </c>
      <c r="E36" s="46" t="s">
        <v>121</v>
      </c>
      <c r="F36" s="46" t="s">
        <v>58</v>
      </c>
      <c r="G36" s="46" t="s">
        <v>77</v>
      </c>
      <c r="H36" s="46" t="s">
        <v>84</v>
      </c>
      <c r="I36" s="52">
        <v>1550</v>
      </c>
      <c r="J36" s="49">
        <v>1550</v>
      </c>
      <c r="K36" s="46" t="s">
        <v>79</v>
      </c>
      <c r="L36" s="46" t="s">
        <v>62</v>
      </c>
      <c r="M36" s="35">
        <v>1576</v>
      </c>
      <c r="N36" s="35">
        <v>1550</v>
      </c>
      <c r="O36" s="50">
        <v>0.93483870967741933</v>
      </c>
      <c r="P36" s="51" t="s">
        <v>85</v>
      </c>
      <c r="Q36" s="46" t="s">
        <v>86</v>
      </c>
    </row>
    <row r="37" spans="1:17" ht="133.5" customHeight="1">
      <c r="A37" s="11"/>
      <c r="B37" s="45" t="s">
        <v>87</v>
      </c>
      <c r="C37" s="46" t="s">
        <v>88</v>
      </c>
      <c r="D37" s="46" t="s">
        <v>89</v>
      </c>
      <c r="E37" s="46" t="s">
        <v>90</v>
      </c>
      <c r="F37" s="46" t="s">
        <v>58</v>
      </c>
      <c r="G37" s="46" t="s">
        <v>77</v>
      </c>
      <c r="H37" s="46" t="s">
        <v>91</v>
      </c>
      <c r="I37" s="52">
        <v>48000</v>
      </c>
      <c r="J37" s="49">
        <v>48000</v>
      </c>
      <c r="K37" s="46" t="s">
        <v>79</v>
      </c>
      <c r="L37" s="46" t="s">
        <v>62</v>
      </c>
      <c r="M37" s="35">
        <v>48102</v>
      </c>
      <c r="N37" s="35">
        <v>48000</v>
      </c>
      <c r="O37" s="50">
        <v>0.62758333333333338</v>
      </c>
      <c r="P37" s="51" t="s">
        <v>92</v>
      </c>
      <c r="Q37" s="46" t="s">
        <v>93</v>
      </c>
    </row>
    <row r="38" spans="1:17" ht="133.5" customHeight="1">
      <c r="A38" s="57" t="s">
        <v>94</v>
      </c>
      <c r="B38" s="45" t="s">
        <v>95</v>
      </c>
      <c r="C38" s="46" t="s">
        <v>96</v>
      </c>
      <c r="D38" s="46" t="s">
        <v>97</v>
      </c>
      <c r="E38" s="46" t="s">
        <v>98</v>
      </c>
      <c r="F38" s="46" t="s">
        <v>58</v>
      </c>
      <c r="G38" s="46" t="s">
        <v>59</v>
      </c>
      <c r="H38" s="46" t="s">
        <v>99</v>
      </c>
      <c r="I38" s="52">
        <v>1200</v>
      </c>
      <c r="J38" s="49">
        <v>4</v>
      </c>
      <c r="K38" s="46" t="s">
        <v>100</v>
      </c>
      <c r="L38" s="46" t="s">
        <v>101</v>
      </c>
      <c r="M38" s="35">
        <v>451</v>
      </c>
      <c r="N38" s="37">
        <v>300</v>
      </c>
      <c r="O38" s="58">
        <v>261.25</v>
      </c>
      <c r="P38" s="51" t="s">
        <v>102</v>
      </c>
      <c r="Q38" s="46" t="s">
        <v>103</v>
      </c>
    </row>
    <row r="39" spans="1:17" ht="133.5" customHeight="1">
      <c r="A39" s="31"/>
      <c r="B39" s="45" t="s">
        <v>104</v>
      </c>
      <c r="C39" s="46" t="s">
        <v>105</v>
      </c>
      <c r="D39" s="46" t="s">
        <v>106</v>
      </c>
      <c r="E39" s="46" t="s">
        <v>107</v>
      </c>
      <c r="F39" s="46" t="s">
        <v>58</v>
      </c>
      <c r="G39" s="46" t="s">
        <v>77</v>
      </c>
      <c r="H39" s="46" t="s">
        <v>108</v>
      </c>
      <c r="I39" s="52">
        <v>160</v>
      </c>
      <c r="J39" s="49">
        <v>160</v>
      </c>
      <c r="K39" s="46" t="s">
        <v>79</v>
      </c>
      <c r="L39" s="46" t="s">
        <v>62</v>
      </c>
      <c r="M39" s="35">
        <v>172</v>
      </c>
      <c r="N39" s="38">
        <v>160</v>
      </c>
      <c r="O39" s="50">
        <v>0.80625000000000002</v>
      </c>
      <c r="P39" s="51" t="s">
        <v>109</v>
      </c>
      <c r="Q39" s="46" t="s">
        <v>110</v>
      </c>
    </row>
    <row r="40" spans="1:17" ht="133.5" customHeight="1">
      <c r="A40" s="39"/>
      <c r="B40" s="45" t="s">
        <v>111</v>
      </c>
      <c r="C40" s="46" t="s">
        <v>112</v>
      </c>
      <c r="D40" s="46" t="s">
        <v>113</v>
      </c>
      <c r="E40" s="46" t="s">
        <v>114</v>
      </c>
      <c r="F40" s="46" t="s">
        <v>58</v>
      </c>
      <c r="G40" s="46" t="s">
        <v>77</v>
      </c>
      <c r="H40" s="46" t="s">
        <v>115</v>
      </c>
      <c r="I40" s="52">
        <v>6400</v>
      </c>
      <c r="J40" s="49">
        <v>6400</v>
      </c>
      <c r="K40" s="46" t="s">
        <v>79</v>
      </c>
      <c r="L40" s="46" t="s">
        <v>62</v>
      </c>
      <c r="M40" s="35">
        <v>9105</v>
      </c>
      <c r="N40" s="38">
        <v>6400</v>
      </c>
      <c r="O40" s="50">
        <v>0.68625000000000003</v>
      </c>
      <c r="P40" s="51" t="s">
        <v>116</v>
      </c>
      <c r="Q40" s="46" t="s">
        <v>117</v>
      </c>
    </row>
  </sheetData>
  <mergeCells count="24">
    <mergeCell ref="C30:G30"/>
    <mergeCell ref="C16:G16"/>
    <mergeCell ref="C17:G17"/>
    <mergeCell ref="C18:G18"/>
    <mergeCell ref="C19:G19"/>
    <mergeCell ref="C20:G20"/>
    <mergeCell ref="C21:G21"/>
    <mergeCell ref="C22:G22"/>
    <mergeCell ref="C14:G14"/>
    <mergeCell ref="C15:G15"/>
    <mergeCell ref="A21:A22"/>
    <mergeCell ref="A23:A24"/>
    <mergeCell ref="A25:A28"/>
    <mergeCell ref="C23:G23"/>
    <mergeCell ref="C24:G24"/>
    <mergeCell ref="C25:G25"/>
    <mergeCell ref="C26:G26"/>
    <mergeCell ref="C27:G27"/>
    <mergeCell ref="C28:G28"/>
    <mergeCell ref="C4:G4"/>
    <mergeCell ref="C5:G5"/>
    <mergeCell ref="C6:G6"/>
    <mergeCell ref="C7:G7"/>
    <mergeCell ref="C13:G13"/>
  </mergeCells>
  <dataValidations count="1">
    <dataValidation type="list" allowBlank="1" showErrorMessage="1" sqref="A35 A38" xr:uid="{00000000-0002-0000-0000-000000000000}">
      <formula1>#REF!</formula1>
    </dataValidation>
  </dataValidations>
  <printOptions gridLines="1"/>
  <pageMargins left="0.31496062992125984" right="0.31496062992125984" top="0.39370078740157477" bottom="0.39370078740157477" header="0" footer="0"/>
  <pageSetup paperSize="5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52"/>
  <sheetViews>
    <sheetView topLeftCell="B1" workbookViewId="0"/>
  </sheetViews>
  <sheetFormatPr baseColWidth="10" defaultColWidth="12.5703125" defaultRowHeight="15" customHeight="1"/>
  <cols>
    <col min="1" max="1" width="14.7109375" hidden="1" customWidth="1"/>
    <col min="2" max="2" width="28.85546875" customWidth="1"/>
    <col min="3" max="3" width="22.42578125" hidden="1" customWidth="1"/>
    <col min="4" max="4" width="22" customWidth="1"/>
    <col min="5" max="5" width="23.42578125" customWidth="1"/>
    <col min="6" max="6" width="15.5703125" customWidth="1"/>
    <col min="7" max="7" width="12.28515625" customWidth="1"/>
    <col min="8" max="15" width="9.42578125" customWidth="1"/>
    <col min="16" max="16" width="14.42578125" customWidth="1"/>
  </cols>
  <sheetData>
    <row r="1" spans="1:16">
      <c r="A1" s="59"/>
      <c r="B1" s="59"/>
      <c r="C1" s="60"/>
      <c r="D1" s="59"/>
      <c r="E1" s="132" t="s">
        <v>122</v>
      </c>
      <c r="F1" s="133"/>
      <c r="G1" s="134"/>
      <c r="H1" s="59"/>
      <c r="I1" s="59"/>
      <c r="J1" s="59"/>
      <c r="K1" s="59"/>
      <c r="L1" s="59"/>
      <c r="M1" s="59"/>
      <c r="N1" s="59"/>
      <c r="O1" s="59"/>
      <c r="P1" s="59"/>
    </row>
    <row r="2" spans="1:16" ht="12.75">
      <c r="A2" s="59"/>
      <c r="B2" s="59"/>
      <c r="C2" s="59"/>
      <c r="D2" s="59"/>
      <c r="E2" s="135"/>
      <c r="F2" s="136"/>
      <c r="G2" s="137"/>
      <c r="H2" s="59"/>
      <c r="I2" s="59"/>
      <c r="J2" s="59"/>
      <c r="K2" s="59"/>
      <c r="L2" s="59"/>
      <c r="M2" s="59"/>
      <c r="N2" s="59"/>
      <c r="O2" s="59"/>
      <c r="P2" s="59"/>
    </row>
    <row r="3" spans="1:16" ht="12.75">
      <c r="A3" s="59"/>
      <c r="B3" s="59"/>
      <c r="C3" s="59"/>
      <c r="D3" s="59"/>
      <c r="E3" s="138"/>
      <c r="F3" s="139"/>
      <c r="G3" s="140"/>
      <c r="H3" s="59"/>
      <c r="I3" s="59"/>
      <c r="J3" s="59"/>
      <c r="K3" s="59"/>
      <c r="L3" s="59"/>
      <c r="M3" s="59"/>
      <c r="N3" s="59"/>
      <c r="O3" s="59"/>
      <c r="P3" s="59"/>
    </row>
    <row r="4" spans="1:16" ht="23.25">
      <c r="A4" s="59"/>
      <c r="B4" s="59"/>
      <c r="C4" s="59"/>
      <c r="D4" s="141" t="s">
        <v>123</v>
      </c>
      <c r="E4" s="130"/>
      <c r="F4" s="130"/>
      <c r="G4" s="130"/>
      <c r="H4" s="130"/>
      <c r="I4" s="131"/>
      <c r="J4" s="59"/>
      <c r="K4" s="59"/>
      <c r="L4" s="59"/>
      <c r="M4" s="59"/>
      <c r="N4" s="59"/>
      <c r="O4" s="59"/>
      <c r="P4" s="59"/>
    </row>
    <row r="5" spans="1:16" ht="28.5">
      <c r="A5" s="59"/>
      <c r="B5" s="59"/>
      <c r="C5" s="59"/>
      <c r="D5" s="59"/>
      <c r="E5" s="129" t="s">
        <v>124</v>
      </c>
      <c r="F5" s="130"/>
      <c r="G5" s="131"/>
      <c r="H5" s="59"/>
      <c r="I5" s="59"/>
      <c r="J5" s="59"/>
      <c r="K5" s="59"/>
      <c r="L5" s="59"/>
      <c r="M5" s="59"/>
      <c r="N5" s="59"/>
      <c r="O5" s="59"/>
      <c r="P5" s="59"/>
    </row>
    <row r="6" spans="1:16" ht="28.5">
      <c r="A6" s="59"/>
      <c r="B6" s="59"/>
      <c r="C6" s="59"/>
      <c r="D6" s="59"/>
      <c r="E6" s="129" t="s">
        <v>1</v>
      </c>
      <c r="F6" s="130"/>
      <c r="G6" s="131"/>
      <c r="H6" s="59"/>
      <c r="I6" s="59"/>
      <c r="J6" s="59"/>
      <c r="K6" s="59"/>
      <c r="L6" s="59"/>
      <c r="M6" s="59"/>
      <c r="N6" s="59"/>
      <c r="O6" s="59"/>
      <c r="P6" s="59"/>
    </row>
    <row r="7" spans="1:16" ht="28.5">
      <c r="A7" s="59"/>
      <c r="B7" s="59"/>
      <c r="C7" s="59"/>
      <c r="D7" s="59"/>
      <c r="E7" s="129" t="s">
        <v>142</v>
      </c>
      <c r="F7" s="130"/>
      <c r="G7" s="131"/>
      <c r="H7" s="59"/>
      <c r="I7" s="59"/>
      <c r="J7" s="59"/>
      <c r="K7" s="59"/>
      <c r="L7" s="59"/>
      <c r="M7" s="59"/>
      <c r="N7" s="59"/>
      <c r="O7" s="59"/>
      <c r="P7" s="59"/>
    </row>
    <row r="8" spans="1:16">
      <c r="A8" s="59"/>
      <c r="B8" s="59"/>
      <c r="C8" s="59"/>
      <c r="D8" s="59"/>
      <c r="E8" s="60"/>
      <c r="F8" s="61"/>
      <c r="G8" s="61"/>
      <c r="H8" s="59"/>
      <c r="I8" s="59"/>
      <c r="J8" s="59"/>
      <c r="K8" s="59"/>
      <c r="L8" s="59"/>
      <c r="M8" s="59"/>
      <c r="N8" s="59"/>
      <c r="O8" s="59"/>
      <c r="P8" s="59"/>
    </row>
    <row r="9" spans="1:16" ht="28.5">
      <c r="A9" s="59"/>
      <c r="B9" s="129" t="s">
        <v>143</v>
      </c>
      <c r="C9" s="130"/>
      <c r="D9" s="130"/>
      <c r="E9" s="130"/>
      <c r="F9" s="130"/>
      <c r="G9" s="130"/>
      <c r="H9" s="130"/>
      <c r="I9" s="130"/>
      <c r="J9" s="130"/>
      <c r="K9" s="130"/>
      <c r="L9" s="130"/>
      <c r="M9" s="130"/>
      <c r="N9" s="130"/>
      <c r="O9" s="130"/>
      <c r="P9" s="131"/>
    </row>
    <row r="10" spans="1:16" ht="15.75">
      <c r="A10" s="59"/>
      <c r="B10" s="59"/>
      <c r="C10" s="59"/>
      <c r="D10" s="59"/>
      <c r="E10" s="62"/>
      <c r="F10" s="60"/>
      <c r="G10" s="59"/>
      <c r="H10" s="59"/>
      <c r="I10" s="59"/>
      <c r="J10" s="59"/>
      <c r="K10" s="59"/>
      <c r="L10" s="59"/>
      <c r="M10" s="59"/>
      <c r="N10" s="59"/>
      <c r="O10" s="59"/>
      <c r="P10" s="59"/>
    </row>
    <row r="11" spans="1:16" ht="15.75">
      <c r="A11" s="63"/>
      <c r="B11" s="63"/>
      <c r="C11" s="64"/>
      <c r="D11" s="63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5"/>
    </row>
    <row r="12" spans="1:16" ht="36">
      <c r="A12" s="66" t="s">
        <v>125</v>
      </c>
      <c r="B12" s="66" t="s">
        <v>126</v>
      </c>
      <c r="C12" s="24" t="s">
        <v>38</v>
      </c>
      <c r="D12" s="66" t="s">
        <v>39</v>
      </c>
      <c r="E12" s="66" t="s">
        <v>40</v>
      </c>
      <c r="F12" s="67" t="s">
        <v>127</v>
      </c>
      <c r="G12" s="67" t="s">
        <v>128</v>
      </c>
      <c r="H12" s="67" t="s">
        <v>129</v>
      </c>
      <c r="I12" s="67" t="s">
        <v>130</v>
      </c>
      <c r="J12" s="67" t="s">
        <v>131</v>
      </c>
      <c r="K12" s="67" t="s">
        <v>132</v>
      </c>
      <c r="L12" s="67" t="s">
        <v>133</v>
      </c>
      <c r="M12" s="67" t="s">
        <v>134</v>
      </c>
      <c r="N12" s="67" t="s">
        <v>135</v>
      </c>
      <c r="O12" s="66" t="s">
        <v>136</v>
      </c>
      <c r="P12" s="66" t="s">
        <v>137</v>
      </c>
    </row>
    <row r="13" spans="1:16" ht="156.75" hidden="1">
      <c r="A13" s="29"/>
      <c r="B13" s="29"/>
      <c r="C13" s="29" t="s">
        <v>54</v>
      </c>
      <c r="D13" s="36" t="s">
        <v>138</v>
      </c>
      <c r="E13" s="36" t="s">
        <v>139</v>
      </c>
      <c r="F13" s="36"/>
      <c r="G13" s="36"/>
      <c r="H13" s="36"/>
      <c r="I13" s="36"/>
      <c r="J13" s="36"/>
      <c r="K13" s="68"/>
      <c r="L13" s="36"/>
      <c r="M13" s="36"/>
      <c r="N13" s="36"/>
      <c r="O13" s="36"/>
      <c r="P13" s="67"/>
    </row>
    <row r="14" spans="1:16" ht="171" hidden="1">
      <c r="A14" s="34"/>
      <c r="B14" s="34"/>
      <c r="C14" s="34" t="s">
        <v>65</v>
      </c>
      <c r="D14" s="36" t="s">
        <v>140</v>
      </c>
      <c r="E14" s="36" t="s">
        <v>141</v>
      </c>
      <c r="F14" s="69"/>
      <c r="G14" s="69"/>
      <c r="H14" s="69"/>
      <c r="I14" s="69"/>
      <c r="J14" s="69"/>
      <c r="K14" s="70"/>
      <c r="L14" s="69"/>
      <c r="M14" s="69"/>
      <c r="N14" s="69"/>
      <c r="O14" s="69"/>
      <c r="P14" s="67"/>
    </row>
    <row r="15" spans="1:16" ht="108" hidden="1">
      <c r="A15" s="71" t="str">
        <f ca="1">IFERROR(__xludf.DUMMYFUNCTION("INDEX(importrange(""https://docs.google.com/spreadsheets/d/1msbw1Rxa9t3kJZ1TEQXbAradHm8z21NlL52Wym1yI1E/edit#gid=0"",""'buscador'!A:AM""),MATCH($E15,importrange(""https://docs.google.com/spreadsheets/d/1msbw1Rxa9t3kJZ1TEQXbAradHm8z21NlL52Wym1yI1E/edit#gid"&amp;"=0"",""'buscador'!K:K""),0),39)"),"5.1.1.0")</f>
        <v>5.1.1.0</v>
      </c>
      <c r="B15" s="71" t="str">
        <f ca="1">IFERROR(__xludf.DUMMYFUNCTION("INDEX(importrange(""1msbw1Rxa9t3kJZ1TEQXbAradHm8z21NlL52Wym1yI1E"",""'buscador'!A:AM""),MATCH($E15,importrange(""1msbw1Rxa9t3kJZ1TEQXbAradHm8z21NlL52Wym1yI1E"",""'buscador'!K:K""),0),7)"),"Atención en Centros de Desarrollo Infantil")</f>
        <v>Atención en Centros de Desarrollo Infantil</v>
      </c>
      <c r="C15" s="72" t="s">
        <v>73</v>
      </c>
      <c r="D15" s="73" t="s">
        <v>74</v>
      </c>
      <c r="E15" s="73" t="s">
        <v>75</v>
      </c>
      <c r="F15" s="74">
        <f ca="1">IF($P15="Porcentaje",(IF($E$7="ANUAL",SUMIFS('ESTADÍSTICAS (DINÁMICO)'!$K:$K,'ESTADÍSTICAS (DINÁMICO)'!$M:$M,F$12,'ESTADÍSTICAS (DINÁMICO)'!$G:$G,$E15),SUMIFS('ESTADÍSTICAS (DINÁMICO)'!$K:$K,'ESTADÍSTICAS (DINÁMICO)'!$L:$L,$E$7,'ESTADÍSTICAS (DINÁMICO)'!$M:$M,F$12,'ESTADÍSTICAS (DINÁMICO)'!$G:$G,$E15))),(IF($E$7="ANUAL",SUMIFS('ESTADÍSTICAS (DINÁMICO)'!$K:$K,'ESTADÍSTICAS (DINÁMICO)'!$M:$M,F$12,'ESTADÍSTICAS (DINÁMICO)'!$G:$G,$E15),SUMIFS('ESTADÍSTICAS (DINÁMICO)'!$K:$K,'ESTADÍSTICAS (DINÁMICO)'!$L:$L,$E$7,'ESTADÍSTICAS (DINÁMICO)'!$M:$M,F$12,'ESTADÍSTICAS (DINÁMICO)'!$G:$G,$E15)))/1)</f>
        <v>143</v>
      </c>
      <c r="G15" s="74">
        <f ca="1">IF($P15="Porcentaje",(IF($E$7="ANUAL",SUMIFS('ESTADÍSTICAS (DINÁMICO)'!$K:$K,'ESTADÍSTICAS (DINÁMICO)'!$M:$M,G$12,'ESTADÍSTICAS (DINÁMICO)'!$G:$G,$E15),SUMIFS('ESTADÍSTICAS (DINÁMICO)'!$K:$K,'ESTADÍSTICAS (DINÁMICO)'!$L:$L,$E$7,'ESTADÍSTICAS (DINÁMICO)'!$M:$M,G$12,'ESTADÍSTICAS (DINÁMICO)'!$G:$G,$E15))),(IF($E$7="ANUAL",SUMIFS('ESTADÍSTICAS (DINÁMICO)'!$K:$K,'ESTADÍSTICAS (DINÁMICO)'!$M:$M,G$12,'ESTADÍSTICAS (DINÁMICO)'!$G:$G,$E15),SUMIFS('ESTADÍSTICAS (DINÁMICO)'!$K:$K,'ESTADÍSTICAS (DINÁMICO)'!$L:$L,$E$7,'ESTADÍSTICAS (DINÁMICO)'!$M:$M,G$12,'ESTADÍSTICAS (DINÁMICO)'!$G:$G,$E15)))/4)</f>
        <v>198</v>
      </c>
      <c r="H15" s="74">
        <f ca="1">IF($P15="Porcentaje",(IF($E$7="ANUAL",SUMIFS('ESTADÍSTICAS (DINÁMICO)'!$K:$K,'ESTADÍSTICAS (DINÁMICO)'!$M:$M,H$12,'ESTADÍSTICAS (DINÁMICO)'!$G:$G,$E15),SUMIFS('ESTADÍSTICAS (DINÁMICO)'!$K:$K,'ESTADÍSTICAS (DINÁMICO)'!$L:$L,$E$7,'ESTADÍSTICAS (DINÁMICO)'!$M:$M,H$12,'ESTADÍSTICAS (DINÁMICO)'!$G:$G,$E15))),(IF($E$7="ANUAL",SUMIFS('ESTADÍSTICAS (DINÁMICO)'!$K:$K,'ESTADÍSTICAS (DINÁMICO)'!$M:$M,H$12,'ESTADÍSTICAS (DINÁMICO)'!$G:$G,$E15),SUMIFS('ESTADÍSTICAS (DINÁMICO)'!$K:$K,'ESTADÍSTICAS (DINÁMICO)'!$L:$L,$E$7,'ESTADÍSTICAS (DINÁMICO)'!$M:$M,H$12,'ESTADÍSTICAS (DINÁMICO)'!$G:$G,$E15)))/4)</f>
        <v>0</v>
      </c>
      <c r="I15" s="74">
        <f ca="1">IF($P15="Porcentaje",(IF($E$7="ANUAL",SUMIFS('ESTADÍSTICAS (DINÁMICO)'!$K:$K,'ESTADÍSTICAS (DINÁMICO)'!$M:$M,I$12,'ESTADÍSTICAS (DINÁMICO)'!$G:$G,$E15),SUMIFS('ESTADÍSTICAS (DINÁMICO)'!$K:$K,'ESTADÍSTICAS (DINÁMICO)'!$L:$L,$E$7,'ESTADÍSTICAS (DINÁMICO)'!$M:$M,I$12,'ESTADÍSTICAS (DINÁMICO)'!$G:$G,$E15))),(IF($E$7="ANUAL",SUMIFS('ESTADÍSTICAS (DINÁMICO)'!$K:$K,'ESTADÍSTICAS (DINÁMICO)'!$M:$M,I$12,'ESTADÍSTICAS (DINÁMICO)'!$G:$G,$E15),SUMIFS('ESTADÍSTICAS (DINÁMICO)'!$K:$K,'ESTADÍSTICAS (DINÁMICO)'!$L:$L,$E$7,'ESTADÍSTICAS (DINÁMICO)'!$M:$M,I$12,'ESTADÍSTICAS (DINÁMICO)'!$G:$G,$E15)))/4)</f>
        <v>0</v>
      </c>
      <c r="J15" s="74">
        <f ca="1">IF($P15="Porcentaje",(IF($E$7="ANUAL",SUMIFS('ESTADÍSTICAS (DINÁMICO)'!$K:$K,'ESTADÍSTICAS (DINÁMICO)'!$M:$M,J$12,'ESTADÍSTICAS (DINÁMICO)'!$G:$G,$E15),SUMIFS('ESTADÍSTICAS (DINÁMICO)'!$K:$K,'ESTADÍSTICAS (DINÁMICO)'!$L:$L,$E$7,'ESTADÍSTICAS (DINÁMICO)'!$M:$M,J$12,'ESTADÍSTICAS (DINÁMICO)'!$G:$G,$E15))),(IF($E$7="ANUAL",SUMIFS('ESTADÍSTICAS (DINÁMICO)'!$K:$K,'ESTADÍSTICAS (DINÁMICO)'!$M:$M,J$12,'ESTADÍSTICAS (DINÁMICO)'!$G:$G,$E15),SUMIFS('ESTADÍSTICAS (DINÁMICO)'!$K:$K,'ESTADÍSTICAS (DINÁMICO)'!$L:$L,$E$7,'ESTADÍSTICAS (DINÁMICO)'!$M:$M,J$12,'ESTADÍSTICAS (DINÁMICO)'!$G:$G,$E15)))/4)</f>
        <v>0</v>
      </c>
      <c r="K15" s="74">
        <f ca="1">IF($P15="Porcentaje",(IF($E$7="ANUAL",SUMIFS('ESTADÍSTICAS (DINÁMICO)'!$K:$K,'ESTADÍSTICAS (DINÁMICO)'!$M:$M,K$12,'ESTADÍSTICAS (DINÁMICO)'!$G:$G,$E15),SUMIFS('ESTADÍSTICAS (DINÁMICO)'!$K:$K,'ESTADÍSTICAS (DINÁMICO)'!$L:$L,$E$7,'ESTADÍSTICAS (DINÁMICO)'!$M:$M,K$12,'ESTADÍSTICAS (DINÁMICO)'!$G:$G,$E15))),(IF($E$7="ANUAL",SUMIFS('ESTADÍSTICAS (DINÁMICO)'!$K:$K,'ESTADÍSTICAS (DINÁMICO)'!$M:$M,K$12,'ESTADÍSTICAS (DINÁMICO)'!$G:$G,$E15),SUMIFS('ESTADÍSTICAS (DINÁMICO)'!$K:$K,'ESTADÍSTICAS (DINÁMICO)'!$L:$L,$E$7,'ESTADÍSTICAS (DINÁMICO)'!$M:$M,K$12,'ESTADÍSTICAS (DINÁMICO)'!$G:$G,$E15)))/4)</f>
        <v>0</v>
      </c>
      <c r="L15" s="74">
        <f ca="1">IF($P15="Porcentaje",(IF($E$7="ANUAL",SUMIFS('ESTADÍSTICAS (DINÁMICO)'!$K:$K,'ESTADÍSTICAS (DINÁMICO)'!$M:$M,L$12,'ESTADÍSTICAS (DINÁMICO)'!$G:$G,$E15),SUMIFS('ESTADÍSTICAS (DINÁMICO)'!$K:$K,'ESTADÍSTICAS (DINÁMICO)'!$L:$L,$E$7,'ESTADÍSTICAS (DINÁMICO)'!$M:$M,L$12,'ESTADÍSTICAS (DINÁMICO)'!$G:$G,$E15))),(IF($E$7="ANUAL",SUMIFS('ESTADÍSTICAS (DINÁMICO)'!$K:$K,'ESTADÍSTICAS (DINÁMICO)'!$M:$M,L$12,'ESTADÍSTICAS (DINÁMICO)'!$G:$G,$E15),SUMIFS('ESTADÍSTICAS (DINÁMICO)'!$K:$K,'ESTADÍSTICAS (DINÁMICO)'!$L:$L,$E$7,'ESTADÍSTICAS (DINÁMICO)'!$M:$M,L$12,'ESTADÍSTICAS (DINÁMICO)'!$G:$G,$E15)))/4)</f>
        <v>0</v>
      </c>
      <c r="M15" s="74">
        <f ca="1">IF($P15="Porcentaje",(IF($E$7="ANUAL",SUMIFS('ESTADÍSTICAS (DINÁMICO)'!$K:$K,'ESTADÍSTICAS (DINÁMICO)'!$M:$M,M$12,'ESTADÍSTICAS (DINÁMICO)'!$G:$G,$E15),SUMIFS('ESTADÍSTICAS (DINÁMICO)'!$K:$K,'ESTADÍSTICAS (DINÁMICO)'!$L:$L,$E$7,'ESTADÍSTICAS (DINÁMICO)'!$M:$M,M$12,'ESTADÍSTICAS (DINÁMICO)'!$G:$G,$E15))),(IF($E$7="ANUAL",SUMIFS('ESTADÍSTICAS (DINÁMICO)'!$K:$K,'ESTADÍSTICAS (DINÁMICO)'!$M:$M,M$12,'ESTADÍSTICAS (DINÁMICO)'!$G:$G,$E15),SUMIFS('ESTADÍSTICAS (DINÁMICO)'!$K:$K,'ESTADÍSTICAS (DINÁMICO)'!$L:$L,$E$7,'ESTADÍSTICAS (DINÁMICO)'!$M:$M,M$12,'ESTADÍSTICAS (DINÁMICO)'!$G:$G,$E15)))/4)</f>
        <v>0</v>
      </c>
      <c r="N15" s="74">
        <f ca="1">IF($P15="Porcentaje",(IF($E$7="ANUAL",SUMIFS('ESTADÍSTICAS (DINÁMICO)'!$K:$K,'ESTADÍSTICAS (DINÁMICO)'!$M:$M,N$12,'ESTADÍSTICAS (DINÁMICO)'!$G:$G,$E15),SUMIFS('ESTADÍSTICAS (DINÁMICO)'!$K:$K,'ESTADÍSTICAS (DINÁMICO)'!$L:$L,$E$7,'ESTADÍSTICAS (DINÁMICO)'!$M:$M,N$12,'ESTADÍSTICAS (DINÁMICO)'!$G:$G,$E15))),(IF($E$7="ANUAL",SUMIFS('ESTADÍSTICAS (DINÁMICO)'!$K:$K,'ESTADÍSTICAS (DINÁMICO)'!$M:$M,N$12,'ESTADÍSTICAS (DINÁMICO)'!$G:$G,$E15),SUMIFS('ESTADÍSTICAS (DINÁMICO)'!$K:$K,'ESTADÍSTICAS (DINÁMICO)'!$L:$L,$E$7,'ESTADÍSTICAS (DINÁMICO)'!$M:$M,N$12,'ESTADÍSTICAS (DINÁMICO)'!$G:$G,$E15)))/4)</f>
        <v>0</v>
      </c>
      <c r="O15" s="75">
        <f t="shared" ref="O15:O20" ca="1" si="0">SUM(F15:N15)</f>
        <v>341</v>
      </c>
      <c r="P15" s="79" t="str">
        <f ca="1">VLOOKUP(A15,'Glosario KEY'!A:C,2,FALSE)</f>
        <v>Porcentaje</v>
      </c>
    </row>
    <row r="16" spans="1:16" ht="58.5">
      <c r="A16" s="71" t="str">
        <f ca="1">IFERROR(__xludf.DUMMYFUNCTION("INDEX(importrange(""https://docs.google.com/spreadsheets/d/1msbw1Rxa9t3kJZ1TEQXbAradHm8z21NlL52Wym1yI1E/edit#gid=0"",""'buscador'!A:AM""),MATCH($E16,importrange(""https://docs.google.com/spreadsheets/d/1msbw1Rxa9t3kJZ1TEQXbAradHm8z21NlL52Wym1yI1E/edit#gid"&amp;"=0"",""'buscador'!K:K""),0),39)"),"5.1.1.1")</f>
        <v>5.1.1.1</v>
      </c>
      <c r="B16" s="80" t="str">
        <f ca="1">IFERROR(__xludf.DUMMYFUNCTION("INDEX(importrange(""1msbw1Rxa9t3kJZ1TEQXbAradHm8z21NlL52Wym1yI1E"",""'buscador'!A:AM""),MATCH($E16,importrange(""1msbw1Rxa9t3kJZ1TEQXbAradHm8z21NlL52Wym1yI1E"",""'buscador'!K:K""),0),7)"),"Atención en Centros de Desarrollo Infantil")</f>
        <v>Atención en Centros de Desarrollo Infantil</v>
      </c>
      <c r="C16" s="76" t="s">
        <v>81</v>
      </c>
      <c r="D16" s="73" t="s">
        <v>82</v>
      </c>
      <c r="E16" s="73" t="s">
        <v>83</v>
      </c>
      <c r="F16" s="74">
        <f ca="1">IF($P16="Porcentaje",(IF($E$7="ANUAL",SUMIFS('ESTADÍSTICAS (DINÁMICO)'!$K:$K,'ESTADÍSTICAS (DINÁMICO)'!$M:$M,F$12,'ESTADÍSTICAS (DINÁMICO)'!$G:$G,$E16),SUMIFS('ESTADÍSTICAS (DINÁMICO)'!$K:$K,'ESTADÍSTICAS (DINÁMICO)'!$L:$L,$E$7,'ESTADÍSTICAS (DINÁMICO)'!$M:$M,F$12,'ESTADÍSTICAS (DINÁMICO)'!$G:$G,$E16))),(IF($E$7="ANUAL",SUMIFS('ESTADÍSTICAS (DINÁMICO)'!$K:$K,'ESTADÍSTICAS (DINÁMICO)'!$M:$M,F$12,'ESTADÍSTICAS (DINÁMICO)'!$G:$G,$E16),SUMIFS('ESTADÍSTICAS (DINÁMICO)'!$K:$K,'ESTADÍSTICAS (DINÁMICO)'!$L:$L,$E$7,'ESTADÍSTICAS (DINÁMICO)'!$M:$M,F$12,'ESTADÍSTICAS (DINÁMICO)'!$G:$G,$E16)))/4)</f>
        <v>726</v>
      </c>
      <c r="G16" s="74">
        <f ca="1">IF($P16="Porcentaje",(IF($E$7="ANUAL",SUMIFS('ESTADÍSTICAS (DINÁMICO)'!$K:$K,'ESTADÍSTICAS (DINÁMICO)'!$M:$M,G$12,'ESTADÍSTICAS (DINÁMICO)'!$G:$G,$E16),SUMIFS('ESTADÍSTICAS (DINÁMICO)'!$K:$K,'ESTADÍSTICAS (DINÁMICO)'!$L:$L,$E$7,'ESTADÍSTICAS (DINÁMICO)'!$M:$M,G$12,'ESTADÍSTICAS (DINÁMICO)'!$G:$G,$E16))),(IF($E$7="ANUAL",SUMIFS('ESTADÍSTICAS (DINÁMICO)'!$K:$K,'ESTADÍSTICAS (DINÁMICO)'!$M:$M,G$12,'ESTADÍSTICAS (DINÁMICO)'!$G:$G,$E16),SUMIFS('ESTADÍSTICAS (DINÁMICO)'!$K:$K,'ESTADÍSTICAS (DINÁMICO)'!$L:$L,$E$7,'ESTADÍSTICAS (DINÁMICO)'!$M:$M,G$12,'ESTADÍSTICAS (DINÁMICO)'!$G:$G,$E16)))/4)</f>
        <v>723</v>
      </c>
      <c r="H16" s="74">
        <f ca="1">IF($P16="Porcentaje",(IF($E$7="ANUAL",SUMIFS('ESTADÍSTICAS (DINÁMICO)'!$K:$K,'ESTADÍSTICAS (DINÁMICO)'!$M:$M,H$12,'ESTADÍSTICAS (DINÁMICO)'!$G:$G,$E16),SUMIFS('ESTADÍSTICAS (DINÁMICO)'!$K:$K,'ESTADÍSTICAS (DINÁMICO)'!$L:$L,$E$7,'ESTADÍSTICAS (DINÁMICO)'!$M:$M,H$12,'ESTADÍSTICAS (DINÁMICO)'!$G:$G,$E16))),(IF($E$7="ANUAL",SUMIFS('ESTADÍSTICAS (DINÁMICO)'!$K:$K,'ESTADÍSTICAS (DINÁMICO)'!$M:$M,H$12,'ESTADÍSTICAS (DINÁMICO)'!$G:$G,$E16),SUMIFS('ESTADÍSTICAS (DINÁMICO)'!$K:$K,'ESTADÍSTICAS (DINÁMICO)'!$L:$L,$E$7,'ESTADÍSTICAS (DINÁMICO)'!$M:$M,H$12,'ESTADÍSTICAS (DINÁMICO)'!$G:$G,$E16)))/4)</f>
        <v>0</v>
      </c>
      <c r="I16" s="74">
        <f ca="1">IF($P16="Porcentaje",(IF($E$7="ANUAL",SUMIFS('ESTADÍSTICAS (DINÁMICO)'!$K:$K,'ESTADÍSTICAS (DINÁMICO)'!$M:$M,I$12,'ESTADÍSTICAS (DINÁMICO)'!$G:$G,$E16),SUMIFS('ESTADÍSTICAS (DINÁMICO)'!$K:$K,'ESTADÍSTICAS (DINÁMICO)'!$L:$L,$E$7,'ESTADÍSTICAS (DINÁMICO)'!$M:$M,I$12,'ESTADÍSTICAS (DINÁMICO)'!$G:$G,$E16))),(IF($E$7="ANUAL",SUMIFS('ESTADÍSTICAS (DINÁMICO)'!$K:$K,'ESTADÍSTICAS (DINÁMICO)'!$M:$M,I$12,'ESTADÍSTICAS (DINÁMICO)'!$G:$G,$E16),SUMIFS('ESTADÍSTICAS (DINÁMICO)'!$K:$K,'ESTADÍSTICAS (DINÁMICO)'!$L:$L,$E$7,'ESTADÍSTICAS (DINÁMICO)'!$M:$M,I$12,'ESTADÍSTICAS (DINÁMICO)'!$G:$G,$E16)))/4)</f>
        <v>0</v>
      </c>
      <c r="J16" s="74">
        <f ca="1">IF($P16="Porcentaje",(IF($E$7="ANUAL",SUMIFS('ESTADÍSTICAS (DINÁMICO)'!$K:$K,'ESTADÍSTICAS (DINÁMICO)'!$M:$M,J$12,'ESTADÍSTICAS (DINÁMICO)'!$G:$G,$E16),SUMIFS('ESTADÍSTICAS (DINÁMICO)'!$K:$K,'ESTADÍSTICAS (DINÁMICO)'!$L:$L,$E$7,'ESTADÍSTICAS (DINÁMICO)'!$M:$M,J$12,'ESTADÍSTICAS (DINÁMICO)'!$G:$G,$E16))),(IF($E$7="ANUAL",SUMIFS('ESTADÍSTICAS (DINÁMICO)'!$K:$K,'ESTADÍSTICAS (DINÁMICO)'!$M:$M,J$12,'ESTADÍSTICAS (DINÁMICO)'!$G:$G,$E16),SUMIFS('ESTADÍSTICAS (DINÁMICO)'!$K:$K,'ESTADÍSTICAS (DINÁMICO)'!$L:$L,$E$7,'ESTADÍSTICAS (DINÁMICO)'!$M:$M,J$12,'ESTADÍSTICAS (DINÁMICO)'!$G:$G,$E16)))/4)</f>
        <v>0</v>
      </c>
      <c r="K16" s="74">
        <f ca="1">IF($P16="Porcentaje",(IF($E$7="ANUAL",SUMIFS('ESTADÍSTICAS (DINÁMICO)'!$K:$K,'ESTADÍSTICAS (DINÁMICO)'!$M:$M,K$12,'ESTADÍSTICAS (DINÁMICO)'!$G:$G,$E16),SUMIFS('ESTADÍSTICAS (DINÁMICO)'!$K:$K,'ESTADÍSTICAS (DINÁMICO)'!$L:$L,$E$7,'ESTADÍSTICAS (DINÁMICO)'!$M:$M,K$12,'ESTADÍSTICAS (DINÁMICO)'!$G:$G,$E16))),(IF($E$7="ANUAL",SUMIFS('ESTADÍSTICAS (DINÁMICO)'!$K:$K,'ESTADÍSTICAS (DINÁMICO)'!$M:$M,K$12,'ESTADÍSTICAS (DINÁMICO)'!$G:$G,$E16),SUMIFS('ESTADÍSTICAS (DINÁMICO)'!$K:$K,'ESTADÍSTICAS (DINÁMICO)'!$L:$L,$E$7,'ESTADÍSTICAS (DINÁMICO)'!$M:$M,K$12,'ESTADÍSTICAS (DINÁMICO)'!$G:$G,$E16)))/4)</f>
        <v>0</v>
      </c>
      <c r="L16" s="74">
        <f ca="1">IF($P16="Porcentaje",(IF($E$7="ANUAL",SUMIFS('ESTADÍSTICAS (DINÁMICO)'!$K:$K,'ESTADÍSTICAS (DINÁMICO)'!$M:$M,L$12,'ESTADÍSTICAS (DINÁMICO)'!$G:$G,$E16),SUMIFS('ESTADÍSTICAS (DINÁMICO)'!$K:$K,'ESTADÍSTICAS (DINÁMICO)'!$L:$L,$E$7,'ESTADÍSTICAS (DINÁMICO)'!$M:$M,L$12,'ESTADÍSTICAS (DINÁMICO)'!$G:$G,$E16))),(IF($E$7="ANUAL",SUMIFS('ESTADÍSTICAS (DINÁMICO)'!$K:$K,'ESTADÍSTICAS (DINÁMICO)'!$M:$M,L$12,'ESTADÍSTICAS (DINÁMICO)'!$G:$G,$E16),SUMIFS('ESTADÍSTICAS (DINÁMICO)'!$K:$K,'ESTADÍSTICAS (DINÁMICO)'!$L:$L,$E$7,'ESTADÍSTICAS (DINÁMICO)'!$M:$M,L$12,'ESTADÍSTICAS (DINÁMICO)'!$G:$G,$E16)))/4)</f>
        <v>0</v>
      </c>
      <c r="M16" s="74">
        <f ca="1">IF($P16="Porcentaje",(IF($E$7="ANUAL",SUMIFS('ESTADÍSTICAS (DINÁMICO)'!$K:$K,'ESTADÍSTICAS (DINÁMICO)'!$M:$M,M$12,'ESTADÍSTICAS (DINÁMICO)'!$G:$G,$E16),SUMIFS('ESTADÍSTICAS (DINÁMICO)'!$K:$K,'ESTADÍSTICAS (DINÁMICO)'!$L:$L,$E$7,'ESTADÍSTICAS (DINÁMICO)'!$M:$M,M$12,'ESTADÍSTICAS (DINÁMICO)'!$G:$G,$E16))),(IF($E$7="ANUAL",SUMIFS('ESTADÍSTICAS (DINÁMICO)'!$K:$K,'ESTADÍSTICAS (DINÁMICO)'!$M:$M,M$12,'ESTADÍSTICAS (DINÁMICO)'!$G:$G,$E16),SUMIFS('ESTADÍSTICAS (DINÁMICO)'!$K:$K,'ESTADÍSTICAS (DINÁMICO)'!$L:$L,$E$7,'ESTADÍSTICAS (DINÁMICO)'!$M:$M,M$12,'ESTADÍSTICAS (DINÁMICO)'!$G:$G,$E16)))/4)</f>
        <v>0</v>
      </c>
      <c r="N16" s="74">
        <f ca="1">IF($P16="Porcentaje",(IF($E$7="ANUAL",SUMIFS('ESTADÍSTICAS (DINÁMICO)'!$K:$K,'ESTADÍSTICAS (DINÁMICO)'!$M:$M,N$12,'ESTADÍSTICAS (DINÁMICO)'!$G:$G,$E16),SUMIFS('ESTADÍSTICAS (DINÁMICO)'!$K:$K,'ESTADÍSTICAS (DINÁMICO)'!$L:$L,$E$7,'ESTADÍSTICAS (DINÁMICO)'!$M:$M,N$12,'ESTADÍSTICAS (DINÁMICO)'!$G:$G,$E16))),(IF($E$7="ANUAL",SUMIFS('ESTADÍSTICAS (DINÁMICO)'!$K:$K,'ESTADÍSTICAS (DINÁMICO)'!$M:$M,N$12,'ESTADÍSTICAS (DINÁMICO)'!$G:$G,$E16),SUMIFS('ESTADÍSTICAS (DINÁMICO)'!$K:$K,'ESTADÍSTICAS (DINÁMICO)'!$L:$L,$E$7,'ESTADÍSTICAS (DINÁMICO)'!$M:$M,N$12,'ESTADÍSTICAS (DINÁMICO)'!$G:$G,$E16)))/4)</f>
        <v>0</v>
      </c>
      <c r="O16" s="75">
        <f t="shared" ca="1" si="0"/>
        <v>1449</v>
      </c>
      <c r="P16" s="81" t="str">
        <f ca="1">VLOOKUP(A16,'Glosario KEY'!A:C,2,FALSE)</f>
        <v>Porcentaje</v>
      </c>
    </row>
    <row r="17" spans="1:16" ht="58.5">
      <c r="A17" s="71" t="str">
        <f ca="1">IFERROR(__xludf.DUMMYFUNCTION("INDEX(importrange(""https://docs.google.com/spreadsheets/d/1msbw1Rxa9t3kJZ1TEQXbAradHm8z21NlL52Wym1yI1E/edit#gid=0"",""'buscador'!A:AM""),MATCH($E17,importrange(""https://docs.google.com/spreadsheets/d/1msbw1Rxa9t3kJZ1TEQXbAradHm8z21NlL52Wym1yI1E/edit#gid"&amp;"=0"",""'buscador'!K:K""),0),39)"),"5.1.1.2")</f>
        <v>5.1.1.2</v>
      </c>
      <c r="B17" s="80" t="str">
        <f ca="1">IFERROR(__xludf.DUMMYFUNCTION("INDEX(importrange(""1msbw1Rxa9t3kJZ1TEQXbAradHm8z21NlL52Wym1yI1E"",""'buscador'!A:AM""),MATCH($E17,importrange(""1msbw1Rxa9t3kJZ1TEQXbAradHm8z21NlL52Wym1yI1E"",""'buscador'!K:K""),0),7)"),"Atención en Centros de Desarrollo Infantil")</f>
        <v>Atención en Centros de Desarrollo Infantil</v>
      </c>
      <c r="C17" s="76" t="s">
        <v>87</v>
      </c>
      <c r="D17" s="73" t="s">
        <v>88</v>
      </c>
      <c r="E17" s="73" t="s">
        <v>89</v>
      </c>
      <c r="F17" s="74">
        <f ca="1">IF($P17="Porcentaje",(IF($E$7="ANUAL",SUMIFS('ESTADÍSTICAS (DINÁMICO)'!$K:$K,'ESTADÍSTICAS (DINÁMICO)'!$M:$M,F$12,'ESTADÍSTICAS (DINÁMICO)'!$G:$G,$E17),SUMIFS('ESTADÍSTICAS (DINÁMICO)'!$K:$K,'ESTADÍSTICAS (DINÁMICO)'!$L:$L,$E$7,'ESTADÍSTICAS (DINÁMICO)'!$M:$M,F$12,'ESTADÍSTICAS (DINÁMICO)'!$G:$G,$E17))),(IF($E$7="ANUAL",SUMIFS('ESTADÍSTICAS (DINÁMICO)'!$K:$K,'ESTADÍSTICAS (DINÁMICO)'!$M:$M,F$12,'ESTADÍSTICAS (DINÁMICO)'!$G:$G,$E17),SUMIFS('ESTADÍSTICAS (DINÁMICO)'!$K:$K,'ESTADÍSTICAS (DINÁMICO)'!$L:$L,$E$7,'ESTADÍSTICAS (DINÁMICO)'!$M:$M,F$12,'ESTADÍSTICAS (DINÁMICO)'!$G:$G,$E17)))/4)</f>
        <v>0</v>
      </c>
      <c r="G17" s="74">
        <f ca="1">IF($P17="Porcentaje",(IF($E$7="ANUAL",SUMIFS('ESTADÍSTICAS (DINÁMICO)'!$K:$K,'ESTADÍSTICAS (DINÁMICO)'!$M:$M,G$12,'ESTADÍSTICAS (DINÁMICO)'!$G:$G,$E17),SUMIFS('ESTADÍSTICAS (DINÁMICO)'!$K:$K,'ESTADÍSTICAS (DINÁMICO)'!$L:$L,$E$7,'ESTADÍSTICAS (DINÁMICO)'!$M:$M,G$12,'ESTADÍSTICAS (DINÁMICO)'!$G:$G,$E17))),(IF($E$7="ANUAL",SUMIFS('ESTADÍSTICAS (DINÁMICO)'!$K:$K,'ESTADÍSTICAS (DINÁMICO)'!$M:$M,G$12,'ESTADÍSTICAS (DINÁMICO)'!$G:$G,$E17),SUMIFS('ESTADÍSTICAS (DINÁMICO)'!$K:$K,'ESTADÍSTICAS (DINÁMICO)'!$L:$L,$E$7,'ESTADÍSTICAS (DINÁMICO)'!$M:$M,G$12,'ESTADÍSTICAS (DINÁMICO)'!$G:$G,$E17)))/4)</f>
        <v>0</v>
      </c>
      <c r="H17" s="74">
        <f ca="1">IF($P17="Porcentaje",(IF($E$7="ANUAL",SUMIFS('ESTADÍSTICAS (DINÁMICO)'!$K:$K,'ESTADÍSTICAS (DINÁMICO)'!$M:$M,H$12,'ESTADÍSTICAS (DINÁMICO)'!$G:$G,$E17),SUMIFS('ESTADÍSTICAS (DINÁMICO)'!$K:$K,'ESTADÍSTICAS (DINÁMICO)'!$L:$L,$E$7,'ESTADÍSTICAS (DINÁMICO)'!$M:$M,H$12,'ESTADÍSTICAS (DINÁMICO)'!$G:$G,$E17))),(IF($E$7="ANUAL",SUMIFS('ESTADÍSTICAS (DINÁMICO)'!$K:$K,'ESTADÍSTICAS (DINÁMICO)'!$M:$M,H$12,'ESTADÍSTICAS (DINÁMICO)'!$G:$G,$E17),SUMIFS('ESTADÍSTICAS (DINÁMICO)'!$K:$K,'ESTADÍSTICAS (DINÁMICO)'!$L:$L,$E$7,'ESTADÍSTICAS (DINÁMICO)'!$M:$M,H$12,'ESTADÍSTICAS (DINÁMICO)'!$G:$G,$E17)))/4)</f>
        <v>0</v>
      </c>
      <c r="I17" s="74">
        <f ca="1">IF($P17="Porcentaje",(IF($E$7="ANUAL",SUMIFS('ESTADÍSTICAS (DINÁMICO)'!$K:$K,'ESTADÍSTICAS (DINÁMICO)'!$M:$M,I$12,'ESTADÍSTICAS (DINÁMICO)'!$G:$G,$E17),SUMIFS('ESTADÍSTICAS (DINÁMICO)'!$K:$K,'ESTADÍSTICAS (DINÁMICO)'!$L:$L,$E$7,'ESTADÍSTICAS (DINÁMICO)'!$M:$M,I$12,'ESTADÍSTICAS (DINÁMICO)'!$G:$G,$E17))),(IF($E$7="ANUAL",SUMIFS('ESTADÍSTICAS (DINÁMICO)'!$K:$K,'ESTADÍSTICAS (DINÁMICO)'!$M:$M,I$12,'ESTADÍSTICAS (DINÁMICO)'!$G:$G,$E17),SUMIFS('ESTADÍSTICAS (DINÁMICO)'!$K:$K,'ESTADÍSTICAS (DINÁMICO)'!$L:$L,$E$7,'ESTADÍSTICAS (DINÁMICO)'!$M:$M,I$12,'ESTADÍSTICAS (DINÁMICO)'!$G:$G,$E17)))/4)</f>
        <v>0</v>
      </c>
      <c r="J17" s="74">
        <f ca="1">IF($P17="Porcentaje",(IF($E$7="ANUAL",SUMIFS('ESTADÍSTICAS (DINÁMICO)'!$K:$K,'ESTADÍSTICAS (DINÁMICO)'!$M:$M,J$12,'ESTADÍSTICAS (DINÁMICO)'!$G:$G,$E17),SUMIFS('ESTADÍSTICAS (DINÁMICO)'!$K:$K,'ESTADÍSTICAS (DINÁMICO)'!$L:$L,$E$7,'ESTADÍSTICAS (DINÁMICO)'!$M:$M,J$12,'ESTADÍSTICAS (DINÁMICO)'!$G:$G,$E17))),(IF($E$7="ANUAL",SUMIFS('ESTADÍSTICAS (DINÁMICO)'!$K:$K,'ESTADÍSTICAS (DINÁMICO)'!$M:$M,J$12,'ESTADÍSTICAS (DINÁMICO)'!$G:$G,$E17),SUMIFS('ESTADÍSTICAS (DINÁMICO)'!$K:$K,'ESTADÍSTICAS (DINÁMICO)'!$L:$L,$E$7,'ESTADÍSTICAS (DINÁMICO)'!$M:$M,J$12,'ESTADÍSTICAS (DINÁMICO)'!$G:$G,$E17)))/4)</f>
        <v>0</v>
      </c>
      <c r="K17" s="74">
        <f ca="1">IF($P17="Porcentaje",(IF($E$7="ANUAL",SUMIFS('ESTADÍSTICAS (DINÁMICO)'!$K:$K,'ESTADÍSTICAS (DINÁMICO)'!$M:$M,K$12,'ESTADÍSTICAS (DINÁMICO)'!$G:$G,$E17),SUMIFS('ESTADÍSTICAS (DINÁMICO)'!$K:$K,'ESTADÍSTICAS (DINÁMICO)'!$L:$L,$E$7,'ESTADÍSTICAS (DINÁMICO)'!$M:$M,K$12,'ESTADÍSTICAS (DINÁMICO)'!$G:$G,$E17))),(IF($E$7="ANUAL",SUMIFS('ESTADÍSTICAS (DINÁMICO)'!$K:$K,'ESTADÍSTICAS (DINÁMICO)'!$M:$M,K$12,'ESTADÍSTICAS (DINÁMICO)'!$G:$G,$E17),SUMIFS('ESTADÍSTICAS (DINÁMICO)'!$K:$K,'ESTADÍSTICAS (DINÁMICO)'!$L:$L,$E$7,'ESTADÍSTICAS (DINÁMICO)'!$M:$M,K$12,'ESTADÍSTICAS (DINÁMICO)'!$G:$G,$E17)))/4)</f>
        <v>0</v>
      </c>
      <c r="L17" s="74">
        <f ca="1">IF($P17="Porcentaje",(IF($E$7="ANUAL",SUMIFS('ESTADÍSTICAS (DINÁMICO)'!$K:$K,'ESTADÍSTICAS (DINÁMICO)'!$M:$M,L$12,'ESTADÍSTICAS (DINÁMICO)'!$G:$G,$E17),SUMIFS('ESTADÍSTICAS (DINÁMICO)'!$K:$K,'ESTADÍSTICAS (DINÁMICO)'!$L:$L,$E$7,'ESTADÍSTICAS (DINÁMICO)'!$M:$M,L$12,'ESTADÍSTICAS (DINÁMICO)'!$G:$G,$E17))),(IF($E$7="ANUAL",SUMIFS('ESTADÍSTICAS (DINÁMICO)'!$K:$K,'ESTADÍSTICAS (DINÁMICO)'!$M:$M,L$12,'ESTADÍSTICAS (DINÁMICO)'!$G:$G,$E17),SUMIFS('ESTADÍSTICAS (DINÁMICO)'!$K:$K,'ESTADÍSTICAS (DINÁMICO)'!$L:$L,$E$7,'ESTADÍSTICAS (DINÁMICO)'!$M:$M,L$12,'ESTADÍSTICAS (DINÁMICO)'!$G:$G,$E17)))/4)</f>
        <v>0</v>
      </c>
      <c r="M17" s="74">
        <f ca="1">IF($P17="Porcentaje",(IF($E$7="ANUAL",SUMIFS('ESTADÍSTICAS (DINÁMICO)'!$K:$K,'ESTADÍSTICAS (DINÁMICO)'!$M:$M,M$12,'ESTADÍSTICAS (DINÁMICO)'!$G:$G,$E17),SUMIFS('ESTADÍSTICAS (DINÁMICO)'!$K:$K,'ESTADÍSTICAS (DINÁMICO)'!$L:$L,$E$7,'ESTADÍSTICAS (DINÁMICO)'!$M:$M,M$12,'ESTADÍSTICAS (DINÁMICO)'!$G:$G,$E17))),(IF($E$7="ANUAL",SUMIFS('ESTADÍSTICAS (DINÁMICO)'!$K:$K,'ESTADÍSTICAS (DINÁMICO)'!$M:$M,M$12,'ESTADÍSTICAS (DINÁMICO)'!$G:$G,$E17),SUMIFS('ESTADÍSTICAS (DINÁMICO)'!$K:$K,'ESTADÍSTICAS (DINÁMICO)'!$L:$L,$E$7,'ESTADÍSTICAS (DINÁMICO)'!$M:$M,M$12,'ESTADÍSTICAS (DINÁMICO)'!$G:$G,$E17)))/4)</f>
        <v>0</v>
      </c>
      <c r="N17" s="77">
        <f ca="1">IF($P17="Porcentaje",(IF($E$7="ANUAL",SUMIFS('ESTADÍSTICAS (DINÁMICO)'!$K:$K,'ESTADÍSTICAS (DINÁMICO)'!$M:$M,N$12,'ESTADÍSTICAS (DINÁMICO)'!$G:$G,$E17),SUMIFS('ESTADÍSTICAS (DINÁMICO)'!$K:$K,'ESTADÍSTICAS (DINÁMICO)'!$L:$L,$E$7,'ESTADÍSTICAS (DINÁMICO)'!$M:$M,N$12,'ESTADÍSTICAS (DINÁMICO)'!$G:$G,$E17))),(IF($E$7="ANUAL",SUMIFS('ESTADÍSTICAS (DINÁMICO)'!$K:$K,'ESTADÍSTICAS (DINÁMICO)'!$M:$M,N$12,'ESTADÍSTICAS (DINÁMICO)'!$G:$G,$E17),SUMIFS('ESTADÍSTICAS (DINÁMICO)'!$K:$K,'ESTADÍSTICAS (DINÁMICO)'!$L:$L,$E$7,'ESTADÍSTICAS (DINÁMICO)'!$M:$M,N$12,'ESTADÍSTICAS (DINÁMICO)'!$G:$G,$E17)))/4)</f>
        <v>30124</v>
      </c>
      <c r="O17" s="75">
        <f t="shared" ca="1" si="0"/>
        <v>30124</v>
      </c>
      <c r="P17" s="81" t="str">
        <f ca="1">VLOOKUP(A17,'Glosario KEY'!A:C,2,FALSE)</f>
        <v>Porcentaje</v>
      </c>
    </row>
    <row r="18" spans="1:16" ht="84">
      <c r="A18" s="71" t="str">
        <f ca="1">IFERROR(__xludf.DUMMYFUNCTION("INDEX(importrange(""https://docs.google.com/spreadsheets/d/1msbw1Rxa9t3kJZ1TEQXbAradHm8z21NlL52Wym1yI1E/edit#gid=0"",""'buscador'!A:AM""),MATCH($E18,importrange(""https://docs.google.com/spreadsheets/d/1msbw1Rxa9t3kJZ1TEQXbAradHm8z21NlL52Wym1yI1E/edit#gid"&amp;"=0"",""'buscador'!K:K""),0),39)"),"5.1.2.0")</f>
        <v>5.1.2.0</v>
      </c>
      <c r="B18" s="80" t="str">
        <f ca="1">IFERROR(__xludf.DUMMYFUNCTION("INDEX(importrange(""1msbw1Rxa9t3kJZ1TEQXbAradHm8z21NlL52Wym1yI1E"",""'buscador'!A:AM""),MATCH($E18,importrange(""1msbw1Rxa9t3kJZ1TEQXbAradHm8z21NlL52Wym1yI1E"",""'buscador'!K:K""),0),7)"),"Atención Psicopedagógica Infantil")</f>
        <v>Atención Psicopedagógica Infantil</v>
      </c>
      <c r="C18" s="78" t="s">
        <v>95</v>
      </c>
      <c r="D18" s="73" t="s">
        <v>96</v>
      </c>
      <c r="E18" s="73" t="s">
        <v>97</v>
      </c>
      <c r="F18" s="74">
        <f ca="1">IF($P18="Porcentaje",(IF($E$7="ANUAL",SUMIFS('ESTADÍSTICAS (DINÁMICO)'!$K:$K,'ESTADÍSTICAS (DINÁMICO)'!$M:$M,F$12,'ESTADÍSTICAS (DINÁMICO)'!$G:$G,$E18),SUMIFS('ESTADÍSTICAS (DINÁMICO)'!$K:$K,'ESTADÍSTICAS (DINÁMICO)'!$L:$L,$E$7,'ESTADÍSTICAS (DINÁMICO)'!$M:$M,F$12,'ESTADÍSTICAS (DINÁMICO)'!$G:$G,$E18))),(IF($E$7="ANUAL",SUMIFS('ESTADÍSTICAS (DINÁMICO)'!$K:$K,'ESTADÍSTICAS (DINÁMICO)'!$M:$M,F$12,'ESTADÍSTICAS (DINÁMICO)'!$G:$G,$E18),SUMIFS('ESTADÍSTICAS (DINÁMICO)'!$K:$K,'ESTADÍSTICAS (DINÁMICO)'!$L:$L,$E$7,'ESTADÍSTICAS (DINÁMICO)'!$M:$M,F$12,'ESTADÍSTICAS (DINÁMICO)'!$G:$G,$E18)))/3)</f>
        <v>120.66666666666667</v>
      </c>
      <c r="G18" s="74">
        <f ca="1">IF($P18="Porcentaje",(IF($E$7="ANUAL",SUMIFS('ESTADÍSTICAS (DINÁMICO)'!$K:$K,'ESTADÍSTICAS (DINÁMICO)'!$M:$M,G$12,'ESTADÍSTICAS (DINÁMICO)'!$G:$G,$E18),SUMIFS('ESTADÍSTICAS (DINÁMICO)'!$K:$K,'ESTADÍSTICAS (DINÁMICO)'!$L:$L,$E$7,'ESTADÍSTICAS (DINÁMICO)'!$M:$M,G$12,'ESTADÍSTICAS (DINÁMICO)'!$G:$G,$E18))),(IF($E$7="ANUAL",SUMIFS('ESTADÍSTICAS (DINÁMICO)'!$K:$K,'ESTADÍSTICAS (DINÁMICO)'!$M:$M,G$12,'ESTADÍSTICAS (DINÁMICO)'!$G:$G,$E18),SUMIFS('ESTADÍSTICAS (DINÁMICO)'!$K:$K,'ESTADÍSTICAS (DINÁMICO)'!$L:$L,$E$7,'ESTADÍSTICAS (DINÁMICO)'!$M:$M,G$12,'ESTADÍSTICAS (DINÁMICO)'!$G:$G,$E18)))/3)</f>
        <v>227.66666666666666</v>
      </c>
      <c r="H18" s="74">
        <f ca="1">IF($P18="Porcentaje",(IF($E$7="ANUAL",SUMIFS('ESTADÍSTICAS (DINÁMICO)'!$K:$K,'ESTADÍSTICAS (DINÁMICO)'!$M:$M,H$12,'ESTADÍSTICAS (DINÁMICO)'!$G:$G,$E18),SUMIFS('ESTADÍSTICAS (DINÁMICO)'!$K:$K,'ESTADÍSTICAS (DINÁMICO)'!$L:$L,$E$7,'ESTADÍSTICAS (DINÁMICO)'!$M:$M,H$12,'ESTADÍSTICAS (DINÁMICO)'!$G:$G,$E18))),(IF($E$7="ANUAL",SUMIFS('ESTADÍSTICAS (DINÁMICO)'!$K:$K,'ESTADÍSTICAS (DINÁMICO)'!$M:$M,H$12,'ESTADÍSTICAS (DINÁMICO)'!$G:$G,$E18),SUMIFS('ESTADÍSTICAS (DINÁMICO)'!$K:$K,'ESTADÍSTICAS (DINÁMICO)'!$L:$L,$E$7,'ESTADÍSTICAS (DINÁMICO)'!$M:$M,H$12,'ESTADÍSTICAS (DINÁMICO)'!$G:$G,$E18)))/3)</f>
        <v>0</v>
      </c>
      <c r="I18" s="74">
        <f ca="1">IF($P18="Porcentaje",(IF($E$7="ANUAL",SUMIFS('ESTADÍSTICAS (DINÁMICO)'!$K:$K,'ESTADÍSTICAS (DINÁMICO)'!$M:$M,I$12,'ESTADÍSTICAS (DINÁMICO)'!$G:$G,$E18),SUMIFS('ESTADÍSTICAS (DINÁMICO)'!$K:$K,'ESTADÍSTICAS (DINÁMICO)'!$L:$L,$E$7,'ESTADÍSTICAS (DINÁMICO)'!$M:$M,I$12,'ESTADÍSTICAS (DINÁMICO)'!$G:$G,$E18))),(IF($E$7="ANUAL",SUMIFS('ESTADÍSTICAS (DINÁMICO)'!$K:$K,'ESTADÍSTICAS (DINÁMICO)'!$M:$M,I$12,'ESTADÍSTICAS (DINÁMICO)'!$G:$G,$E18),SUMIFS('ESTADÍSTICAS (DINÁMICO)'!$K:$K,'ESTADÍSTICAS (DINÁMICO)'!$L:$L,$E$7,'ESTADÍSTICAS (DINÁMICO)'!$M:$M,I$12,'ESTADÍSTICAS (DINÁMICO)'!$G:$G,$E18)))/3)</f>
        <v>0</v>
      </c>
      <c r="J18" s="74">
        <f ca="1">IF($P18="Porcentaje",(IF($E$7="ANUAL",SUMIFS('ESTADÍSTICAS (DINÁMICO)'!$K:$K,'ESTADÍSTICAS (DINÁMICO)'!$M:$M,J$12,'ESTADÍSTICAS (DINÁMICO)'!$G:$G,$E18),SUMIFS('ESTADÍSTICAS (DINÁMICO)'!$K:$K,'ESTADÍSTICAS (DINÁMICO)'!$L:$L,$E$7,'ESTADÍSTICAS (DINÁMICO)'!$M:$M,J$12,'ESTADÍSTICAS (DINÁMICO)'!$G:$G,$E18))),(IF($E$7="ANUAL",SUMIFS('ESTADÍSTICAS (DINÁMICO)'!$K:$K,'ESTADÍSTICAS (DINÁMICO)'!$M:$M,J$12,'ESTADÍSTICAS (DINÁMICO)'!$G:$G,$E18),SUMIFS('ESTADÍSTICAS (DINÁMICO)'!$K:$K,'ESTADÍSTICAS (DINÁMICO)'!$L:$L,$E$7,'ESTADÍSTICAS (DINÁMICO)'!$M:$M,J$12,'ESTADÍSTICAS (DINÁMICO)'!$G:$G,$E18)))/3)</f>
        <v>0</v>
      </c>
      <c r="K18" s="74">
        <f ca="1">IF($P18="Porcentaje",(IF($E$7="ANUAL",SUMIFS('ESTADÍSTICAS (DINÁMICO)'!$K:$K,'ESTADÍSTICAS (DINÁMICO)'!$M:$M,K$12,'ESTADÍSTICAS (DINÁMICO)'!$G:$G,$E18),SUMIFS('ESTADÍSTICAS (DINÁMICO)'!$K:$K,'ESTADÍSTICAS (DINÁMICO)'!$L:$L,$E$7,'ESTADÍSTICAS (DINÁMICO)'!$M:$M,K$12,'ESTADÍSTICAS (DINÁMICO)'!$G:$G,$E18))),(IF($E$7="ANUAL",SUMIFS('ESTADÍSTICAS (DINÁMICO)'!$K:$K,'ESTADÍSTICAS (DINÁMICO)'!$M:$M,K$12,'ESTADÍSTICAS (DINÁMICO)'!$G:$G,$E18),SUMIFS('ESTADÍSTICAS (DINÁMICO)'!$K:$K,'ESTADÍSTICAS (DINÁMICO)'!$L:$L,$E$7,'ESTADÍSTICAS (DINÁMICO)'!$M:$M,K$12,'ESTADÍSTICAS (DINÁMICO)'!$G:$G,$E18)))/3)</f>
        <v>0</v>
      </c>
      <c r="L18" s="74">
        <f ca="1">IF($P18="Porcentaje",(IF($E$7="ANUAL",SUMIFS('ESTADÍSTICAS (DINÁMICO)'!$K:$K,'ESTADÍSTICAS (DINÁMICO)'!$M:$M,L$12,'ESTADÍSTICAS (DINÁMICO)'!$G:$G,$E18),SUMIFS('ESTADÍSTICAS (DINÁMICO)'!$K:$K,'ESTADÍSTICAS (DINÁMICO)'!$L:$L,$E$7,'ESTADÍSTICAS (DINÁMICO)'!$M:$M,L$12,'ESTADÍSTICAS (DINÁMICO)'!$G:$G,$E18))),(IF($E$7="ANUAL",SUMIFS('ESTADÍSTICAS (DINÁMICO)'!$K:$K,'ESTADÍSTICAS (DINÁMICO)'!$M:$M,L$12,'ESTADÍSTICAS (DINÁMICO)'!$G:$G,$E18),SUMIFS('ESTADÍSTICAS (DINÁMICO)'!$K:$K,'ESTADÍSTICAS (DINÁMICO)'!$L:$L,$E$7,'ESTADÍSTICAS (DINÁMICO)'!$M:$M,L$12,'ESTADÍSTICAS (DINÁMICO)'!$G:$G,$E18)))/3)</f>
        <v>0</v>
      </c>
      <c r="M18" s="74">
        <f ca="1">IF($P18="Porcentaje",(IF($E$7="ANUAL",SUMIFS('ESTADÍSTICAS (DINÁMICO)'!$K:$K,'ESTADÍSTICAS (DINÁMICO)'!$M:$M,M$12,'ESTADÍSTICAS (DINÁMICO)'!$G:$G,$E18),SUMIFS('ESTADÍSTICAS (DINÁMICO)'!$K:$K,'ESTADÍSTICAS (DINÁMICO)'!$L:$L,$E$7,'ESTADÍSTICAS (DINÁMICO)'!$M:$M,M$12,'ESTADÍSTICAS (DINÁMICO)'!$G:$G,$E18))),(IF($E$7="ANUAL",SUMIFS('ESTADÍSTICAS (DINÁMICO)'!$K:$K,'ESTADÍSTICAS (DINÁMICO)'!$M:$M,M$12,'ESTADÍSTICAS (DINÁMICO)'!$G:$G,$E18),SUMIFS('ESTADÍSTICAS (DINÁMICO)'!$K:$K,'ESTADÍSTICAS (DINÁMICO)'!$L:$L,$E$7,'ESTADÍSTICAS (DINÁMICO)'!$M:$M,M$12,'ESTADÍSTICAS (DINÁMICO)'!$G:$G,$E18)))/3)</f>
        <v>0</v>
      </c>
      <c r="N18" s="74">
        <f ca="1">IF($P18="Porcentaje",(IF($E$7="ANUAL",SUMIFS('ESTADÍSTICAS (DINÁMICO)'!$K:$K,'ESTADÍSTICAS (DINÁMICO)'!$M:$M,N$12,'ESTADÍSTICAS (DINÁMICO)'!$G:$G,$E18),SUMIFS('ESTADÍSTICAS (DINÁMICO)'!$K:$K,'ESTADÍSTICAS (DINÁMICO)'!$L:$L,$E$7,'ESTADÍSTICAS (DINÁMICO)'!$M:$M,N$12,'ESTADÍSTICAS (DINÁMICO)'!$G:$G,$E18))),(IF($E$7="ANUAL",SUMIFS('ESTADÍSTICAS (DINÁMICO)'!$K:$K,'ESTADÍSTICAS (DINÁMICO)'!$M:$M,N$12,'ESTADÍSTICAS (DINÁMICO)'!$G:$G,$E18),SUMIFS('ESTADÍSTICAS (DINÁMICO)'!$K:$K,'ESTADÍSTICAS (DINÁMICO)'!$L:$L,$E$7,'ESTADÍSTICAS (DINÁMICO)'!$M:$M,N$12,'ESTADÍSTICAS (DINÁMICO)'!$G:$G,$E18)))/3)</f>
        <v>0</v>
      </c>
      <c r="O18" s="75">
        <f t="shared" ca="1" si="0"/>
        <v>348.33333333333331</v>
      </c>
      <c r="P18" s="81" t="str">
        <f ca="1">VLOOKUP(A18,'Glosario KEY'!A:C,2,FALSE)</f>
        <v>Promedio</v>
      </c>
    </row>
    <row r="19" spans="1:16" ht="72" hidden="1">
      <c r="A19" s="71" t="str">
        <f ca="1">IFERROR(__xludf.DUMMYFUNCTION("INDEX(importrange(""https://docs.google.com/spreadsheets/d/1msbw1Rxa9t3kJZ1TEQXbAradHm8z21NlL52Wym1yI1E/edit#gid=0"",""'buscador'!A:AM""),MATCH($E19,importrange(""https://docs.google.com/spreadsheets/d/1msbw1Rxa9t3kJZ1TEQXbAradHm8z21NlL52Wym1yI1E/edit#gid"&amp;"=0"",""'buscador'!K:K""),0),39)"),"5.1.2.1")</f>
        <v>5.1.2.1</v>
      </c>
      <c r="B19" s="80" t="str">
        <f ca="1">IFERROR(__xludf.DUMMYFUNCTION("INDEX(importrange(""1msbw1Rxa9t3kJZ1TEQXbAradHm8z21NlL52Wym1yI1E"",""'buscador'!A:AM""),MATCH($E19,importrange(""1msbw1Rxa9t3kJZ1TEQXbAradHm8z21NlL52Wym1yI1E"",""'buscador'!K:K""),0),7)"),"Atención Psicopedagógica Infantil")</f>
        <v>Atención Psicopedagógica Infantil</v>
      </c>
      <c r="C19" s="34" t="s">
        <v>104</v>
      </c>
      <c r="D19" s="73" t="s">
        <v>105</v>
      </c>
      <c r="E19" s="73" t="s">
        <v>106</v>
      </c>
      <c r="F19" s="74">
        <f ca="1">IF($P19="Porcentaje",(IF($E$7="ANUAL",SUMIFS('ESTADÍSTICAS (DINÁMICO)'!$K:$K,'ESTADÍSTICAS (DINÁMICO)'!$M:$M,F$12,'ESTADÍSTICAS (DINÁMICO)'!$G:$G,$E19),SUMIFS('ESTADÍSTICAS (DINÁMICO)'!$K:$K,'ESTADÍSTICAS (DINÁMICO)'!$L:$L,$E$7,'ESTADÍSTICAS (DINÁMICO)'!$M:$M,F$12,'ESTADÍSTICAS (DINÁMICO)'!$G:$G,$E19))),(IF($E$7="ANUAL",SUMIFS('ESTADÍSTICAS (DINÁMICO)'!$K:$K,'ESTADÍSTICAS (DINÁMICO)'!$M:$M,F$12,'ESTADÍSTICAS (DINÁMICO)'!$G:$G,$E19),SUMIFS('ESTADÍSTICAS (DINÁMICO)'!$K:$K,'ESTADÍSTICAS (DINÁMICO)'!$L:$L,$E$7,'ESTADÍSTICAS (DINÁMICO)'!$M:$M,F$12,'ESTADÍSTICAS (DINÁMICO)'!$G:$G,$E19)))/4)</f>
        <v>42</v>
      </c>
      <c r="G19" s="74">
        <f ca="1">IF($P19="Porcentaje",(IF($E$7="ANUAL",SUMIFS('ESTADÍSTICAS (DINÁMICO)'!$K:$K,'ESTADÍSTICAS (DINÁMICO)'!$M:$M,G$12,'ESTADÍSTICAS (DINÁMICO)'!$G:$G,$E19),SUMIFS('ESTADÍSTICAS (DINÁMICO)'!$K:$K,'ESTADÍSTICAS (DINÁMICO)'!$L:$L,$E$7,'ESTADÍSTICAS (DINÁMICO)'!$M:$M,G$12,'ESTADÍSTICAS (DINÁMICO)'!$G:$G,$E19))),(IF($E$7="ANUAL",SUMIFS('ESTADÍSTICAS (DINÁMICO)'!$K:$K,'ESTADÍSTICAS (DINÁMICO)'!$M:$M,G$12,'ESTADÍSTICAS (DINÁMICO)'!$G:$G,$E19),SUMIFS('ESTADÍSTICAS (DINÁMICO)'!$K:$K,'ESTADÍSTICAS (DINÁMICO)'!$L:$L,$E$7,'ESTADÍSTICAS (DINÁMICO)'!$M:$M,G$12,'ESTADÍSTICAS (DINÁMICO)'!$G:$G,$E19)))/4)</f>
        <v>87</v>
      </c>
      <c r="H19" s="74">
        <f ca="1">IF($P19="Porcentaje",(IF($E$7="ANUAL",SUMIFS('ESTADÍSTICAS (DINÁMICO)'!$K:$K,'ESTADÍSTICAS (DINÁMICO)'!$M:$M,H$12,'ESTADÍSTICAS (DINÁMICO)'!$G:$G,$E19),SUMIFS('ESTADÍSTICAS (DINÁMICO)'!$K:$K,'ESTADÍSTICAS (DINÁMICO)'!$L:$L,$E$7,'ESTADÍSTICAS (DINÁMICO)'!$M:$M,H$12,'ESTADÍSTICAS (DINÁMICO)'!$G:$G,$E19))),(IF($E$7="ANUAL",SUMIFS('ESTADÍSTICAS (DINÁMICO)'!$K:$K,'ESTADÍSTICAS (DINÁMICO)'!$M:$M,H$12,'ESTADÍSTICAS (DINÁMICO)'!$G:$G,$E19),SUMIFS('ESTADÍSTICAS (DINÁMICO)'!$K:$K,'ESTADÍSTICAS (DINÁMICO)'!$L:$L,$E$7,'ESTADÍSTICAS (DINÁMICO)'!$M:$M,H$12,'ESTADÍSTICAS (DINÁMICO)'!$G:$G,$E19)))/4)</f>
        <v>0</v>
      </c>
      <c r="I19" s="74">
        <f ca="1">IF($P19="Porcentaje",(IF($E$7="ANUAL",SUMIFS('ESTADÍSTICAS (DINÁMICO)'!$K:$K,'ESTADÍSTICAS (DINÁMICO)'!$M:$M,I$12,'ESTADÍSTICAS (DINÁMICO)'!$G:$G,$E19),SUMIFS('ESTADÍSTICAS (DINÁMICO)'!$K:$K,'ESTADÍSTICAS (DINÁMICO)'!$L:$L,$E$7,'ESTADÍSTICAS (DINÁMICO)'!$M:$M,I$12,'ESTADÍSTICAS (DINÁMICO)'!$G:$G,$E19))),(IF($E$7="ANUAL",SUMIFS('ESTADÍSTICAS (DINÁMICO)'!$K:$K,'ESTADÍSTICAS (DINÁMICO)'!$M:$M,I$12,'ESTADÍSTICAS (DINÁMICO)'!$G:$G,$E19),SUMIFS('ESTADÍSTICAS (DINÁMICO)'!$K:$K,'ESTADÍSTICAS (DINÁMICO)'!$L:$L,$E$7,'ESTADÍSTICAS (DINÁMICO)'!$M:$M,I$12,'ESTADÍSTICAS (DINÁMICO)'!$G:$G,$E19)))/4)</f>
        <v>0</v>
      </c>
      <c r="J19" s="74">
        <f ca="1">IF($P19="Porcentaje",(IF($E$7="ANUAL",SUMIFS('ESTADÍSTICAS (DINÁMICO)'!$K:$K,'ESTADÍSTICAS (DINÁMICO)'!$M:$M,J$12,'ESTADÍSTICAS (DINÁMICO)'!$G:$G,$E19),SUMIFS('ESTADÍSTICAS (DINÁMICO)'!$K:$K,'ESTADÍSTICAS (DINÁMICO)'!$L:$L,$E$7,'ESTADÍSTICAS (DINÁMICO)'!$M:$M,J$12,'ESTADÍSTICAS (DINÁMICO)'!$G:$G,$E19))),(IF($E$7="ANUAL",SUMIFS('ESTADÍSTICAS (DINÁMICO)'!$K:$K,'ESTADÍSTICAS (DINÁMICO)'!$M:$M,J$12,'ESTADÍSTICAS (DINÁMICO)'!$G:$G,$E19),SUMIFS('ESTADÍSTICAS (DINÁMICO)'!$K:$K,'ESTADÍSTICAS (DINÁMICO)'!$L:$L,$E$7,'ESTADÍSTICAS (DINÁMICO)'!$M:$M,J$12,'ESTADÍSTICAS (DINÁMICO)'!$G:$G,$E19)))/4)</f>
        <v>0</v>
      </c>
      <c r="K19" s="74">
        <f ca="1">IF($P19="Porcentaje",(IF($E$7="ANUAL",SUMIFS('ESTADÍSTICAS (DINÁMICO)'!$K:$K,'ESTADÍSTICAS (DINÁMICO)'!$M:$M,K$12,'ESTADÍSTICAS (DINÁMICO)'!$G:$G,$E19),SUMIFS('ESTADÍSTICAS (DINÁMICO)'!$K:$K,'ESTADÍSTICAS (DINÁMICO)'!$L:$L,$E$7,'ESTADÍSTICAS (DINÁMICO)'!$M:$M,K$12,'ESTADÍSTICAS (DINÁMICO)'!$G:$G,$E19))),(IF($E$7="ANUAL",SUMIFS('ESTADÍSTICAS (DINÁMICO)'!$K:$K,'ESTADÍSTICAS (DINÁMICO)'!$M:$M,K$12,'ESTADÍSTICAS (DINÁMICO)'!$G:$G,$E19),SUMIFS('ESTADÍSTICAS (DINÁMICO)'!$K:$K,'ESTADÍSTICAS (DINÁMICO)'!$L:$L,$E$7,'ESTADÍSTICAS (DINÁMICO)'!$M:$M,K$12,'ESTADÍSTICAS (DINÁMICO)'!$G:$G,$E19)))/4)</f>
        <v>0</v>
      </c>
      <c r="L19" s="74">
        <f ca="1">IF($P19="Porcentaje",(IF($E$7="ANUAL",SUMIFS('ESTADÍSTICAS (DINÁMICO)'!$K:$K,'ESTADÍSTICAS (DINÁMICO)'!$M:$M,L$12,'ESTADÍSTICAS (DINÁMICO)'!$G:$G,$E19),SUMIFS('ESTADÍSTICAS (DINÁMICO)'!$K:$K,'ESTADÍSTICAS (DINÁMICO)'!$L:$L,$E$7,'ESTADÍSTICAS (DINÁMICO)'!$M:$M,L$12,'ESTADÍSTICAS (DINÁMICO)'!$G:$G,$E19))),(IF($E$7="ANUAL",SUMIFS('ESTADÍSTICAS (DINÁMICO)'!$K:$K,'ESTADÍSTICAS (DINÁMICO)'!$M:$M,L$12,'ESTADÍSTICAS (DINÁMICO)'!$G:$G,$E19),SUMIFS('ESTADÍSTICAS (DINÁMICO)'!$K:$K,'ESTADÍSTICAS (DINÁMICO)'!$L:$L,$E$7,'ESTADÍSTICAS (DINÁMICO)'!$M:$M,L$12,'ESTADÍSTICAS (DINÁMICO)'!$G:$G,$E19)))/4)</f>
        <v>0</v>
      </c>
      <c r="M19" s="74">
        <f ca="1">IF($P19="Porcentaje",(IF($E$7="ANUAL",SUMIFS('ESTADÍSTICAS (DINÁMICO)'!$K:$K,'ESTADÍSTICAS (DINÁMICO)'!$M:$M,M$12,'ESTADÍSTICAS (DINÁMICO)'!$G:$G,$E19),SUMIFS('ESTADÍSTICAS (DINÁMICO)'!$K:$K,'ESTADÍSTICAS (DINÁMICO)'!$L:$L,$E$7,'ESTADÍSTICAS (DINÁMICO)'!$M:$M,M$12,'ESTADÍSTICAS (DINÁMICO)'!$G:$G,$E19))),(IF($E$7="ANUAL",SUMIFS('ESTADÍSTICAS (DINÁMICO)'!$K:$K,'ESTADÍSTICAS (DINÁMICO)'!$M:$M,M$12,'ESTADÍSTICAS (DINÁMICO)'!$G:$G,$E19),SUMIFS('ESTADÍSTICAS (DINÁMICO)'!$K:$K,'ESTADÍSTICAS (DINÁMICO)'!$L:$L,$E$7,'ESTADÍSTICAS (DINÁMICO)'!$M:$M,M$12,'ESTADÍSTICAS (DINÁMICO)'!$G:$G,$E19)))/4)</f>
        <v>0</v>
      </c>
      <c r="N19" s="74">
        <f ca="1">IF($P19="Porcentaje",(IF($E$7="ANUAL",SUMIFS('ESTADÍSTICAS (DINÁMICO)'!$K:$K,'ESTADÍSTICAS (DINÁMICO)'!$M:$M,N$12,'ESTADÍSTICAS (DINÁMICO)'!$G:$G,$E19),SUMIFS('ESTADÍSTICAS (DINÁMICO)'!$K:$K,'ESTADÍSTICAS (DINÁMICO)'!$L:$L,$E$7,'ESTADÍSTICAS (DINÁMICO)'!$M:$M,N$12,'ESTADÍSTICAS (DINÁMICO)'!$G:$G,$E19))),(IF($E$7="ANUAL",SUMIFS('ESTADÍSTICAS (DINÁMICO)'!$K:$K,'ESTADÍSTICAS (DINÁMICO)'!$M:$M,N$12,'ESTADÍSTICAS (DINÁMICO)'!$G:$G,$E19),SUMIFS('ESTADÍSTICAS (DINÁMICO)'!$K:$K,'ESTADÍSTICAS (DINÁMICO)'!$L:$L,$E$7,'ESTADÍSTICAS (DINÁMICO)'!$M:$M,N$12,'ESTADÍSTICAS (DINÁMICO)'!$G:$G,$E19)))/4)</f>
        <v>0</v>
      </c>
      <c r="O19" s="75">
        <f t="shared" ca="1" si="0"/>
        <v>129</v>
      </c>
      <c r="P19" s="81" t="str">
        <f ca="1">VLOOKUP(A19,'Glosario KEY'!A:C,2,FALSE)</f>
        <v>Porcentaje</v>
      </c>
    </row>
    <row r="20" spans="1:16" ht="60">
      <c r="A20" s="71" t="str">
        <f ca="1">IFERROR(__xludf.DUMMYFUNCTION("INDEX(importrange(""https://docs.google.com/spreadsheets/d/1msbw1Rxa9t3kJZ1TEQXbAradHm8z21NlL52Wym1yI1E/edit#gid=0"",""'buscador'!A:AM""),MATCH($E20,importrange(""https://docs.google.com/spreadsheets/d/1msbw1Rxa9t3kJZ1TEQXbAradHm8z21NlL52Wym1yI1E/edit#gid"&amp;"=0"",""'buscador'!K:K""),0),39)"),"5.1.2.2")</f>
        <v>5.1.2.2</v>
      </c>
      <c r="B20" s="80" t="str">
        <f ca="1">IFERROR(__xludf.DUMMYFUNCTION("INDEX(importrange(""1msbw1Rxa9t3kJZ1TEQXbAradHm8z21NlL52Wym1yI1E"",""'buscador'!A:AM""),MATCH($E20,importrange(""1msbw1Rxa9t3kJZ1TEQXbAradHm8z21NlL52Wym1yI1E"",""'buscador'!K:K""),0),7)"),"Atención Psicopedagógica Infantil")</f>
        <v>Atención Psicopedagógica Infantil</v>
      </c>
      <c r="C20" s="34" t="s">
        <v>111</v>
      </c>
      <c r="D20" s="73" t="s">
        <v>112</v>
      </c>
      <c r="E20" s="73" t="s">
        <v>113</v>
      </c>
      <c r="F20" s="74">
        <f ca="1">IF($P20="Porcentaje",(IF($E$7="ANUAL",SUMIFS('ESTADÍSTICAS (DINÁMICO)'!$K:$K,'ESTADÍSTICAS (DINÁMICO)'!$M:$M,F$12,'ESTADÍSTICAS (DINÁMICO)'!$G:$G,$E20),SUMIFS('ESTADÍSTICAS (DINÁMICO)'!$K:$K,'ESTADÍSTICAS (DINÁMICO)'!$L:$L,$E$7,'ESTADÍSTICAS (DINÁMICO)'!$M:$M,F$12,'ESTADÍSTICAS (DINÁMICO)'!$G:$G,$E20))),(IF($E$7="ANUAL",SUMIFS('ESTADÍSTICAS (DINÁMICO)'!$K:$K,'ESTADÍSTICAS (DINÁMICO)'!$M:$M,F$12,'ESTADÍSTICAS (DINÁMICO)'!$G:$G,$E20),SUMIFS('ESTADÍSTICAS (DINÁMICO)'!$K:$K,'ESTADÍSTICAS (DINÁMICO)'!$L:$L,$E$7,'ESTADÍSTICAS (DINÁMICO)'!$M:$M,F$12,'ESTADÍSTICAS (DINÁMICO)'!$G:$G,$E20)))/4)</f>
        <v>0</v>
      </c>
      <c r="G20" s="74">
        <f ca="1">IF($P20="Porcentaje",(IF($E$7="ANUAL",SUMIFS('ESTADÍSTICAS (DINÁMICO)'!$K:$K,'ESTADÍSTICAS (DINÁMICO)'!$M:$M,G$12,'ESTADÍSTICAS (DINÁMICO)'!$G:$G,$E20),SUMIFS('ESTADÍSTICAS (DINÁMICO)'!$K:$K,'ESTADÍSTICAS (DINÁMICO)'!$L:$L,$E$7,'ESTADÍSTICAS (DINÁMICO)'!$M:$M,G$12,'ESTADÍSTICAS (DINÁMICO)'!$G:$G,$E20))),(IF($E$7="ANUAL",SUMIFS('ESTADÍSTICAS (DINÁMICO)'!$K:$K,'ESTADÍSTICAS (DINÁMICO)'!$M:$M,G$12,'ESTADÍSTICAS (DINÁMICO)'!$G:$G,$E20),SUMIFS('ESTADÍSTICAS (DINÁMICO)'!$K:$K,'ESTADÍSTICAS (DINÁMICO)'!$L:$L,$E$7,'ESTADÍSTICAS (DINÁMICO)'!$M:$M,G$12,'ESTADÍSTICAS (DINÁMICO)'!$G:$G,$E20)))/4)</f>
        <v>0</v>
      </c>
      <c r="H20" s="74">
        <f ca="1">IF($P20="Porcentaje",(IF($E$7="ANUAL",SUMIFS('ESTADÍSTICAS (DINÁMICO)'!$K:$K,'ESTADÍSTICAS (DINÁMICO)'!$M:$M,H$12,'ESTADÍSTICAS (DINÁMICO)'!$G:$G,$E20),SUMIFS('ESTADÍSTICAS (DINÁMICO)'!$K:$K,'ESTADÍSTICAS (DINÁMICO)'!$L:$L,$E$7,'ESTADÍSTICAS (DINÁMICO)'!$M:$M,H$12,'ESTADÍSTICAS (DINÁMICO)'!$G:$G,$E20))),(IF($E$7="ANUAL",SUMIFS('ESTADÍSTICAS (DINÁMICO)'!$K:$K,'ESTADÍSTICAS (DINÁMICO)'!$M:$M,H$12,'ESTADÍSTICAS (DINÁMICO)'!$G:$G,$E20),SUMIFS('ESTADÍSTICAS (DINÁMICO)'!$K:$K,'ESTADÍSTICAS (DINÁMICO)'!$L:$L,$E$7,'ESTADÍSTICAS (DINÁMICO)'!$M:$M,H$12,'ESTADÍSTICAS (DINÁMICO)'!$G:$G,$E20)))/4)</f>
        <v>0</v>
      </c>
      <c r="I20" s="74">
        <f ca="1">IF($P20="Porcentaje",(IF($E$7="ANUAL",SUMIFS('ESTADÍSTICAS (DINÁMICO)'!$K:$K,'ESTADÍSTICAS (DINÁMICO)'!$M:$M,I$12,'ESTADÍSTICAS (DINÁMICO)'!$G:$G,$E20),SUMIFS('ESTADÍSTICAS (DINÁMICO)'!$K:$K,'ESTADÍSTICAS (DINÁMICO)'!$L:$L,$E$7,'ESTADÍSTICAS (DINÁMICO)'!$M:$M,I$12,'ESTADÍSTICAS (DINÁMICO)'!$G:$G,$E20))),(IF($E$7="ANUAL",SUMIFS('ESTADÍSTICAS (DINÁMICO)'!$K:$K,'ESTADÍSTICAS (DINÁMICO)'!$M:$M,I$12,'ESTADÍSTICAS (DINÁMICO)'!$G:$G,$E20),SUMIFS('ESTADÍSTICAS (DINÁMICO)'!$K:$K,'ESTADÍSTICAS (DINÁMICO)'!$L:$L,$E$7,'ESTADÍSTICAS (DINÁMICO)'!$M:$M,I$12,'ESTADÍSTICAS (DINÁMICO)'!$G:$G,$E20)))/4)</f>
        <v>0</v>
      </c>
      <c r="J20" s="74">
        <f ca="1">IF($P20="Porcentaje",(IF($E$7="ANUAL",SUMIFS('ESTADÍSTICAS (DINÁMICO)'!$K:$K,'ESTADÍSTICAS (DINÁMICO)'!$M:$M,J$12,'ESTADÍSTICAS (DINÁMICO)'!$G:$G,$E20),SUMIFS('ESTADÍSTICAS (DINÁMICO)'!$K:$K,'ESTADÍSTICAS (DINÁMICO)'!$L:$L,$E$7,'ESTADÍSTICAS (DINÁMICO)'!$M:$M,J$12,'ESTADÍSTICAS (DINÁMICO)'!$G:$G,$E20))),(IF($E$7="ANUAL",SUMIFS('ESTADÍSTICAS (DINÁMICO)'!$K:$K,'ESTADÍSTICAS (DINÁMICO)'!$M:$M,J$12,'ESTADÍSTICAS (DINÁMICO)'!$G:$G,$E20),SUMIFS('ESTADÍSTICAS (DINÁMICO)'!$K:$K,'ESTADÍSTICAS (DINÁMICO)'!$L:$L,$E$7,'ESTADÍSTICAS (DINÁMICO)'!$M:$M,J$12,'ESTADÍSTICAS (DINÁMICO)'!$G:$G,$E20)))/4)</f>
        <v>0</v>
      </c>
      <c r="K20" s="74">
        <f ca="1">IF($P20="Porcentaje",(IF($E$7="ANUAL",SUMIFS('ESTADÍSTICAS (DINÁMICO)'!$K:$K,'ESTADÍSTICAS (DINÁMICO)'!$M:$M,K$12,'ESTADÍSTICAS (DINÁMICO)'!$G:$G,$E20),SUMIFS('ESTADÍSTICAS (DINÁMICO)'!$K:$K,'ESTADÍSTICAS (DINÁMICO)'!$L:$L,$E$7,'ESTADÍSTICAS (DINÁMICO)'!$M:$M,K$12,'ESTADÍSTICAS (DINÁMICO)'!$G:$G,$E20))),(IF($E$7="ANUAL",SUMIFS('ESTADÍSTICAS (DINÁMICO)'!$K:$K,'ESTADÍSTICAS (DINÁMICO)'!$M:$M,K$12,'ESTADÍSTICAS (DINÁMICO)'!$G:$G,$E20),SUMIFS('ESTADÍSTICAS (DINÁMICO)'!$K:$K,'ESTADÍSTICAS (DINÁMICO)'!$L:$L,$E$7,'ESTADÍSTICAS (DINÁMICO)'!$M:$M,K$12,'ESTADÍSTICAS (DINÁMICO)'!$G:$G,$E20)))/4)</f>
        <v>0</v>
      </c>
      <c r="L20" s="74">
        <f ca="1">IF($P20="Porcentaje",(IF($E$7="ANUAL",SUMIFS('ESTADÍSTICAS (DINÁMICO)'!$K:$K,'ESTADÍSTICAS (DINÁMICO)'!$M:$M,L$12,'ESTADÍSTICAS (DINÁMICO)'!$G:$G,$E20),SUMIFS('ESTADÍSTICAS (DINÁMICO)'!$K:$K,'ESTADÍSTICAS (DINÁMICO)'!$L:$L,$E$7,'ESTADÍSTICAS (DINÁMICO)'!$M:$M,L$12,'ESTADÍSTICAS (DINÁMICO)'!$G:$G,$E20))),(IF($E$7="ANUAL",SUMIFS('ESTADÍSTICAS (DINÁMICO)'!$K:$K,'ESTADÍSTICAS (DINÁMICO)'!$M:$M,L$12,'ESTADÍSTICAS (DINÁMICO)'!$G:$G,$E20),SUMIFS('ESTADÍSTICAS (DINÁMICO)'!$K:$K,'ESTADÍSTICAS (DINÁMICO)'!$L:$L,$E$7,'ESTADÍSTICAS (DINÁMICO)'!$M:$M,L$12,'ESTADÍSTICAS (DINÁMICO)'!$G:$G,$E20)))/4)</f>
        <v>0</v>
      </c>
      <c r="M20" s="74">
        <f ca="1">IF($P20="Porcentaje",(IF($E$7="ANUAL",SUMIFS('ESTADÍSTICAS (DINÁMICO)'!$K:$K,'ESTADÍSTICAS (DINÁMICO)'!$M:$M,M$12,'ESTADÍSTICAS (DINÁMICO)'!$G:$G,$E20),SUMIFS('ESTADÍSTICAS (DINÁMICO)'!$K:$K,'ESTADÍSTICAS (DINÁMICO)'!$L:$L,$E$7,'ESTADÍSTICAS (DINÁMICO)'!$M:$M,M$12,'ESTADÍSTICAS (DINÁMICO)'!$G:$G,$E20))),(IF($E$7="ANUAL",SUMIFS('ESTADÍSTICAS (DINÁMICO)'!$K:$K,'ESTADÍSTICAS (DINÁMICO)'!$M:$M,M$12,'ESTADÍSTICAS (DINÁMICO)'!$G:$G,$E20),SUMIFS('ESTADÍSTICAS (DINÁMICO)'!$K:$K,'ESTADÍSTICAS (DINÁMICO)'!$L:$L,$E$7,'ESTADÍSTICAS (DINÁMICO)'!$M:$M,M$12,'ESTADÍSTICAS (DINÁMICO)'!$G:$G,$E20)))/4)</f>
        <v>0</v>
      </c>
      <c r="N20" s="77">
        <f ca="1">IF($P20="Porcentaje",(IF($E$7="ANUAL",SUMIFS('ESTADÍSTICAS (DINÁMICO)'!$K:$K,'ESTADÍSTICAS (DINÁMICO)'!$M:$M,N$12,'ESTADÍSTICAS (DINÁMICO)'!$G:$G,$E20),SUMIFS('ESTADÍSTICAS (DINÁMICO)'!$K:$K,'ESTADÍSTICAS (DINÁMICO)'!$L:$L,$E$7,'ESTADÍSTICAS (DINÁMICO)'!$M:$M,N$12,'ESTADÍSTICAS (DINÁMICO)'!$G:$G,$E20))),(IF($E$7="ANUAL",SUMIFS('ESTADÍSTICAS (DINÁMICO)'!$K:$K,'ESTADÍSTICAS (DINÁMICO)'!$M:$M,N$12,'ESTADÍSTICAS (DINÁMICO)'!$G:$G,$E20),SUMIFS('ESTADÍSTICAS (DINÁMICO)'!$K:$K,'ESTADÍSTICAS (DINÁMICO)'!$L:$L,$E$7,'ESTADÍSTICAS (DINÁMICO)'!$M:$M,N$12,'ESTADÍSTICAS (DINÁMICO)'!$G:$G,$E20)))/4)</f>
        <v>4392</v>
      </c>
      <c r="O20" s="75">
        <f t="shared" ca="1" si="0"/>
        <v>4392</v>
      </c>
      <c r="P20" s="81" t="str">
        <f ca="1">VLOOKUP(A20,'Glosario KEY'!A:C,2,FALSE)</f>
        <v>Porcentaje</v>
      </c>
    </row>
    <row r="21" spans="1:16" ht="27">
      <c r="A21" s="82"/>
      <c r="B21" s="59"/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</row>
    <row r="22" spans="1:16" ht="27">
      <c r="A22" s="82"/>
      <c r="B22" s="59"/>
      <c r="C22" s="59"/>
      <c r="D22" s="59"/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59"/>
      <c r="P22" s="59"/>
    </row>
    <row r="23" spans="1:16" ht="27">
      <c r="A23" s="82"/>
      <c r="B23" s="59"/>
      <c r="C23" s="59"/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59"/>
    </row>
    <row r="24" spans="1:16" ht="27">
      <c r="A24" s="82"/>
      <c r="B24" s="59"/>
      <c r="C24" s="59"/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</row>
    <row r="25" spans="1:16" ht="27">
      <c r="A25" s="82"/>
      <c r="B25" s="59"/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</row>
    <row r="26" spans="1:16" ht="27">
      <c r="A26" s="82"/>
      <c r="B26" s="59"/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</row>
    <row r="27" spans="1:16" ht="27">
      <c r="A27" s="82"/>
      <c r="B27" s="59"/>
      <c r="C27" s="59"/>
      <c r="D27" s="59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</row>
    <row r="28" spans="1:16" ht="27">
      <c r="A28" s="82"/>
      <c r="B28" s="59"/>
      <c r="C28" s="59"/>
      <c r="D28" s="59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</row>
    <row r="29" spans="1:16" ht="27">
      <c r="A29" s="82"/>
      <c r="B29" s="59"/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</row>
    <row r="30" spans="1:16" ht="27">
      <c r="A30" s="82"/>
      <c r="B30" s="59"/>
      <c r="C30" s="59"/>
      <c r="D30" s="59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</row>
    <row r="31" spans="1:16" ht="27">
      <c r="A31" s="82"/>
      <c r="B31" s="59"/>
      <c r="C31" s="59"/>
      <c r="D31" s="59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</row>
    <row r="32" spans="1:16" ht="27">
      <c r="A32" s="82"/>
      <c r="B32" s="59"/>
      <c r="C32" s="59"/>
      <c r="D32" s="5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</row>
    <row r="33" spans="1:16" ht="27">
      <c r="A33" s="82"/>
      <c r="B33" s="59"/>
      <c r="C33" s="59"/>
      <c r="D33" s="59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59"/>
      <c r="P33" s="59"/>
    </row>
    <row r="34" spans="1:16" ht="27">
      <c r="A34" s="82"/>
      <c r="B34" s="59"/>
      <c r="C34" s="59"/>
      <c r="D34" s="59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</row>
    <row r="35" spans="1:16" ht="27">
      <c r="A35" s="82"/>
      <c r="B35" s="59"/>
      <c r="C35" s="59"/>
      <c r="D35" s="59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</row>
    <row r="36" spans="1:16" ht="27">
      <c r="A36" s="82"/>
      <c r="B36" s="59"/>
      <c r="C36" s="59"/>
      <c r="D36" s="59"/>
      <c r="E36" s="59"/>
      <c r="F36" s="59"/>
      <c r="G36" s="59"/>
      <c r="H36" s="59"/>
      <c r="I36" s="59"/>
      <c r="J36" s="59"/>
      <c r="K36" s="59"/>
      <c r="L36" s="59"/>
      <c r="M36" s="59"/>
      <c r="N36" s="59"/>
      <c r="O36" s="59"/>
      <c r="P36" s="59"/>
    </row>
    <row r="37" spans="1:16" ht="27">
      <c r="A37" s="82"/>
      <c r="B37" s="59"/>
      <c r="C37" s="59"/>
      <c r="D37" s="59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</row>
    <row r="38" spans="1:16" ht="27">
      <c r="A38" s="82"/>
      <c r="B38" s="59"/>
      <c r="C38" s="59"/>
      <c r="D38" s="59"/>
      <c r="E38" s="59"/>
      <c r="F38" s="59"/>
      <c r="G38" s="59"/>
      <c r="H38" s="59"/>
      <c r="I38" s="59"/>
      <c r="J38" s="59"/>
      <c r="K38" s="59"/>
      <c r="L38" s="59"/>
      <c r="M38" s="59"/>
      <c r="N38" s="59"/>
      <c r="O38" s="59"/>
      <c r="P38" s="59"/>
    </row>
    <row r="39" spans="1:16" ht="27">
      <c r="A39" s="82"/>
      <c r="B39" s="59"/>
      <c r="C39" s="59"/>
      <c r="D39" s="59"/>
      <c r="E39" s="59"/>
      <c r="F39" s="59"/>
      <c r="G39" s="59"/>
      <c r="H39" s="59"/>
      <c r="I39" s="59"/>
      <c r="J39" s="59"/>
      <c r="K39" s="59"/>
      <c r="L39" s="59"/>
      <c r="M39" s="59"/>
      <c r="N39" s="59"/>
      <c r="O39" s="59"/>
      <c r="P39" s="59"/>
    </row>
    <row r="40" spans="1:16" ht="27">
      <c r="A40" s="82"/>
      <c r="B40" s="59"/>
      <c r="C40" s="59"/>
      <c r="D40" s="59"/>
      <c r="E40" s="59"/>
      <c r="F40" s="59"/>
      <c r="G40" s="59"/>
      <c r="H40" s="59"/>
      <c r="I40" s="59"/>
      <c r="J40" s="59"/>
      <c r="K40" s="59"/>
      <c r="L40" s="59"/>
      <c r="M40" s="59"/>
      <c r="N40" s="59"/>
      <c r="O40" s="59"/>
      <c r="P40" s="59"/>
    </row>
    <row r="41" spans="1:16" ht="27">
      <c r="A41" s="82"/>
      <c r="B41" s="59"/>
      <c r="C41" s="59"/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</row>
    <row r="42" spans="1:16" ht="27">
      <c r="A42" s="82"/>
      <c r="B42" s="59"/>
      <c r="C42" s="59"/>
      <c r="D42" s="59"/>
      <c r="E42" s="59"/>
      <c r="F42" s="59"/>
      <c r="G42" s="59"/>
      <c r="H42" s="59"/>
      <c r="I42" s="59"/>
      <c r="J42" s="59"/>
      <c r="K42" s="59"/>
      <c r="L42" s="59"/>
      <c r="M42" s="59"/>
      <c r="N42" s="59"/>
      <c r="O42" s="59"/>
      <c r="P42" s="59"/>
    </row>
    <row r="43" spans="1:16" ht="27">
      <c r="A43" s="82"/>
      <c r="B43" s="59"/>
      <c r="C43" s="59"/>
      <c r="D43" s="59"/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59"/>
    </row>
    <row r="44" spans="1:16" ht="27">
      <c r="A44" s="82"/>
      <c r="B44" s="83"/>
      <c r="C44" s="84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4"/>
      <c r="O44" s="84"/>
      <c r="P44" s="84"/>
    </row>
    <row r="45" spans="1:16" ht="27">
      <c r="A45" s="82"/>
      <c r="B45" s="83"/>
      <c r="C45" s="84"/>
      <c r="D45" s="84"/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</row>
    <row r="46" spans="1:16" ht="27">
      <c r="A46" s="82"/>
      <c r="B46" s="83"/>
      <c r="C46" s="84"/>
      <c r="D46" s="84"/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</row>
    <row r="47" spans="1:16" ht="27">
      <c r="A47" s="82"/>
      <c r="B47" s="83"/>
      <c r="C47" s="84"/>
      <c r="D47" s="84"/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5"/>
    </row>
    <row r="48" spans="1:16" ht="27">
      <c r="A48" s="82"/>
      <c r="B48" s="83"/>
      <c r="C48" s="84"/>
      <c r="D48" s="84"/>
      <c r="E48" s="84"/>
      <c r="F48" s="84"/>
      <c r="G48" s="84"/>
      <c r="H48" s="84"/>
      <c r="I48" s="84"/>
      <c r="J48" s="84"/>
      <c r="K48" s="84"/>
      <c r="L48" s="84"/>
      <c r="M48" s="84"/>
      <c r="N48" s="84"/>
      <c r="O48" s="84"/>
      <c r="P48" s="84"/>
    </row>
    <row r="49" spans="1:16" ht="27">
      <c r="A49" s="82"/>
      <c r="B49" s="83"/>
      <c r="C49" s="84"/>
      <c r="D49" s="84"/>
      <c r="E49" s="84"/>
      <c r="F49" s="84"/>
      <c r="G49" s="84"/>
      <c r="H49" s="84"/>
      <c r="I49" s="84"/>
      <c r="J49" s="84"/>
      <c r="K49" s="84"/>
      <c r="L49" s="84"/>
      <c r="M49" s="84"/>
      <c r="N49" s="84"/>
      <c r="O49" s="84"/>
      <c r="P49" s="84"/>
    </row>
    <row r="50" spans="1:16" ht="27">
      <c r="A50" s="82"/>
      <c r="B50" s="83"/>
      <c r="C50" s="84"/>
      <c r="D50" s="84"/>
      <c r="E50" s="84"/>
      <c r="F50" s="84"/>
      <c r="G50" s="84"/>
      <c r="H50" s="84"/>
      <c r="I50" s="84"/>
      <c r="J50" s="84"/>
      <c r="K50" s="84"/>
      <c r="L50" s="84"/>
      <c r="M50" s="84"/>
      <c r="N50" s="84"/>
      <c r="O50" s="84"/>
      <c r="P50" s="84"/>
    </row>
    <row r="51" spans="1:16" ht="27">
      <c r="A51" s="82"/>
      <c r="B51" s="83"/>
      <c r="C51" s="84"/>
      <c r="D51" s="84"/>
      <c r="E51" s="84"/>
      <c r="F51" s="84"/>
      <c r="G51" s="84"/>
      <c r="H51" s="84"/>
      <c r="I51" s="84"/>
      <c r="J51" s="84"/>
      <c r="K51" s="84"/>
      <c r="L51" s="84"/>
      <c r="M51" s="84"/>
      <c r="N51" s="84"/>
      <c r="O51" s="84"/>
      <c r="P51" s="86"/>
    </row>
    <row r="52" spans="1:16" ht="27">
      <c r="A52" s="82"/>
      <c r="B52" s="83"/>
      <c r="C52" s="84"/>
      <c r="D52" s="84"/>
      <c r="E52" s="84"/>
      <c r="F52" s="84"/>
      <c r="G52" s="84"/>
      <c r="H52" s="84"/>
      <c r="I52" s="84"/>
      <c r="J52" s="84"/>
      <c r="K52" s="84"/>
      <c r="L52" s="84"/>
      <c r="M52" s="84"/>
      <c r="N52" s="84"/>
      <c r="O52" s="84"/>
      <c r="P52" s="84"/>
    </row>
  </sheetData>
  <mergeCells count="6">
    <mergeCell ref="B9:P9"/>
    <mergeCell ref="E1:G3"/>
    <mergeCell ref="D4:I4"/>
    <mergeCell ref="E5:G5"/>
    <mergeCell ref="E6:G6"/>
    <mergeCell ref="E7:G7"/>
  </mergeCells>
  <dataValidations count="1">
    <dataValidation type="list" allowBlank="1" showErrorMessage="1" sqref="E7" xr:uid="{00000000-0002-0000-0100-000000000000}">
      <formula1>"TRIMESTRE 1,TRIMESTRE 2,TRIMESTRE 3,TRIMESTRE 4,ANUAL"</formula1>
    </dataValidation>
  </dataValidations>
  <printOptions gridLines="1"/>
  <pageMargins left="0.7" right="0.7" top="0.75" bottom="0.75" header="0" footer="0"/>
  <pageSetup fitToHeight="0" orientation="landscape"/>
  <headerFooter>
    <oddFooter>&amp;RPágina 2 de 8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Z1000"/>
  <sheetViews>
    <sheetView workbookViewId="0"/>
  </sheetViews>
  <sheetFormatPr baseColWidth="10" defaultColWidth="12.5703125" defaultRowHeight="15" customHeight="1"/>
  <cols>
    <col min="1" max="6" width="12.5703125" customWidth="1"/>
  </cols>
  <sheetData>
    <row r="1" spans="1:26" ht="15.75" customHeight="1">
      <c r="A1" s="1"/>
      <c r="B1" s="1"/>
      <c r="C1" s="1"/>
      <c r="D1" s="1"/>
      <c r="E1" s="1"/>
      <c r="F1" s="1"/>
      <c r="G1" s="1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1"/>
      <c r="T1" s="1"/>
      <c r="U1" s="1"/>
      <c r="V1" s="1"/>
      <c r="W1" s="1"/>
      <c r="X1" s="1"/>
      <c r="Y1" s="1"/>
      <c r="Z1" s="1"/>
    </row>
    <row r="2" spans="1:26" ht="15.75" customHeight="1">
      <c r="A2" s="1"/>
      <c r="B2" s="87" t="s">
        <v>144</v>
      </c>
      <c r="C2" s="88" t="s">
        <v>145</v>
      </c>
      <c r="D2" s="88" t="s">
        <v>146</v>
      </c>
      <c r="E2" s="87" t="s">
        <v>147</v>
      </c>
      <c r="F2" s="87" t="s">
        <v>148</v>
      </c>
      <c r="G2" s="89" t="s">
        <v>149</v>
      </c>
      <c r="H2" s="89" t="s">
        <v>150</v>
      </c>
      <c r="I2" s="89" t="s">
        <v>151</v>
      </c>
      <c r="J2" s="89" t="s">
        <v>152</v>
      </c>
      <c r="K2" s="89" t="s">
        <v>153</v>
      </c>
      <c r="L2" s="89" t="s">
        <v>154</v>
      </c>
      <c r="M2" s="89" t="s">
        <v>155</v>
      </c>
      <c r="N2" s="90" t="s">
        <v>156</v>
      </c>
      <c r="O2" s="89" t="s">
        <v>157</v>
      </c>
      <c r="P2" s="89" t="s">
        <v>158</v>
      </c>
      <c r="Q2" s="89" t="s">
        <v>159</v>
      </c>
      <c r="R2" s="91" t="s">
        <v>160</v>
      </c>
      <c r="S2" s="1"/>
      <c r="T2" s="1"/>
      <c r="U2" s="1"/>
      <c r="V2" s="1"/>
      <c r="W2" s="1"/>
      <c r="X2" s="1"/>
      <c r="Y2" s="1"/>
      <c r="Z2" s="1"/>
    </row>
    <row r="3" spans="1:26" ht="15.75" customHeight="1">
      <c r="A3" s="3"/>
      <c r="B3" s="92" t="s">
        <v>161</v>
      </c>
      <c r="C3" s="93" t="s">
        <v>162</v>
      </c>
      <c r="D3" s="142" t="s">
        <v>163</v>
      </c>
      <c r="E3" s="92" t="s">
        <v>164</v>
      </c>
      <c r="F3" s="92" t="s">
        <v>165</v>
      </c>
      <c r="G3" s="92" t="s">
        <v>166</v>
      </c>
      <c r="H3" s="92" t="s">
        <v>167</v>
      </c>
      <c r="I3" s="95" t="s">
        <v>168</v>
      </c>
      <c r="J3" s="96" t="s">
        <v>169</v>
      </c>
      <c r="K3" s="95" t="s">
        <v>170</v>
      </c>
      <c r="L3" s="95" t="s">
        <v>171</v>
      </c>
      <c r="M3" s="95" t="s">
        <v>172</v>
      </c>
      <c r="N3" s="4" t="s">
        <v>173</v>
      </c>
      <c r="O3" s="95" t="s">
        <v>118</v>
      </c>
      <c r="P3" s="95" t="s">
        <v>174</v>
      </c>
      <c r="Q3" s="92" t="s">
        <v>175</v>
      </c>
      <c r="R3" s="97" t="s">
        <v>176</v>
      </c>
      <c r="S3" s="1"/>
      <c r="T3" s="1"/>
      <c r="U3" s="1"/>
      <c r="V3" s="1"/>
      <c r="W3" s="1"/>
      <c r="X3" s="1"/>
      <c r="Y3" s="1"/>
      <c r="Z3" s="1"/>
    </row>
    <row r="4" spans="1:26" ht="15.75" customHeight="1">
      <c r="A4" s="3"/>
      <c r="B4" s="92" t="s">
        <v>177</v>
      </c>
      <c r="C4" s="98" t="s">
        <v>178</v>
      </c>
      <c r="D4" s="144"/>
      <c r="E4" s="92" t="s">
        <v>13</v>
      </c>
      <c r="F4" s="92" t="s">
        <v>179</v>
      </c>
      <c r="G4" s="92" t="s">
        <v>180</v>
      </c>
      <c r="H4" s="92" t="s">
        <v>20</v>
      </c>
      <c r="I4" s="95" t="s">
        <v>181</v>
      </c>
      <c r="J4" s="96" t="s">
        <v>182</v>
      </c>
      <c r="K4" s="95" t="s">
        <v>183</v>
      </c>
      <c r="L4" s="95" t="s">
        <v>184</v>
      </c>
      <c r="M4" s="95" t="s">
        <v>185</v>
      </c>
      <c r="N4" s="99" t="s">
        <v>186</v>
      </c>
      <c r="O4" s="95" t="s">
        <v>187</v>
      </c>
      <c r="P4" s="95" t="s">
        <v>188</v>
      </c>
      <c r="Q4" s="92" t="s">
        <v>189</v>
      </c>
      <c r="R4" s="97" t="s">
        <v>190</v>
      </c>
      <c r="S4" s="1"/>
      <c r="T4" s="1"/>
      <c r="U4" s="1"/>
      <c r="V4" s="1"/>
      <c r="W4" s="1"/>
      <c r="X4" s="1"/>
      <c r="Y4" s="1"/>
      <c r="Z4" s="1"/>
    </row>
    <row r="5" spans="1:26" ht="15.75" customHeight="1">
      <c r="A5" s="3"/>
      <c r="B5" s="92" t="s">
        <v>9</v>
      </c>
      <c r="C5" s="100" t="s">
        <v>191</v>
      </c>
      <c r="D5" s="143"/>
      <c r="E5" s="92" t="s">
        <v>192</v>
      </c>
      <c r="F5" s="92" t="s">
        <v>193</v>
      </c>
      <c r="G5" s="92" t="s">
        <v>194</v>
      </c>
      <c r="H5" s="92" t="s">
        <v>195</v>
      </c>
      <c r="I5" s="95" t="s">
        <v>196</v>
      </c>
      <c r="J5" s="96" t="s">
        <v>197</v>
      </c>
      <c r="K5" s="95" t="s">
        <v>198</v>
      </c>
      <c r="L5" s="95" t="s">
        <v>199</v>
      </c>
      <c r="M5" s="95" t="s">
        <v>200</v>
      </c>
      <c r="N5" s="4" t="s">
        <v>201</v>
      </c>
      <c r="O5" s="95" t="s">
        <v>202</v>
      </c>
      <c r="P5" s="95" t="s">
        <v>203</v>
      </c>
      <c r="Q5" s="92" t="s">
        <v>204</v>
      </c>
      <c r="R5" s="97" t="s">
        <v>72</v>
      </c>
      <c r="S5" s="1"/>
      <c r="T5" s="1"/>
      <c r="U5" s="1"/>
      <c r="V5" s="1"/>
      <c r="W5" s="1"/>
      <c r="X5" s="1"/>
      <c r="Y5" s="1"/>
      <c r="Z5" s="1"/>
    </row>
    <row r="6" spans="1:26" ht="15.75" customHeight="1">
      <c r="A6" s="3"/>
      <c r="B6" s="92" t="s">
        <v>205</v>
      </c>
      <c r="C6" s="100" t="s">
        <v>206</v>
      </c>
      <c r="D6" s="101" t="s">
        <v>207</v>
      </c>
      <c r="E6" s="95" t="s">
        <v>208</v>
      </c>
      <c r="F6" s="92" t="s">
        <v>209</v>
      </c>
      <c r="G6" s="92" t="s">
        <v>210</v>
      </c>
      <c r="H6" s="3"/>
      <c r="I6" s="95" t="s">
        <v>211</v>
      </c>
      <c r="J6" s="96" t="s">
        <v>212</v>
      </c>
      <c r="K6" s="95" t="s">
        <v>213</v>
      </c>
      <c r="L6" s="95" t="s">
        <v>214</v>
      </c>
      <c r="M6" s="95" t="s">
        <v>215</v>
      </c>
      <c r="N6" s="4" t="s">
        <v>216</v>
      </c>
      <c r="O6" s="95" t="s">
        <v>217</v>
      </c>
      <c r="P6" s="95" t="s">
        <v>218</v>
      </c>
      <c r="Q6" s="3"/>
      <c r="R6" s="97" t="s">
        <v>219</v>
      </c>
      <c r="S6" s="1"/>
      <c r="T6" s="1"/>
      <c r="U6" s="1"/>
      <c r="V6" s="1"/>
      <c r="W6" s="1"/>
      <c r="X6" s="1"/>
      <c r="Y6" s="1"/>
      <c r="Z6" s="1"/>
    </row>
    <row r="7" spans="1:26" ht="15.75" customHeight="1">
      <c r="A7" s="3"/>
      <c r="B7" s="92" t="s">
        <v>220</v>
      </c>
      <c r="C7" s="100" t="s">
        <v>221</v>
      </c>
      <c r="D7" s="102" t="s">
        <v>222</v>
      </c>
      <c r="E7" s="92"/>
      <c r="F7" s="92" t="s">
        <v>223</v>
      </c>
      <c r="G7" s="92" t="s">
        <v>224</v>
      </c>
      <c r="H7" s="3"/>
      <c r="I7" s="95" t="s">
        <v>225</v>
      </c>
      <c r="J7" s="96" t="s">
        <v>226</v>
      </c>
      <c r="K7" s="95" t="s">
        <v>227</v>
      </c>
      <c r="L7" s="95" t="s">
        <v>228</v>
      </c>
      <c r="M7" s="95" t="s">
        <v>229</v>
      </c>
      <c r="N7" s="4" t="s">
        <v>230</v>
      </c>
      <c r="O7" s="95" t="s">
        <v>231</v>
      </c>
      <c r="P7" s="1"/>
      <c r="Q7" s="3"/>
      <c r="R7" s="97" t="s">
        <v>232</v>
      </c>
      <c r="S7" s="1"/>
      <c r="T7" s="1"/>
      <c r="U7" s="1"/>
      <c r="V7" s="1"/>
      <c r="W7" s="1"/>
      <c r="X7" s="1"/>
      <c r="Y7" s="1"/>
      <c r="Z7" s="1"/>
    </row>
    <row r="8" spans="1:26" ht="15.75" customHeight="1">
      <c r="A8" s="3"/>
      <c r="B8" s="92" t="s">
        <v>233</v>
      </c>
      <c r="C8" s="100" t="s">
        <v>234</v>
      </c>
      <c r="D8" s="101" t="s">
        <v>235</v>
      </c>
      <c r="E8" s="92"/>
      <c r="F8" s="92" t="s">
        <v>236</v>
      </c>
      <c r="G8" s="92" t="s">
        <v>237</v>
      </c>
      <c r="H8" s="3"/>
      <c r="I8" s="95" t="s">
        <v>238</v>
      </c>
      <c r="J8" s="96" t="s">
        <v>239</v>
      </c>
      <c r="K8" s="95" t="s">
        <v>240</v>
      </c>
      <c r="L8" s="103" t="s">
        <v>241</v>
      </c>
      <c r="M8" s="95" t="s">
        <v>242</v>
      </c>
      <c r="N8" s="4" t="s">
        <v>243</v>
      </c>
      <c r="O8" s="95" t="s">
        <v>244</v>
      </c>
      <c r="P8" s="1"/>
      <c r="Q8" s="3"/>
      <c r="R8" s="97" t="s">
        <v>245</v>
      </c>
      <c r="S8" s="1"/>
      <c r="T8" s="1"/>
      <c r="U8" s="1"/>
      <c r="V8" s="1"/>
      <c r="W8" s="1"/>
      <c r="X8" s="1"/>
      <c r="Y8" s="1"/>
      <c r="Z8" s="1"/>
    </row>
    <row r="9" spans="1:26" ht="15.75" customHeight="1">
      <c r="A9" s="3"/>
      <c r="B9" s="92" t="s">
        <v>246</v>
      </c>
      <c r="C9" s="98" t="s">
        <v>247</v>
      </c>
      <c r="D9" s="142" t="s">
        <v>248</v>
      </c>
      <c r="E9" s="92"/>
      <c r="F9" s="92" t="s">
        <v>249</v>
      </c>
      <c r="G9" s="92" t="s">
        <v>250</v>
      </c>
      <c r="H9" s="3"/>
      <c r="I9" s="95" t="s">
        <v>251</v>
      </c>
      <c r="J9" s="96" t="s">
        <v>252</v>
      </c>
      <c r="K9" s="95" t="s">
        <v>253</v>
      </c>
      <c r="L9" s="3"/>
      <c r="M9" s="95" t="s">
        <v>254</v>
      </c>
      <c r="N9" s="4" t="s">
        <v>255</v>
      </c>
      <c r="O9" s="95" t="s">
        <v>256</v>
      </c>
      <c r="P9" s="1"/>
      <c r="Q9" s="3"/>
      <c r="R9" s="97" t="s">
        <v>257</v>
      </c>
      <c r="S9" s="1"/>
      <c r="T9" s="1"/>
      <c r="U9" s="1"/>
      <c r="V9" s="1"/>
      <c r="W9" s="1"/>
      <c r="X9" s="1"/>
      <c r="Y9" s="1"/>
      <c r="Z9" s="1"/>
    </row>
    <row r="10" spans="1:26" ht="15.75" customHeight="1">
      <c r="A10" s="3"/>
      <c r="B10" s="92" t="s">
        <v>258</v>
      </c>
      <c r="C10" s="98" t="s">
        <v>259</v>
      </c>
      <c r="D10" s="143"/>
      <c r="E10" s="92"/>
      <c r="F10" s="92" t="s">
        <v>260</v>
      </c>
      <c r="G10" s="92" t="s">
        <v>261</v>
      </c>
      <c r="H10" s="3"/>
      <c r="I10" s="95" t="s">
        <v>262</v>
      </c>
      <c r="J10" s="92"/>
      <c r="K10" s="95" t="s">
        <v>263</v>
      </c>
      <c r="L10" s="3"/>
      <c r="M10" s="95" t="s">
        <v>264</v>
      </c>
      <c r="N10" s="4" t="s">
        <v>265</v>
      </c>
      <c r="O10" s="95" t="s">
        <v>266</v>
      </c>
      <c r="P10" s="1"/>
      <c r="Q10" s="3"/>
      <c r="R10" s="97" t="s">
        <v>94</v>
      </c>
      <c r="S10" s="1"/>
      <c r="T10" s="1"/>
      <c r="U10" s="1"/>
      <c r="V10" s="1"/>
      <c r="W10" s="1"/>
      <c r="X10" s="1"/>
      <c r="Y10" s="1"/>
      <c r="Z10" s="1"/>
    </row>
    <row r="11" spans="1:26" ht="15.75" customHeight="1">
      <c r="A11" s="3"/>
      <c r="B11" s="92" t="s">
        <v>267</v>
      </c>
      <c r="C11" s="93" t="s">
        <v>268</v>
      </c>
      <c r="D11" s="142" t="s">
        <v>269</v>
      </c>
      <c r="E11" s="92"/>
      <c r="F11" s="92" t="s">
        <v>270</v>
      </c>
      <c r="G11" s="92" t="s">
        <v>271</v>
      </c>
      <c r="H11" s="3"/>
      <c r="I11" s="95" t="s">
        <v>272</v>
      </c>
      <c r="J11" s="3"/>
      <c r="K11" s="95" t="s">
        <v>273</v>
      </c>
      <c r="L11" s="3"/>
      <c r="M11" s="95" t="s">
        <v>274</v>
      </c>
      <c r="N11" s="4" t="s">
        <v>275</v>
      </c>
      <c r="O11" s="1"/>
      <c r="P11" s="1"/>
      <c r="Q11" s="3"/>
      <c r="R11" s="97" t="s">
        <v>276</v>
      </c>
      <c r="S11" s="1"/>
      <c r="T11" s="1"/>
      <c r="U11" s="1"/>
      <c r="V11" s="1"/>
      <c r="W11" s="1"/>
      <c r="X11" s="1"/>
      <c r="Y11" s="1"/>
      <c r="Z11" s="1"/>
    </row>
    <row r="12" spans="1:26" ht="15.75" customHeight="1">
      <c r="A12" s="3"/>
      <c r="B12" s="92" t="s">
        <v>277</v>
      </c>
      <c r="C12" s="98" t="s">
        <v>278</v>
      </c>
      <c r="D12" s="144"/>
      <c r="E12" s="92"/>
      <c r="F12" s="92" t="s">
        <v>279</v>
      </c>
      <c r="G12" s="92" t="s">
        <v>280</v>
      </c>
      <c r="H12" s="3"/>
      <c r="I12" s="95" t="s">
        <v>22</v>
      </c>
      <c r="J12" s="92"/>
      <c r="K12" s="95" t="s">
        <v>281</v>
      </c>
      <c r="L12" s="3"/>
      <c r="M12" s="95" t="s">
        <v>282</v>
      </c>
      <c r="N12" s="4" t="s">
        <v>283</v>
      </c>
      <c r="O12" s="1"/>
      <c r="P12" s="1"/>
      <c r="Q12" s="3"/>
      <c r="R12" s="97" t="s">
        <v>284</v>
      </c>
      <c r="S12" s="1"/>
      <c r="T12" s="1"/>
      <c r="U12" s="1"/>
      <c r="V12" s="1"/>
      <c r="W12" s="1"/>
      <c r="X12" s="1"/>
      <c r="Y12" s="1"/>
      <c r="Z12" s="1"/>
    </row>
    <row r="13" spans="1:26" ht="15.75" customHeight="1">
      <c r="A13" s="3"/>
      <c r="B13" s="92" t="s">
        <v>285</v>
      </c>
      <c r="C13" s="98" t="s">
        <v>286</v>
      </c>
      <c r="D13" s="143"/>
      <c r="E13" s="92"/>
      <c r="F13" s="92" t="s">
        <v>287</v>
      </c>
      <c r="G13" s="92" t="s">
        <v>288</v>
      </c>
      <c r="H13" s="3"/>
      <c r="I13" s="95" t="s">
        <v>289</v>
      </c>
      <c r="J13" s="3"/>
      <c r="K13" s="95" t="s">
        <v>290</v>
      </c>
      <c r="L13" s="3"/>
      <c r="M13" s="95" t="s">
        <v>291</v>
      </c>
      <c r="N13" s="4" t="s">
        <v>292</v>
      </c>
      <c r="O13" s="1"/>
      <c r="P13" s="1"/>
      <c r="Q13" s="3"/>
      <c r="R13" s="97" t="s">
        <v>293</v>
      </c>
      <c r="S13" s="1"/>
      <c r="T13" s="1"/>
      <c r="U13" s="1"/>
      <c r="V13" s="1"/>
      <c r="W13" s="1"/>
      <c r="X13" s="1"/>
      <c r="Y13" s="1"/>
      <c r="Z13" s="1"/>
    </row>
    <row r="14" spans="1:26" ht="15.75" customHeight="1">
      <c r="A14" s="3"/>
      <c r="B14" s="92" t="s">
        <v>294</v>
      </c>
      <c r="C14" s="93" t="s">
        <v>295</v>
      </c>
      <c r="D14" s="145" t="s">
        <v>296</v>
      </c>
      <c r="E14" s="92"/>
      <c r="F14" s="92" t="s">
        <v>297</v>
      </c>
      <c r="G14" s="92" t="s">
        <v>298</v>
      </c>
      <c r="H14" s="3"/>
      <c r="I14" s="95" t="s">
        <v>299</v>
      </c>
      <c r="J14" s="3"/>
      <c r="K14" s="95" t="s">
        <v>300</v>
      </c>
      <c r="L14" s="3"/>
      <c r="M14" s="95" t="s">
        <v>301</v>
      </c>
      <c r="N14" s="4" t="s">
        <v>302</v>
      </c>
      <c r="O14" s="1"/>
      <c r="P14" s="1"/>
      <c r="Q14" s="3"/>
      <c r="R14" s="97" t="s">
        <v>303</v>
      </c>
      <c r="S14" s="1"/>
      <c r="T14" s="1"/>
      <c r="U14" s="1"/>
      <c r="V14" s="1"/>
      <c r="W14" s="1"/>
      <c r="X14" s="1"/>
      <c r="Y14" s="1"/>
      <c r="Z14" s="1"/>
    </row>
    <row r="15" spans="1:26" ht="15.75" customHeight="1">
      <c r="A15" s="3"/>
      <c r="B15" s="92" t="s">
        <v>304</v>
      </c>
      <c r="C15" s="93" t="s">
        <v>305</v>
      </c>
      <c r="D15" s="143"/>
      <c r="E15" s="92"/>
      <c r="F15" s="92" t="s">
        <v>15</v>
      </c>
      <c r="G15" s="92" t="s">
        <v>306</v>
      </c>
      <c r="H15" s="3"/>
      <c r="I15" s="95" t="s">
        <v>307</v>
      </c>
      <c r="J15" s="3"/>
      <c r="K15" s="95" t="s">
        <v>308</v>
      </c>
      <c r="L15" s="3"/>
      <c r="M15" s="95" t="s">
        <v>309</v>
      </c>
      <c r="N15" s="4" t="s">
        <v>310</v>
      </c>
      <c r="O15" s="1"/>
      <c r="P15" s="1"/>
      <c r="Q15" s="3"/>
      <c r="R15" s="97" t="s">
        <v>311</v>
      </c>
      <c r="S15" s="1"/>
      <c r="T15" s="1"/>
      <c r="U15" s="1"/>
      <c r="V15" s="1"/>
      <c r="W15" s="1"/>
      <c r="X15" s="1"/>
      <c r="Y15" s="1"/>
      <c r="Z15" s="1"/>
    </row>
    <row r="16" spans="1:26" ht="15.75" customHeight="1">
      <c r="A16" s="3"/>
      <c r="B16" s="92" t="s">
        <v>312</v>
      </c>
      <c r="C16" s="104" t="s">
        <v>313</v>
      </c>
      <c r="D16" s="102" t="s">
        <v>314</v>
      </c>
      <c r="E16" s="92"/>
      <c r="F16" s="92" t="s">
        <v>315</v>
      </c>
      <c r="G16" s="92" t="s">
        <v>316</v>
      </c>
      <c r="H16" s="3"/>
      <c r="I16" s="95" t="s">
        <v>317</v>
      </c>
      <c r="J16" s="92"/>
      <c r="K16" s="95" t="s">
        <v>318</v>
      </c>
      <c r="L16" s="3"/>
      <c r="M16" s="95" t="s">
        <v>319</v>
      </c>
      <c r="N16" s="4" t="s">
        <v>320</v>
      </c>
      <c r="O16" s="1"/>
      <c r="P16" s="1"/>
      <c r="Q16" s="3"/>
      <c r="R16" s="97" t="s">
        <v>321</v>
      </c>
      <c r="S16" s="1"/>
      <c r="T16" s="1"/>
      <c r="U16" s="1"/>
      <c r="V16" s="1"/>
      <c r="W16" s="1"/>
      <c r="X16" s="1"/>
      <c r="Y16" s="1"/>
      <c r="Z16" s="1"/>
    </row>
    <row r="17" spans="1:26" ht="15.75" customHeight="1">
      <c r="A17" s="3"/>
      <c r="B17" s="92" t="s">
        <v>322</v>
      </c>
      <c r="C17" s="100" t="s">
        <v>323</v>
      </c>
      <c r="D17" s="102" t="s">
        <v>324</v>
      </c>
      <c r="E17" s="3"/>
      <c r="F17" s="92" t="s">
        <v>325</v>
      </c>
      <c r="G17" s="92" t="s">
        <v>326</v>
      </c>
      <c r="H17" s="3"/>
      <c r="I17" s="95" t="s">
        <v>327</v>
      </c>
      <c r="J17" s="3"/>
      <c r="K17" s="95" t="s">
        <v>328</v>
      </c>
      <c r="L17" s="3"/>
      <c r="M17" s="95" t="s">
        <v>329</v>
      </c>
      <c r="N17" s="4" t="s">
        <v>330</v>
      </c>
      <c r="O17" s="1"/>
      <c r="P17" s="1"/>
      <c r="Q17" s="3"/>
      <c r="R17" s="97" t="s">
        <v>331</v>
      </c>
      <c r="S17" s="1"/>
      <c r="T17" s="1"/>
      <c r="U17" s="1"/>
      <c r="V17" s="1"/>
      <c r="W17" s="1"/>
      <c r="X17" s="1"/>
      <c r="Y17" s="1"/>
      <c r="Z17" s="1"/>
    </row>
    <row r="18" spans="1:26" ht="15.75" customHeight="1">
      <c r="A18" s="3"/>
      <c r="B18" s="92" t="s">
        <v>332</v>
      </c>
      <c r="C18" s="98" t="s">
        <v>333</v>
      </c>
      <c r="D18" s="145" t="s">
        <v>334</v>
      </c>
      <c r="E18" s="3"/>
      <c r="F18" s="92" t="s">
        <v>335</v>
      </c>
      <c r="G18" s="92" t="s">
        <v>336</v>
      </c>
      <c r="H18" s="3"/>
      <c r="I18" s="95" t="s">
        <v>337</v>
      </c>
      <c r="J18" s="92"/>
      <c r="K18" s="95" t="s">
        <v>338</v>
      </c>
      <c r="L18" s="3"/>
      <c r="M18" s="95" t="s">
        <v>339</v>
      </c>
      <c r="N18" s="4" t="s">
        <v>340</v>
      </c>
      <c r="O18" s="1"/>
      <c r="P18" s="1"/>
      <c r="Q18" s="3"/>
      <c r="R18" s="97" t="s">
        <v>341</v>
      </c>
      <c r="S18" s="1"/>
      <c r="T18" s="1"/>
      <c r="U18" s="1"/>
      <c r="V18" s="1"/>
      <c r="W18" s="1"/>
      <c r="X18" s="1"/>
      <c r="Y18" s="1"/>
      <c r="Z18" s="1"/>
    </row>
    <row r="19" spans="1:26" ht="15.75" customHeight="1">
      <c r="A19" s="3"/>
      <c r="B19" s="92" t="s">
        <v>342</v>
      </c>
      <c r="C19" s="100" t="s">
        <v>343</v>
      </c>
      <c r="D19" s="143"/>
      <c r="E19" s="3"/>
      <c r="F19" s="92" t="s">
        <v>344</v>
      </c>
      <c r="G19" s="92" t="s">
        <v>345</v>
      </c>
      <c r="H19" s="3"/>
      <c r="I19" s="95" t="s">
        <v>346</v>
      </c>
      <c r="J19" s="4"/>
      <c r="K19" s="95" t="s">
        <v>347</v>
      </c>
      <c r="L19" s="3"/>
      <c r="M19" s="95" t="s">
        <v>348</v>
      </c>
      <c r="N19" s="4" t="s">
        <v>349</v>
      </c>
      <c r="O19" s="1"/>
      <c r="P19" s="1"/>
      <c r="Q19" s="3"/>
      <c r="R19" s="97" t="s">
        <v>350</v>
      </c>
      <c r="S19" s="1"/>
      <c r="T19" s="1"/>
      <c r="U19" s="1"/>
      <c r="V19" s="1"/>
      <c r="W19" s="1"/>
      <c r="X19" s="1"/>
      <c r="Y19" s="1"/>
      <c r="Z19" s="1"/>
    </row>
    <row r="20" spans="1:26" ht="15.75" customHeight="1">
      <c r="A20" s="3"/>
      <c r="B20" s="92" t="s">
        <v>351</v>
      </c>
      <c r="C20" s="100" t="s">
        <v>352</v>
      </c>
      <c r="D20" s="102" t="s">
        <v>353</v>
      </c>
      <c r="E20" s="3"/>
      <c r="F20" s="92" t="s">
        <v>354</v>
      </c>
      <c r="G20" s="92" t="s">
        <v>355</v>
      </c>
      <c r="H20" s="3"/>
      <c r="I20" s="95" t="s">
        <v>356</v>
      </c>
      <c r="J20" s="4"/>
      <c r="K20" s="95" t="s">
        <v>357</v>
      </c>
      <c r="L20" s="3"/>
      <c r="M20" s="95" t="s">
        <v>358</v>
      </c>
      <c r="N20" s="4" t="s">
        <v>359</v>
      </c>
      <c r="O20" s="1"/>
      <c r="P20" s="1"/>
      <c r="Q20" s="3"/>
      <c r="R20" s="97" t="s">
        <v>360</v>
      </c>
      <c r="S20" s="1"/>
      <c r="T20" s="1"/>
      <c r="U20" s="1"/>
      <c r="V20" s="1"/>
      <c r="W20" s="1"/>
      <c r="X20" s="1"/>
      <c r="Y20" s="1"/>
      <c r="Z20" s="1"/>
    </row>
    <row r="21" spans="1:26" ht="15.75" customHeight="1">
      <c r="A21" s="3"/>
      <c r="B21" s="92" t="s">
        <v>361</v>
      </c>
      <c r="C21" s="100" t="s">
        <v>362</v>
      </c>
      <c r="D21" s="102" t="s">
        <v>363</v>
      </c>
      <c r="E21" s="3"/>
      <c r="F21" s="92" t="s">
        <v>364</v>
      </c>
      <c r="G21" s="92" t="s">
        <v>365</v>
      </c>
      <c r="H21" s="3"/>
      <c r="I21" s="95" t="s">
        <v>366</v>
      </c>
      <c r="J21" s="3"/>
      <c r="K21" s="95" t="s">
        <v>367</v>
      </c>
      <c r="L21" s="3"/>
      <c r="M21" s="95" t="s">
        <v>368</v>
      </c>
      <c r="N21" s="4" t="s">
        <v>369</v>
      </c>
      <c r="O21" s="1"/>
      <c r="P21" s="1"/>
      <c r="Q21" s="3"/>
      <c r="R21" s="97" t="s">
        <v>370</v>
      </c>
      <c r="S21" s="1"/>
      <c r="T21" s="1"/>
      <c r="U21" s="1"/>
      <c r="V21" s="1"/>
      <c r="W21" s="1"/>
      <c r="X21" s="1"/>
      <c r="Y21" s="1"/>
      <c r="Z21" s="1"/>
    </row>
    <row r="22" spans="1:26" ht="15.75" customHeight="1">
      <c r="A22" s="3"/>
      <c r="B22" s="92" t="s">
        <v>371</v>
      </c>
      <c r="C22" s="92" t="s">
        <v>372</v>
      </c>
      <c r="D22" s="142" t="s">
        <v>373</v>
      </c>
      <c r="E22" s="3"/>
      <c r="F22" s="92" t="s">
        <v>374</v>
      </c>
      <c r="G22" s="92" t="s">
        <v>375</v>
      </c>
      <c r="H22" s="3"/>
      <c r="I22" s="95" t="s">
        <v>376</v>
      </c>
      <c r="J22" s="3"/>
      <c r="K22" s="95" t="s">
        <v>377</v>
      </c>
      <c r="L22" s="3"/>
      <c r="M22" s="95" t="s">
        <v>378</v>
      </c>
      <c r="N22" s="4" t="s">
        <v>379</v>
      </c>
      <c r="O22" s="1"/>
      <c r="P22" s="1"/>
      <c r="Q22" s="3"/>
      <c r="R22" s="97" t="s">
        <v>380</v>
      </c>
      <c r="S22" s="1"/>
      <c r="T22" s="1"/>
      <c r="U22" s="1"/>
      <c r="V22" s="1"/>
      <c r="W22" s="1"/>
      <c r="X22" s="1"/>
      <c r="Y22" s="1"/>
      <c r="Z22" s="1"/>
    </row>
    <row r="23" spans="1:26" ht="15.75" customHeight="1">
      <c r="A23" s="3"/>
      <c r="B23" s="92" t="s">
        <v>381</v>
      </c>
      <c r="C23" s="105" t="s">
        <v>382</v>
      </c>
      <c r="D23" s="143"/>
      <c r="E23" s="3"/>
      <c r="F23" s="92" t="s">
        <v>383</v>
      </c>
      <c r="G23" s="2" t="s">
        <v>384</v>
      </c>
      <c r="H23" s="3"/>
      <c r="I23" s="95" t="s">
        <v>385</v>
      </c>
      <c r="J23" s="3"/>
      <c r="K23" s="95" t="s">
        <v>386</v>
      </c>
      <c r="L23" s="3"/>
      <c r="M23" s="95" t="s">
        <v>387</v>
      </c>
      <c r="N23" s="4" t="s">
        <v>388</v>
      </c>
      <c r="O23" s="1"/>
      <c r="P23" s="1"/>
      <c r="Q23" s="3"/>
      <c r="R23" s="97" t="s">
        <v>389</v>
      </c>
      <c r="S23" s="1"/>
      <c r="T23" s="1"/>
      <c r="U23" s="1"/>
      <c r="V23" s="1"/>
      <c r="W23" s="1"/>
      <c r="X23" s="1"/>
      <c r="Y23" s="1"/>
      <c r="Z23" s="1"/>
    </row>
    <row r="24" spans="1:26" ht="15.75" customHeight="1">
      <c r="A24" s="3"/>
      <c r="B24" s="92" t="s">
        <v>390</v>
      </c>
      <c r="C24" s="105" t="s">
        <v>391</v>
      </c>
      <c r="D24" s="102" t="s">
        <v>392</v>
      </c>
      <c r="E24" s="3"/>
      <c r="F24" s="92" t="s">
        <v>393</v>
      </c>
      <c r="G24" s="92" t="s">
        <v>394</v>
      </c>
      <c r="H24" s="3"/>
      <c r="I24" s="95" t="s">
        <v>395</v>
      </c>
      <c r="J24" s="3"/>
      <c r="K24" s="95" t="s">
        <v>396</v>
      </c>
      <c r="L24" s="3"/>
      <c r="M24" s="3"/>
      <c r="N24" s="4" t="s">
        <v>397</v>
      </c>
      <c r="O24" s="1"/>
      <c r="P24" s="1"/>
      <c r="Q24" s="3"/>
      <c r="R24" s="97" t="s">
        <v>398</v>
      </c>
      <c r="S24" s="1"/>
      <c r="T24" s="1"/>
      <c r="U24" s="1"/>
      <c r="V24" s="1"/>
      <c r="W24" s="1"/>
      <c r="X24" s="1"/>
      <c r="Y24" s="1"/>
      <c r="Z24" s="1"/>
    </row>
    <row r="25" spans="1:26" ht="15.75" customHeight="1">
      <c r="A25" s="3"/>
      <c r="B25" s="92" t="s">
        <v>399</v>
      </c>
      <c r="C25" s="92" t="s">
        <v>400</v>
      </c>
      <c r="D25" s="142" t="s">
        <v>401</v>
      </c>
      <c r="E25" s="3"/>
      <c r="F25" s="92" t="s">
        <v>402</v>
      </c>
      <c r="G25" s="92" t="s">
        <v>403</v>
      </c>
      <c r="H25" s="3"/>
      <c r="I25" s="95" t="s">
        <v>404</v>
      </c>
      <c r="J25" s="3"/>
      <c r="K25" s="95" t="s">
        <v>405</v>
      </c>
      <c r="L25" s="3"/>
      <c r="M25" s="3"/>
      <c r="N25" s="4" t="s">
        <v>406</v>
      </c>
      <c r="O25" s="1"/>
      <c r="P25" s="1"/>
      <c r="Q25" s="3"/>
      <c r="R25" s="97" t="s">
        <v>407</v>
      </c>
      <c r="S25" s="1"/>
      <c r="T25" s="1"/>
      <c r="U25" s="1"/>
      <c r="V25" s="1"/>
      <c r="W25" s="1"/>
      <c r="X25" s="1"/>
      <c r="Y25" s="1"/>
      <c r="Z25" s="1"/>
    </row>
    <row r="26" spans="1:26" ht="15.75" customHeight="1">
      <c r="A26" s="1"/>
      <c r="B26" s="3"/>
      <c r="C26" s="92" t="s">
        <v>408</v>
      </c>
      <c r="D26" s="144"/>
      <c r="E26" s="3"/>
      <c r="F26" s="92" t="s">
        <v>409</v>
      </c>
      <c r="G26" s="92" t="s">
        <v>410</v>
      </c>
      <c r="H26" s="3"/>
      <c r="I26" s="95" t="s">
        <v>411</v>
      </c>
      <c r="J26" s="3"/>
      <c r="K26" s="95" t="s">
        <v>412</v>
      </c>
      <c r="L26" s="3"/>
      <c r="M26" s="3"/>
      <c r="N26" s="4" t="s">
        <v>413</v>
      </c>
      <c r="O26" s="1"/>
      <c r="P26" s="1"/>
      <c r="Q26" s="3"/>
      <c r="R26" s="97" t="s">
        <v>414</v>
      </c>
      <c r="S26" s="1"/>
      <c r="T26" s="1"/>
      <c r="U26" s="1"/>
      <c r="V26" s="1"/>
      <c r="W26" s="1"/>
      <c r="X26" s="1"/>
      <c r="Y26" s="1"/>
      <c r="Z26" s="1"/>
    </row>
    <row r="27" spans="1:26" ht="15.75" customHeight="1">
      <c r="A27" s="1"/>
      <c r="B27" s="3"/>
      <c r="C27" s="92" t="s">
        <v>415</v>
      </c>
      <c r="D27" s="144"/>
      <c r="E27" s="3"/>
      <c r="F27" s="92" t="s">
        <v>416</v>
      </c>
      <c r="G27" s="92" t="s">
        <v>417</v>
      </c>
      <c r="H27" s="3"/>
      <c r="I27" s="95" t="s">
        <v>418</v>
      </c>
      <c r="J27" s="3"/>
      <c r="K27" s="95" t="s">
        <v>419</v>
      </c>
      <c r="L27" s="3"/>
      <c r="M27" s="3"/>
      <c r="N27" s="4" t="s">
        <v>420</v>
      </c>
      <c r="O27" s="1"/>
      <c r="P27" s="1"/>
      <c r="Q27" s="3"/>
      <c r="R27" s="97" t="s">
        <v>421</v>
      </c>
      <c r="S27" s="1"/>
      <c r="T27" s="1"/>
      <c r="U27" s="1"/>
      <c r="V27" s="1"/>
      <c r="W27" s="1"/>
      <c r="X27" s="1"/>
      <c r="Y27" s="1"/>
      <c r="Z27" s="1"/>
    </row>
    <row r="28" spans="1:26" ht="15.75" customHeight="1">
      <c r="A28" s="1"/>
      <c r="B28" s="3"/>
      <c r="C28" s="105" t="s">
        <v>422</v>
      </c>
      <c r="D28" s="143"/>
      <c r="E28" s="3"/>
      <c r="F28" s="95" t="s">
        <v>423</v>
      </c>
      <c r="G28" s="2" t="s">
        <v>424</v>
      </c>
      <c r="H28" s="3"/>
      <c r="I28" s="95" t="s">
        <v>425</v>
      </c>
      <c r="J28" s="3"/>
      <c r="K28" s="95" t="s">
        <v>426</v>
      </c>
      <c r="L28" s="3"/>
      <c r="M28" s="3"/>
      <c r="N28" s="4" t="s">
        <v>427</v>
      </c>
      <c r="O28" s="1"/>
      <c r="P28" s="1"/>
      <c r="Q28" s="3"/>
      <c r="R28" s="97" t="s">
        <v>428</v>
      </c>
      <c r="S28" s="1"/>
      <c r="T28" s="1"/>
      <c r="U28" s="1"/>
      <c r="V28" s="1"/>
      <c r="W28" s="1"/>
      <c r="X28" s="1"/>
      <c r="Y28" s="1"/>
      <c r="Z28" s="1"/>
    </row>
    <row r="29" spans="1:26" ht="15.75" customHeight="1">
      <c r="A29" s="1"/>
      <c r="B29" s="3"/>
      <c r="C29" s="92" t="s">
        <v>429</v>
      </c>
      <c r="D29" s="142" t="s">
        <v>430</v>
      </c>
      <c r="E29" s="3"/>
      <c r="F29" s="92" t="s">
        <v>431</v>
      </c>
      <c r="G29" s="92" t="s">
        <v>432</v>
      </c>
      <c r="H29" s="3"/>
      <c r="I29" s="95" t="s">
        <v>433</v>
      </c>
      <c r="J29" s="3"/>
      <c r="K29" s="95" t="s">
        <v>434</v>
      </c>
      <c r="L29" s="3"/>
      <c r="M29" s="3"/>
      <c r="N29" s="4" t="s">
        <v>435</v>
      </c>
      <c r="O29" s="1"/>
      <c r="P29" s="1"/>
      <c r="Q29" s="3"/>
      <c r="R29" s="97" t="s">
        <v>436</v>
      </c>
      <c r="S29" s="1"/>
      <c r="T29" s="1"/>
      <c r="U29" s="1"/>
      <c r="V29" s="1"/>
      <c r="W29" s="1"/>
      <c r="X29" s="1"/>
      <c r="Y29" s="1"/>
      <c r="Z29" s="1"/>
    </row>
    <row r="30" spans="1:26" ht="15.75" customHeight="1">
      <c r="A30" s="1"/>
      <c r="B30" s="3"/>
      <c r="C30" s="92" t="s">
        <v>437</v>
      </c>
      <c r="D30" s="144"/>
      <c r="E30" s="3"/>
      <c r="F30" s="92" t="s">
        <v>438</v>
      </c>
      <c r="G30" s="92" t="s">
        <v>439</v>
      </c>
      <c r="H30" s="3"/>
      <c r="I30" s="95" t="s">
        <v>440</v>
      </c>
      <c r="J30" s="1"/>
      <c r="K30" s="1"/>
      <c r="L30" s="3"/>
      <c r="M30" s="3"/>
      <c r="N30" s="4" t="s">
        <v>441</v>
      </c>
      <c r="O30" s="1"/>
      <c r="P30" s="1"/>
      <c r="Q30" s="3"/>
      <c r="R30" s="97" t="s">
        <v>442</v>
      </c>
      <c r="S30" s="1"/>
      <c r="T30" s="1"/>
      <c r="U30" s="1"/>
      <c r="V30" s="1"/>
      <c r="W30" s="1"/>
      <c r="X30" s="1"/>
      <c r="Y30" s="1"/>
      <c r="Z30" s="1"/>
    </row>
    <row r="31" spans="1:26" ht="15.75" customHeight="1">
      <c r="A31" s="1"/>
      <c r="B31" s="3"/>
      <c r="C31" s="105" t="s">
        <v>443</v>
      </c>
      <c r="D31" s="143"/>
      <c r="E31" s="1"/>
      <c r="F31" s="3"/>
      <c r="G31" s="92" t="s">
        <v>444</v>
      </c>
      <c r="H31" s="3"/>
      <c r="I31" s="95" t="s">
        <v>445</v>
      </c>
      <c r="J31" s="1"/>
      <c r="K31" s="1"/>
      <c r="L31" s="3"/>
      <c r="M31" s="3"/>
      <c r="N31" s="4" t="s">
        <v>446</v>
      </c>
      <c r="O31" s="1"/>
      <c r="P31" s="1"/>
      <c r="Q31" s="3"/>
      <c r="R31" s="97" t="s">
        <v>447</v>
      </c>
      <c r="S31" s="1"/>
      <c r="T31" s="1"/>
      <c r="U31" s="1"/>
      <c r="V31" s="1"/>
      <c r="W31" s="1"/>
      <c r="X31" s="1"/>
      <c r="Y31" s="1"/>
      <c r="Z31" s="1"/>
    </row>
    <row r="32" spans="1:26" ht="15.75" customHeight="1">
      <c r="A32" s="1"/>
      <c r="B32" s="3"/>
      <c r="C32" s="106" t="s">
        <v>448</v>
      </c>
      <c r="D32" s="102" t="s">
        <v>449</v>
      </c>
      <c r="E32" s="1"/>
      <c r="F32" s="3"/>
      <c r="G32" s="92" t="s">
        <v>450</v>
      </c>
      <c r="H32" s="3"/>
      <c r="I32" s="95" t="s">
        <v>451</v>
      </c>
      <c r="J32" s="1"/>
      <c r="K32" s="1"/>
      <c r="L32" s="3"/>
      <c r="M32" s="3"/>
      <c r="N32" s="4" t="s">
        <v>452</v>
      </c>
      <c r="O32" s="1"/>
      <c r="P32" s="1"/>
      <c r="Q32" s="3"/>
      <c r="R32" s="97" t="s">
        <v>453</v>
      </c>
      <c r="S32" s="1"/>
      <c r="T32" s="1"/>
      <c r="U32" s="1"/>
      <c r="V32" s="1"/>
      <c r="W32" s="1"/>
      <c r="X32" s="1"/>
      <c r="Y32" s="1"/>
      <c r="Z32" s="1"/>
    </row>
    <row r="33" spans="1:26" ht="15.75" customHeight="1">
      <c r="A33" s="1"/>
      <c r="B33" s="1"/>
      <c r="C33" s="1"/>
      <c r="D33" s="1"/>
      <c r="E33" s="1"/>
      <c r="F33" s="3"/>
      <c r="G33" s="92" t="s">
        <v>454</v>
      </c>
      <c r="H33" s="1"/>
      <c r="I33" s="1"/>
      <c r="J33" s="1"/>
      <c r="K33" s="1"/>
      <c r="L33" s="3"/>
      <c r="M33" s="3"/>
      <c r="N33" s="4" t="s">
        <v>455</v>
      </c>
      <c r="O33" s="1"/>
      <c r="P33" s="1"/>
      <c r="Q33" s="3"/>
      <c r="R33" s="97" t="s">
        <v>456</v>
      </c>
      <c r="S33" s="1"/>
      <c r="T33" s="1"/>
      <c r="U33" s="1"/>
      <c r="V33" s="1"/>
      <c r="W33" s="1"/>
      <c r="X33" s="1"/>
      <c r="Y33" s="1"/>
      <c r="Z33" s="1"/>
    </row>
    <row r="34" spans="1:26" ht="15.75" customHeight="1">
      <c r="A34" s="1"/>
      <c r="B34" s="1"/>
      <c r="C34" s="1"/>
      <c r="D34" s="1"/>
      <c r="E34" s="1"/>
      <c r="F34" s="3"/>
      <c r="G34" s="92" t="s">
        <v>457</v>
      </c>
      <c r="H34" s="1"/>
      <c r="I34" s="1"/>
      <c r="J34" s="1"/>
      <c r="K34" s="1"/>
      <c r="L34" s="3"/>
      <c r="M34" s="92"/>
      <c r="N34" s="4" t="s">
        <v>458</v>
      </c>
      <c r="O34" s="1"/>
      <c r="P34" s="1"/>
      <c r="Q34" s="3"/>
      <c r="R34" s="97" t="s">
        <v>459</v>
      </c>
      <c r="S34" s="1"/>
      <c r="T34" s="1"/>
      <c r="U34" s="1"/>
      <c r="V34" s="1"/>
      <c r="W34" s="1"/>
      <c r="X34" s="1"/>
      <c r="Y34" s="1"/>
      <c r="Z34" s="1"/>
    </row>
    <row r="35" spans="1:26" ht="15.75" customHeight="1">
      <c r="A35" s="1"/>
      <c r="B35" s="1"/>
      <c r="C35" s="1"/>
      <c r="D35" s="1"/>
      <c r="E35" s="1"/>
      <c r="F35" s="3"/>
      <c r="G35" s="2" t="s">
        <v>460</v>
      </c>
      <c r="H35" s="1"/>
      <c r="I35" s="1"/>
      <c r="J35" s="1"/>
      <c r="K35" s="1"/>
      <c r="L35" s="3"/>
      <c r="M35" s="3"/>
      <c r="N35" s="4" t="s">
        <v>461</v>
      </c>
      <c r="O35" s="1"/>
      <c r="P35" s="1"/>
      <c r="Q35" s="3"/>
      <c r="R35" s="97" t="s">
        <v>462</v>
      </c>
      <c r="S35" s="1"/>
      <c r="T35" s="1"/>
      <c r="U35" s="1"/>
      <c r="V35" s="1"/>
      <c r="W35" s="1"/>
      <c r="X35" s="1"/>
      <c r="Y35" s="1"/>
      <c r="Z35" s="1"/>
    </row>
    <row r="36" spans="1:26" ht="15.75" customHeight="1">
      <c r="A36" s="1"/>
      <c r="B36" s="1"/>
      <c r="C36" s="1"/>
      <c r="D36" s="1"/>
      <c r="E36" s="1"/>
      <c r="F36" s="3"/>
      <c r="G36" s="92" t="s">
        <v>463</v>
      </c>
      <c r="H36" s="1"/>
      <c r="I36" s="1"/>
      <c r="J36" s="1"/>
      <c r="K36" s="1"/>
      <c r="L36" s="3"/>
      <c r="M36" s="3"/>
      <c r="N36" s="4" t="s">
        <v>464</v>
      </c>
      <c r="O36" s="1"/>
      <c r="P36" s="1"/>
      <c r="Q36" s="3"/>
      <c r="R36" s="97" t="s">
        <v>465</v>
      </c>
      <c r="S36" s="1"/>
      <c r="T36" s="1"/>
      <c r="U36" s="1"/>
      <c r="V36" s="1"/>
      <c r="W36" s="1"/>
      <c r="X36" s="1"/>
      <c r="Y36" s="1"/>
      <c r="Z36" s="1"/>
    </row>
    <row r="37" spans="1:26" ht="15.75" customHeight="1">
      <c r="A37" s="1"/>
      <c r="B37" s="1"/>
      <c r="C37" s="1"/>
      <c r="D37" s="1"/>
      <c r="E37" s="1"/>
      <c r="F37" s="3"/>
      <c r="G37" s="92" t="s">
        <v>466</v>
      </c>
      <c r="H37" s="1"/>
      <c r="I37" s="1"/>
      <c r="J37" s="1"/>
      <c r="K37" s="1"/>
      <c r="L37" s="3"/>
      <c r="M37" s="3"/>
      <c r="N37" s="4" t="s">
        <v>467</v>
      </c>
      <c r="O37" s="1"/>
      <c r="P37" s="1"/>
      <c r="Q37" s="3"/>
      <c r="R37" s="97" t="s">
        <v>468</v>
      </c>
      <c r="S37" s="1"/>
      <c r="T37" s="1"/>
      <c r="U37" s="1"/>
      <c r="V37" s="1"/>
      <c r="W37" s="1"/>
      <c r="X37" s="1"/>
      <c r="Y37" s="1"/>
      <c r="Z37" s="1"/>
    </row>
    <row r="38" spans="1:26" ht="15.75" customHeight="1">
      <c r="A38" s="1"/>
      <c r="B38" s="1"/>
      <c r="C38" s="1"/>
      <c r="D38" s="1"/>
      <c r="E38" s="1"/>
      <c r="F38" s="3"/>
      <c r="G38" s="92" t="s">
        <v>469</v>
      </c>
      <c r="H38" s="1"/>
      <c r="I38" s="1"/>
      <c r="J38" s="1"/>
      <c r="K38" s="1"/>
      <c r="L38" s="3"/>
      <c r="M38" s="3"/>
      <c r="N38" s="4" t="s">
        <v>470</v>
      </c>
      <c r="O38" s="1"/>
      <c r="P38" s="1"/>
      <c r="Q38" s="3"/>
      <c r="R38" s="97" t="s">
        <v>471</v>
      </c>
      <c r="S38" s="1"/>
      <c r="T38" s="1"/>
      <c r="U38" s="1"/>
      <c r="V38" s="1"/>
      <c r="W38" s="1"/>
      <c r="X38" s="1"/>
      <c r="Y38" s="1"/>
      <c r="Z38" s="1"/>
    </row>
    <row r="39" spans="1:26" ht="15.75" customHeight="1">
      <c r="A39" s="1"/>
      <c r="B39" s="1"/>
      <c r="C39" s="1"/>
      <c r="D39" s="1"/>
      <c r="E39" s="1"/>
      <c r="F39" s="3"/>
      <c r="G39" s="92" t="s">
        <v>472</v>
      </c>
      <c r="H39" s="1"/>
      <c r="I39" s="1"/>
      <c r="J39" s="1"/>
      <c r="K39" s="1"/>
      <c r="L39" s="3"/>
      <c r="M39" s="3"/>
      <c r="N39" s="4" t="s">
        <v>473</v>
      </c>
      <c r="O39" s="1"/>
      <c r="P39" s="1"/>
      <c r="Q39" s="3"/>
      <c r="R39" s="97" t="s">
        <v>474</v>
      </c>
      <c r="S39" s="1"/>
      <c r="T39" s="1"/>
      <c r="U39" s="1"/>
      <c r="V39" s="1"/>
      <c r="W39" s="1"/>
      <c r="X39" s="1"/>
      <c r="Y39" s="1"/>
      <c r="Z39" s="1"/>
    </row>
    <row r="40" spans="1:26" ht="15.75" customHeight="1">
      <c r="A40" s="1"/>
      <c r="B40" s="1"/>
      <c r="C40" s="1"/>
      <c r="D40" s="1"/>
      <c r="E40" s="1"/>
      <c r="F40" s="3"/>
      <c r="G40" s="92" t="s">
        <v>475</v>
      </c>
      <c r="H40" s="1"/>
      <c r="I40" s="1"/>
      <c r="J40" s="1"/>
      <c r="K40" s="1"/>
      <c r="L40" s="3"/>
      <c r="M40" s="3"/>
      <c r="N40" s="4" t="s">
        <v>476</v>
      </c>
      <c r="O40" s="1"/>
      <c r="P40" s="1"/>
      <c r="Q40" s="3"/>
      <c r="R40" s="97" t="s">
        <v>477</v>
      </c>
      <c r="S40" s="1"/>
      <c r="T40" s="1"/>
      <c r="U40" s="1"/>
      <c r="V40" s="1"/>
      <c r="W40" s="1"/>
      <c r="X40" s="1"/>
      <c r="Y40" s="1"/>
      <c r="Z40" s="1"/>
    </row>
    <row r="41" spans="1:26" ht="15.75" customHeight="1">
      <c r="A41" s="1"/>
      <c r="B41" s="1"/>
      <c r="C41" s="1"/>
      <c r="D41" s="1"/>
      <c r="E41" s="1"/>
      <c r="F41" s="3"/>
      <c r="G41" s="92" t="s">
        <v>478</v>
      </c>
      <c r="H41" s="1"/>
      <c r="I41" s="1"/>
      <c r="J41" s="1"/>
      <c r="K41" s="1"/>
      <c r="L41" s="3"/>
      <c r="M41" s="3"/>
      <c r="N41" s="4" t="s">
        <v>479</v>
      </c>
      <c r="O41" s="1"/>
      <c r="P41" s="1"/>
      <c r="Q41" s="3"/>
      <c r="R41" s="97" t="s">
        <v>480</v>
      </c>
      <c r="S41" s="1"/>
      <c r="T41" s="1"/>
      <c r="U41" s="1"/>
      <c r="V41" s="1"/>
      <c r="W41" s="1"/>
      <c r="X41" s="1"/>
      <c r="Y41" s="1"/>
      <c r="Z41" s="1"/>
    </row>
    <row r="42" spans="1:26" ht="15.75" customHeight="1">
      <c r="A42" s="1"/>
      <c r="B42" s="1"/>
      <c r="C42" s="1"/>
      <c r="D42" s="1"/>
      <c r="E42" s="1"/>
      <c r="F42" s="3"/>
      <c r="G42" s="92" t="s">
        <v>481</v>
      </c>
      <c r="H42" s="1"/>
      <c r="I42" s="1"/>
      <c r="J42" s="1"/>
      <c r="K42" s="1"/>
      <c r="L42" s="3"/>
      <c r="M42" s="3"/>
      <c r="N42" s="4" t="s">
        <v>482</v>
      </c>
      <c r="O42" s="1"/>
      <c r="P42" s="1"/>
      <c r="Q42" s="3"/>
      <c r="R42" s="97" t="s">
        <v>483</v>
      </c>
      <c r="S42" s="1"/>
      <c r="T42" s="1"/>
      <c r="U42" s="1"/>
      <c r="V42" s="1"/>
      <c r="W42" s="1"/>
      <c r="X42" s="1"/>
      <c r="Y42" s="1"/>
      <c r="Z42" s="1"/>
    </row>
    <row r="43" spans="1:26" ht="15.75" customHeight="1">
      <c r="A43" s="1"/>
      <c r="B43" s="1"/>
      <c r="C43" s="1"/>
      <c r="D43" s="1"/>
      <c r="E43" s="1"/>
      <c r="F43" s="3"/>
      <c r="G43" s="92" t="s">
        <v>484</v>
      </c>
      <c r="H43" s="1"/>
      <c r="I43" s="1"/>
      <c r="J43" s="1"/>
      <c r="K43" s="1"/>
      <c r="L43" s="3"/>
      <c r="M43" s="3"/>
      <c r="N43" s="4" t="s">
        <v>485</v>
      </c>
      <c r="O43" s="1"/>
      <c r="P43" s="1"/>
      <c r="Q43" s="3"/>
      <c r="R43" s="97" t="s">
        <v>486</v>
      </c>
      <c r="S43" s="1"/>
      <c r="T43" s="1"/>
      <c r="U43" s="1"/>
      <c r="V43" s="1"/>
      <c r="W43" s="1"/>
      <c r="X43" s="1"/>
      <c r="Y43" s="1"/>
      <c r="Z43" s="1"/>
    </row>
    <row r="44" spans="1:26" ht="15.75" customHeight="1">
      <c r="A44" s="1"/>
      <c r="B44" s="1"/>
      <c r="C44" s="1"/>
      <c r="D44" s="1"/>
      <c r="E44" s="1"/>
      <c r="F44" s="3"/>
      <c r="G44" s="92" t="s">
        <v>487</v>
      </c>
      <c r="H44" s="1"/>
      <c r="I44" s="1"/>
      <c r="J44" s="1"/>
      <c r="K44" s="1"/>
      <c r="L44" s="3"/>
      <c r="M44" s="3"/>
      <c r="N44" s="4" t="s">
        <v>488</v>
      </c>
      <c r="O44" s="1"/>
      <c r="P44" s="1"/>
      <c r="Q44" s="3"/>
      <c r="R44" s="97" t="s">
        <v>489</v>
      </c>
      <c r="S44" s="1"/>
      <c r="T44" s="1"/>
      <c r="U44" s="1"/>
      <c r="V44" s="1"/>
      <c r="W44" s="1"/>
      <c r="X44" s="1"/>
      <c r="Y44" s="1"/>
      <c r="Z44" s="1"/>
    </row>
    <row r="45" spans="1:26" ht="15.75" customHeight="1">
      <c r="A45" s="1"/>
      <c r="B45" s="1"/>
      <c r="C45" s="1"/>
      <c r="D45" s="1"/>
      <c r="E45" s="1"/>
      <c r="F45" s="3"/>
      <c r="G45" s="92" t="s">
        <v>490</v>
      </c>
      <c r="H45" s="1"/>
      <c r="I45" s="1"/>
      <c r="J45" s="1"/>
      <c r="K45" s="1"/>
      <c r="L45" s="3"/>
      <c r="M45" s="3"/>
      <c r="N45" s="4" t="s">
        <v>491</v>
      </c>
      <c r="O45" s="1"/>
      <c r="P45" s="1"/>
      <c r="Q45" s="3"/>
      <c r="R45" s="97" t="s">
        <v>492</v>
      </c>
      <c r="S45" s="1"/>
      <c r="T45" s="1"/>
      <c r="U45" s="1"/>
      <c r="V45" s="1"/>
      <c r="W45" s="1"/>
      <c r="X45" s="1"/>
      <c r="Y45" s="1"/>
      <c r="Z45" s="1"/>
    </row>
    <row r="46" spans="1:26" ht="15.75" customHeight="1">
      <c r="A46" s="1"/>
      <c r="B46" s="1"/>
      <c r="C46" s="1"/>
      <c r="D46" s="1"/>
      <c r="E46" s="1"/>
      <c r="F46" s="3"/>
      <c r="G46" s="92" t="s">
        <v>493</v>
      </c>
      <c r="H46" s="1"/>
      <c r="I46" s="1"/>
      <c r="J46" s="1"/>
      <c r="K46" s="1"/>
      <c r="L46" s="3"/>
      <c r="M46" s="3"/>
      <c r="N46" s="4" t="s">
        <v>494</v>
      </c>
      <c r="O46" s="1"/>
      <c r="P46" s="1"/>
      <c r="Q46" s="3"/>
      <c r="R46" s="97" t="s">
        <v>495</v>
      </c>
      <c r="S46" s="1"/>
      <c r="T46" s="1"/>
      <c r="U46" s="1"/>
      <c r="V46" s="1"/>
      <c r="W46" s="1"/>
      <c r="X46" s="1"/>
      <c r="Y46" s="1"/>
      <c r="Z46" s="1"/>
    </row>
    <row r="47" spans="1:26" ht="15.75" customHeight="1">
      <c r="A47" s="1"/>
      <c r="B47" s="1"/>
      <c r="C47" s="1"/>
      <c r="D47" s="1"/>
      <c r="E47" s="1"/>
      <c r="F47" s="3"/>
      <c r="G47" s="92" t="s">
        <v>496</v>
      </c>
      <c r="H47" s="1"/>
      <c r="I47" s="1"/>
      <c r="J47" s="1"/>
      <c r="K47" s="1"/>
      <c r="L47" s="3"/>
      <c r="M47" s="3"/>
      <c r="N47" s="4" t="s">
        <v>497</v>
      </c>
      <c r="O47" s="1"/>
      <c r="P47" s="1"/>
      <c r="Q47" s="3"/>
      <c r="R47" s="97" t="s">
        <v>498</v>
      </c>
      <c r="S47" s="1"/>
      <c r="T47" s="1"/>
      <c r="U47" s="1"/>
      <c r="V47" s="1"/>
      <c r="W47" s="1"/>
      <c r="X47" s="1"/>
      <c r="Y47" s="1"/>
      <c r="Z47" s="1"/>
    </row>
    <row r="48" spans="1:26" ht="15.75" customHeight="1">
      <c r="A48" s="1"/>
      <c r="B48" s="1"/>
      <c r="C48" s="1"/>
      <c r="D48" s="1"/>
      <c r="E48" s="1"/>
      <c r="F48" s="3"/>
      <c r="G48" s="92" t="s">
        <v>499</v>
      </c>
      <c r="H48" s="1"/>
      <c r="I48" s="1"/>
      <c r="J48" s="1"/>
      <c r="K48" s="1"/>
      <c r="L48" s="3"/>
      <c r="M48" s="3"/>
      <c r="N48" s="4" t="s">
        <v>500</v>
      </c>
      <c r="O48" s="1"/>
      <c r="P48" s="1"/>
      <c r="Q48" s="3"/>
      <c r="R48" s="97" t="s">
        <v>501</v>
      </c>
      <c r="S48" s="1"/>
      <c r="T48" s="1"/>
      <c r="U48" s="1"/>
      <c r="V48" s="1"/>
      <c r="W48" s="1"/>
      <c r="X48" s="1"/>
      <c r="Y48" s="1"/>
      <c r="Z48" s="1"/>
    </row>
    <row r="49" spans="1:26" ht="15.75" customHeight="1">
      <c r="A49" s="1"/>
      <c r="B49" s="1"/>
      <c r="C49" s="1"/>
      <c r="D49" s="1"/>
      <c r="E49" s="1"/>
      <c r="F49" s="3"/>
      <c r="G49" s="92" t="s">
        <v>502</v>
      </c>
      <c r="H49" s="1"/>
      <c r="I49" s="1"/>
      <c r="J49" s="1"/>
      <c r="K49" s="1"/>
      <c r="L49" s="3"/>
      <c r="M49" s="3"/>
      <c r="N49" s="4" t="s">
        <v>503</v>
      </c>
      <c r="O49" s="1"/>
      <c r="P49" s="1"/>
      <c r="Q49" s="3"/>
      <c r="R49" s="97" t="s">
        <v>504</v>
      </c>
      <c r="S49" s="1"/>
      <c r="T49" s="1"/>
      <c r="U49" s="1"/>
      <c r="V49" s="1"/>
      <c r="W49" s="1"/>
      <c r="X49" s="1"/>
      <c r="Y49" s="1"/>
      <c r="Z49" s="1"/>
    </row>
    <row r="50" spans="1:26" ht="15.75" customHeight="1">
      <c r="A50" s="1"/>
      <c r="B50" s="1"/>
      <c r="C50" s="1"/>
      <c r="D50" s="1"/>
      <c r="E50" s="1"/>
      <c r="F50" s="3"/>
      <c r="G50" s="92" t="s">
        <v>505</v>
      </c>
      <c r="H50" s="1"/>
      <c r="I50" s="1"/>
      <c r="J50" s="1"/>
      <c r="K50" s="1"/>
      <c r="L50" s="3"/>
      <c r="M50" s="3"/>
      <c r="N50" s="4" t="s">
        <v>506</v>
      </c>
      <c r="O50" s="1"/>
      <c r="P50" s="1"/>
      <c r="Q50" s="3"/>
      <c r="R50" s="97" t="s">
        <v>507</v>
      </c>
      <c r="S50" s="1"/>
      <c r="T50" s="1"/>
      <c r="U50" s="1"/>
      <c r="V50" s="1"/>
      <c r="W50" s="1"/>
      <c r="X50" s="1"/>
      <c r="Y50" s="1"/>
      <c r="Z50" s="1"/>
    </row>
    <row r="51" spans="1:26" ht="15.75" customHeight="1">
      <c r="A51" s="1"/>
      <c r="B51" s="1"/>
      <c r="C51" s="1"/>
      <c r="D51" s="1"/>
      <c r="E51" s="1"/>
      <c r="F51" s="3"/>
      <c r="G51" s="92" t="s">
        <v>508</v>
      </c>
      <c r="H51" s="1"/>
      <c r="I51" s="1"/>
      <c r="J51" s="1"/>
      <c r="K51" s="1"/>
      <c r="L51" s="3"/>
      <c r="M51" s="3"/>
      <c r="N51" s="4" t="s">
        <v>509</v>
      </c>
      <c r="O51" s="1"/>
      <c r="P51" s="1"/>
      <c r="Q51" s="3"/>
      <c r="R51" s="97" t="s">
        <v>510</v>
      </c>
      <c r="S51" s="1"/>
      <c r="T51" s="1"/>
      <c r="U51" s="1"/>
      <c r="V51" s="1"/>
      <c r="W51" s="1"/>
      <c r="X51" s="1"/>
      <c r="Y51" s="1"/>
      <c r="Z51" s="1"/>
    </row>
    <row r="52" spans="1:26" ht="15.75" customHeight="1">
      <c r="A52" s="1"/>
      <c r="B52" s="1"/>
      <c r="C52" s="1"/>
      <c r="D52" s="1"/>
      <c r="E52" s="1"/>
      <c r="F52" s="3"/>
      <c r="G52" s="92" t="s">
        <v>511</v>
      </c>
      <c r="H52" s="1"/>
      <c r="I52" s="1"/>
      <c r="J52" s="1"/>
      <c r="K52" s="1"/>
      <c r="L52" s="3"/>
      <c r="M52" s="3"/>
      <c r="N52" s="4" t="s">
        <v>512</v>
      </c>
      <c r="O52" s="1"/>
      <c r="P52" s="1"/>
      <c r="Q52" s="3"/>
      <c r="R52" s="97" t="s">
        <v>513</v>
      </c>
      <c r="S52" s="1"/>
      <c r="T52" s="1"/>
      <c r="U52" s="1"/>
      <c r="V52" s="1"/>
      <c r="W52" s="1"/>
      <c r="X52" s="1"/>
      <c r="Y52" s="1"/>
      <c r="Z52" s="1"/>
    </row>
    <row r="53" spans="1:26" ht="15.75" customHeight="1">
      <c r="A53" s="1"/>
      <c r="B53" s="1"/>
      <c r="C53" s="1"/>
      <c r="D53" s="1"/>
      <c r="E53" s="1"/>
      <c r="F53" s="3"/>
      <c r="G53" s="92" t="s">
        <v>514</v>
      </c>
      <c r="H53" s="1"/>
      <c r="I53" s="1"/>
      <c r="J53" s="1"/>
      <c r="K53" s="1"/>
      <c r="L53" s="3"/>
      <c r="M53" s="3"/>
      <c r="N53" s="4" t="s">
        <v>515</v>
      </c>
      <c r="O53" s="1"/>
      <c r="P53" s="1"/>
      <c r="Q53" s="3"/>
      <c r="R53" s="97" t="s">
        <v>516</v>
      </c>
      <c r="S53" s="1"/>
      <c r="T53" s="1"/>
      <c r="U53" s="1"/>
      <c r="V53" s="1"/>
      <c r="W53" s="1"/>
      <c r="X53" s="1"/>
      <c r="Y53" s="1"/>
      <c r="Z53" s="1"/>
    </row>
    <row r="54" spans="1:26" ht="15.75" customHeight="1">
      <c r="A54" s="1"/>
      <c r="B54" s="1"/>
      <c r="C54" s="1"/>
      <c r="D54" s="1"/>
      <c r="E54" s="1"/>
      <c r="F54" s="3"/>
      <c r="G54" s="2" t="s">
        <v>517</v>
      </c>
      <c r="H54" s="1"/>
      <c r="I54" s="1"/>
      <c r="J54" s="1"/>
      <c r="K54" s="1"/>
      <c r="L54" s="3"/>
      <c r="M54" s="3"/>
      <c r="N54" s="4" t="s">
        <v>518</v>
      </c>
      <c r="O54" s="1"/>
      <c r="P54" s="1"/>
      <c r="Q54" s="3"/>
      <c r="R54" s="97" t="s">
        <v>519</v>
      </c>
      <c r="S54" s="1"/>
      <c r="T54" s="1"/>
      <c r="U54" s="1"/>
      <c r="V54" s="1"/>
      <c r="W54" s="1"/>
      <c r="X54" s="1"/>
      <c r="Y54" s="1"/>
      <c r="Z54" s="1"/>
    </row>
    <row r="55" spans="1:26" ht="15.75" customHeight="1">
      <c r="A55" s="1"/>
      <c r="B55" s="1"/>
      <c r="C55" s="1"/>
      <c r="D55" s="1"/>
      <c r="E55" s="1"/>
      <c r="F55" s="3"/>
      <c r="G55" s="92" t="s">
        <v>520</v>
      </c>
      <c r="H55" s="1"/>
      <c r="I55" s="1"/>
      <c r="J55" s="1"/>
      <c r="K55" s="1"/>
      <c r="L55" s="3"/>
      <c r="M55" s="3"/>
      <c r="N55" s="4" t="s">
        <v>521</v>
      </c>
      <c r="O55" s="1"/>
      <c r="P55" s="1"/>
      <c r="Q55" s="3"/>
      <c r="R55" s="97" t="s">
        <v>522</v>
      </c>
      <c r="S55" s="1"/>
      <c r="T55" s="1"/>
      <c r="U55" s="1"/>
      <c r="V55" s="1"/>
      <c r="W55" s="1"/>
      <c r="X55" s="1"/>
      <c r="Y55" s="1"/>
      <c r="Z55" s="1"/>
    </row>
    <row r="56" spans="1:26" ht="15.75" customHeight="1">
      <c r="A56" s="1"/>
      <c r="B56" s="1"/>
      <c r="C56" s="1"/>
      <c r="D56" s="1"/>
      <c r="E56" s="1"/>
      <c r="F56" s="3"/>
      <c r="G56" s="92" t="s">
        <v>523</v>
      </c>
      <c r="H56" s="1"/>
      <c r="I56" s="1"/>
      <c r="J56" s="1"/>
      <c r="K56" s="1"/>
      <c r="L56" s="3"/>
      <c r="M56" s="3"/>
      <c r="N56" s="4" t="s">
        <v>524</v>
      </c>
      <c r="O56" s="1"/>
      <c r="P56" s="1"/>
      <c r="Q56" s="3"/>
      <c r="R56" s="97" t="s">
        <v>525</v>
      </c>
      <c r="S56" s="1"/>
      <c r="T56" s="1"/>
      <c r="U56" s="1"/>
      <c r="V56" s="1"/>
      <c r="W56" s="1"/>
      <c r="X56" s="1"/>
      <c r="Y56" s="1"/>
      <c r="Z56" s="1"/>
    </row>
    <row r="57" spans="1:26" ht="15.75" customHeight="1">
      <c r="A57" s="1"/>
      <c r="B57" s="1"/>
      <c r="C57" s="1"/>
      <c r="D57" s="1"/>
      <c r="E57" s="1"/>
      <c r="F57" s="3"/>
      <c r="G57" s="92" t="s">
        <v>526</v>
      </c>
      <c r="H57" s="1"/>
      <c r="I57" s="1"/>
      <c r="J57" s="1"/>
      <c r="K57" s="1"/>
      <c r="L57" s="3"/>
      <c r="M57" s="3"/>
      <c r="N57" s="4" t="s">
        <v>527</v>
      </c>
      <c r="O57" s="1"/>
      <c r="P57" s="1"/>
      <c r="Q57" s="3"/>
      <c r="R57" s="97" t="s">
        <v>528</v>
      </c>
      <c r="S57" s="1"/>
      <c r="T57" s="1"/>
      <c r="U57" s="1"/>
      <c r="V57" s="1"/>
      <c r="W57" s="1"/>
      <c r="X57" s="1"/>
      <c r="Y57" s="1"/>
      <c r="Z57" s="1"/>
    </row>
    <row r="58" spans="1:26" ht="15.75" customHeight="1">
      <c r="A58" s="1"/>
      <c r="B58" s="1"/>
      <c r="C58" s="1"/>
      <c r="D58" s="1"/>
      <c r="E58" s="1"/>
      <c r="F58" s="3"/>
      <c r="G58" s="92" t="s">
        <v>529</v>
      </c>
      <c r="H58" s="1"/>
      <c r="I58" s="1"/>
      <c r="J58" s="1"/>
      <c r="K58" s="1"/>
      <c r="L58" s="3"/>
      <c r="M58" s="3"/>
      <c r="N58" s="4" t="s">
        <v>530</v>
      </c>
      <c r="O58" s="1"/>
      <c r="P58" s="1"/>
      <c r="Q58" s="3"/>
      <c r="R58" s="97" t="s">
        <v>531</v>
      </c>
      <c r="S58" s="1"/>
      <c r="T58" s="1"/>
      <c r="U58" s="1"/>
      <c r="V58" s="1"/>
      <c r="W58" s="1"/>
      <c r="X58" s="1"/>
      <c r="Y58" s="1"/>
      <c r="Z58" s="1"/>
    </row>
    <row r="59" spans="1:26" ht="15.75" customHeight="1">
      <c r="A59" s="1"/>
      <c r="B59" s="1"/>
      <c r="C59" s="1"/>
      <c r="D59" s="1"/>
      <c r="E59" s="1"/>
      <c r="F59" s="3"/>
      <c r="G59" s="92" t="s">
        <v>532</v>
      </c>
      <c r="H59" s="1"/>
      <c r="I59" s="1"/>
      <c r="J59" s="1"/>
      <c r="K59" s="1"/>
      <c r="L59" s="3"/>
      <c r="M59" s="3"/>
      <c r="N59" s="4" t="s">
        <v>533</v>
      </c>
      <c r="O59" s="1"/>
      <c r="P59" s="1"/>
      <c r="Q59" s="3"/>
      <c r="R59" s="97" t="s">
        <v>534</v>
      </c>
      <c r="S59" s="1"/>
      <c r="T59" s="1"/>
      <c r="U59" s="1"/>
      <c r="V59" s="1"/>
      <c r="W59" s="1"/>
      <c r="X59" s="1"/>
      <c r="Y59" s="1"/>
      <c r="Z59" s="1"/>
    </row>
    <row r="60" spans="1:26" ht="15.75" customHeight="1">
      <c r="A60" s="1"/>
      <c r="B60" s="1"/>
      <c r="C60" s="1"/>
      <c r="D60" s="1"/>
      <c r="E60" s="1"/>
      <c r="F60" s="3"/>
      <c r="G60" s="92" t="s">
        <v>17</v>
      </c>
      <c r="H60" s="1"/>
      <c r="I60" s="1"/>
      <c r="J60" s="1"/>
      <c r="K60" s="1"/>
      <c r="L60" s="3"/>
      <c r="M60" s="3"/>
      <c r="N60" s="4" t="s">
        <v>535</v>
      </c>
      <c r="O60" s="1"/>
      <c r="P60" s="1"/>
      <c r="Q60" s="3"/>
      <c r="R60" s="97" t="s">
        <v>536</v>
      </c>
      <c r="S60" s="1"/>
      <c r="T60" s="1"/>
      <c r="U60" s="1"/>
      <c r="V60" s="1"/>
      <c r="W60" s="1"/>
      <c r="X60" s="1"/>
      <c r="Y60" s="1"/>
      <c r="Z60" s="1"/>
    </row>
    <row r="61" spans="1:26" ht="15.75" customHeight="1">
      <c r="A61" s="1"/>
      <c r="B61" s="1"/>
      <c r="C61" s="1"/>
      <c r="D61" s="1"/>
      <c r="E61" s="1"/>
      <c r="F61" s="3"/>
      <c r="G61" s="92" t="s">
        <v>537</v>
      </c>
      <c r="H61" s="1"/>
      <c r="I61" s="1"/>
      <c r="J61" s="1"/>
      <c r="K61" s="1"/>
      <c r="L61" s="3"/>
      <c r="M61" s="3"/>
      <c r="N61" s="4" t="s">
        <v>538</v>
      </c>
      <c r="O61" s="1"/>
      <c r="P61" s="1"/>
      <c r="Q61" s="3"/>
      <c r="R61" s="97" t="s">
        <v>539</v>
      </c>
      <c r="S61" s="1"/>
      <c r="T61" s="1"/>
      <c r="U61" s="1"/>
      <c r="V61" s="1"/>
      <c r="W61" s="1"/>
      <c r="X61" s="1"/>
      <c r="Y61" s="1"/>
      <c r="Z61" s="1"/>
    </row>
    <row r="62" spans="1:26" ht="15.75" customHeight="1">
      <c r="A62" s="1"/>
      <c r="B62" s="1"/>
      <c r="C62" s="1"/>
      <c r="D62" s="1"/>
      <c r="E62" s="1"/>
      <c r="F62" s="3"/>
      <c r="G62" s="92" t="s">
        <v>540</v>
      </c>
      <c r="H62" s="1"/>
      <c r="I62" s="1"/>
      <c r="J62" s="1"/>
      <c r="K62" s="1"/>
      <c r="L62" s="3"/>
      <c r="M62" s="3"/>
      <c r="N62" s="4" t="s">
        <v>541</v>
      </c>
      <c r="O62" s="1"/>
      <c r="P62" s="1"/>
      <c r="Q62" s="3"/>
      <c r="R62" s="97" t="s">
        <v>542</v>
      </c>
      <c r="S62" s="1"/>
      <c r="T62" s="1"/>
      <c r="U62" s="1"/>
      <c r="V62" s="1"/>
      <c r="W62" s="1"/>
      <c r="X62" s="1"/>
      <c r="Y62" s="1"/>
      <c r="Z62" s="1"/>
    </row>
    <row r="63" spans="1:26" ht="15.75" customHeight="1">
      <c r="A63" s="1"/>
      <c r="B63" s="1"/>
      <c r="C63" s="1"/>
      <c r="D63" s="1"/>
      <c r="E63" s="1"/>
      <c r="F63" s="3"/>
      <c r="G63" s="92" t="s">
        <v>543</v>
      </c>
      <c r="H63" s="1"/>
      <c r="I63" s="1"/>
      <c r="J63" s="1"/>
      <c r="K63" s="1"/>
      <c r="L63" s="3"/>
      <c r="M63" s="3"/>
      <c r="N63" s="4" t="s">
        <v>544</v>
      </c>
      <c r="O63" s="1"/>
      <c r="P63" s="1"/>
      <c r="Q63" s="3"/>
      <c r="R63" s="97" t="s">
        <v>545</v>
      </c>
      <c r="S63" s="1"/>
      <c r="T63" s="1"/>
      <c r="U63" s="1"/>
      <c r="V63" s="1"/>
      <c r="W63" s="1"/>
      <c r="X63" s="1"/>
      <c r="Y63" s="1"/>
      <c r="Z63" s="1"/>
    </row>
    <row r="64" spans="1:26" ht="15.75" customHeight="1">
      <c r="A64" s="1"/>
      <c r="B64" s="1"/>
      <c r="C64" s="1"/>
      <c r="D64" s="1"/>
      <c r="E64" s="1"/>
      <c r="F64" s="3"/>
      <c r="G64" s="92" t="s">
        <v>546</v>
      </c>
      <c r="H64" s="1"/>
      <c r="I64" s="1"/>
      <c r="J64" s="1"/>
      <c r="K64" s="1"/>
      <c r="L64" s="3"/>
      <c r="M64" s="3"/>
      <c r="N64" s="4" t="s">
        <v>547</v>
      </c>
      <c r="O64" s="1"/>
      <c r="P64" s="1"/>
      <c r="Q64" s="3"/>
      <c r="R64" s="97" t="s">
        <v>548</v>
      </c>
      <c r="S64" s="1"/>
      <c r="T64" s="1"/>
      <c r="U64" s="1"/>
      <c r="V64" s="1"/>
      <c r="W64" s="1"/>
      <c r="X64" s="1"/>
      <c r="Y64" s="1"/>
      <c r="Z64" s="1"/>
    </row>
    <row r="65" spans="1:26" ht="15.75" customHeight="1">
      <c r="A65" s="1"/>
      <c r="B65" s="1"/>
      <c r="C65" s="1"/>
      <c r="D65" s="1"/>
      <c r="E65" s="1"/>
      <c r="F65" s="3"/>
      <c r="G65" s="92" t="s">
        <v>549</v>
      </c>
      <c r="H65" s="1"/>
      <c r="I65" s="1"/>
      <c r="J65" s="1"/>
      <c r="K65" s="1"/>
      <c r="L65" s="3"/>
      <c r="M65" s="3"/>
      <c r="N65" s="4" t="s">
        <v>550</v>
      </c>
      <c r="O65" s="1"/>
      <c r="P65" s="1"/>
      <c r="Q65" s="3"/>
      <c r="R65" s="97" t="s">
        <v>551</v>
      </c>
      <c r="S65" s="1"/>
      <c r="T65" s="1"/>
      <c r="U65" s="1"/>
      <c r="V65" s="1"/>
      <c r="W65" s="1"/>
      <c r="X65" s="1"/>
      <c r="Y65" s="1"/>
      <c r="Z65" s="1"/>
    </row>
    <row r="66" spans="1:26" ht="15.75" customHeight="1">
      <c r="A66" s="1"/>
      <c r="B66" s="1"/>
      <c r="C66" s="1"/>
      <c r="D66" s="1"/>
      <c r="E66" s="1"/>
      <c r="F66" s="3"/>
      <c r="G66" s="92" t="s">
        <v>552</v>
      </c>
      <c r="H66" s="1"/>
      <c r="I66" s="1"/>
      <c r="J66" s="1"/>
      <c r="K66" s="1"/>
      <c r="L66" s="3"/>
      <c r="M66" s="3"/>
      <c r="N66" s="4" t="s">
        <v>553</v>
      </c>
      <c r="O66" s="1"/>
      <c r="P66" s="1"/>
      <c r="Q66" s="3"/>
      <c r="R66" s="97" t="s">
        <v>554</v>
      </c>
      <c r="S66" s="1"/>
      <c r="T66" s="1"/>
      <c r="U66" s="1"/>
      <c r="V66" s="1"/>
      <c r="W66" s="1"/>
      <c r="X66" s="1"/>
      <c r="Y66" s="1"/>
      <c r="Z66" s="1"/>
    </row>
    <row r="67" spans="1:26" ht="15.75" customHeight="1">
      <c r="A67" s="1"/>
      <c r="B67" s="1"/>
      <c r="C67" s="1"/>
      <c r="D67" s="1"/>
      <c r="E67" s="1"/>
      <c r="F67" s="3"/>
      <c r="G67" s="92" t="s">
        <v>555</v>
      </c>
      <c r="H67" s="1"/>
      <c r="I67" s="1"/>
      <c r="J67" s="1"/>
      <c r="K67" s="1"/>
      <c r="L67" s="3"/>
      <c r="M67" s="3"/>
      <c r="N67" s="4" t="s">
        <v>556</v>
      </c>
      <c r="O67" s="1"/>
      <c r="P67" s="1"/>
      <c r="Q67" s="3"/>
      <c r="R67" s="97" t="s">
        <v>557</v>
      </c>
      <c r="S67" s="1"/>
      <c r="T67" s="1"/>
      <c r="U67" s="1"/>
      <c r="V67" s="1"/>
      <c r="W67" s="1"/>
      <c r="X67" s="1"/>
      <c r="Y67" s="1"/>
      <c r="Z67" s="1"/>
    </row>
    <row r="68" spans="1:26" ht="15.75" customHeight="1">
      <c r="A68" s="1"/>
      <c r="B68" s="1"/>
      <c r="C68" s="1"/>
      <c r="D68" s="1"/>
      <c r="E68" s="1"/>
      <c r="F68" s="3"/>
      <c r="G68" s="92" t="s">
        <v>558</v>
      </c>
      <c r="H68" s="1"/>
      <c r="I68" s="1"/>
      <c r="J68" s="1"/>
      <c r="K68" s="1"/>
      <c r="L68" s="3"/>
      <c r="M68" s="3"/>
      <c r="N68" s="4" t="s">
        <v>559</v>
      </c>
      <c r="O68" s="1"/>
      <c r="P68" s="1"/>
      <c r="Q68" s="3"/>
      <c r="R68" s="97" t="s">
        <v>560</v>
      </c>
      <c r="S68" s="1"/>
      <c r="T68" s="1"/>
      <c r="U68" s="1"/>
      <c r="V68" s="1"/>
      <c r="W68" s="1"/>
      <c r="X68" s="1"/>
      <c r="Y68" s="1"/>
      <c r="Z68" s="1"/>
    </row>
    <row r="69" spans="1:26" ht="15.75" customHeight="1">
      <c r="A69" s="1"/>
      <c r="B69" s="1"/>
      <c r="C69" s="1"/>
      <c r="D69" s="1"/>
      <c r="E69" s="1"/>
      <c r="F69" s="3"/>
      <c r="G69" s="92" t="s">
        <v>561</v>
      </c>
      <c r="H69" s="1"/>
      <c r="I69" s="1"/>
      <c r="J69" s="1"/>
      <c r="K69" s="1"/>
      <c r="L69" s="3"/>
      <c r="M69" s="3"/>
      <c r="N69" s="4" t="s">
        <v>562</v>
      </c>
      <c r="O69" s="1"/>
      <c r="P69" s="1"/>
      <c r="Q69" s="3"/>
      <c r="R69" s="97" t="s">
        <v>563</v>
      </c>
      <c r="S69" s="1"/>
      <c r="T69" s="1"/>
      <c r="U69" s="1"/>
      <c r="V69" s="1"/>
      <c r="W69" s="1"/>
      <c r="X69" s="1"/>
      <c r="Y69" s="1"/>
      <c r="Z69" s="1"/>
    </row>
    <row r="70" spans="1:26" ht="15.75" customHeight="1">
      <c r="A70" s="1"/>
      <c r="B70" s="1"/>
      <c r="C70" s="1"/>
      <c r="D70" s="1"/>
      <c r="E70" s="1"/>
      <c r="F70" s="3"/>
      <c r="G70" s="92" t="s">
        <v>564</v>
      </c>
      <c r="H70" s="1"/>
      <c r="I70" s="1"/>
      <c r="J70" s="1"/>
      <c r="K70" s="1"/>
      <c r="L70" s="3"/>
      <c r="M70" s="3"/>
      <c r="N70" s="4" t="s">
        <v>565</v>
      </c>
      <c r="O70" s="1"/>
      <c r="P70" s="1"/>
      <c r="Q70" s="3"/>
      <c r="R70" s="97" t="s">
        <v>566</v>
      </c>
      <c r="S70" s="1"/>
      <c r="T70" s="1"/>
      <c r="U70" s="1"/>
      <c r="V70" s="1"/>
      <c r="W70" s="1"/>
      <c r="X70" s="1"/>
      <c r="Y70" s="1"/>
      <c r="Z70" s="1"/>
    </row>
    <row r="71" spans="1:26" ht="15.75" customHeight="1">
      <c r="A71" s="1"/>
      <c r="B71" s="1"/>
      <c r="C71" s="1"/>
      <c r="D71" s="1"/>
      <c r="E71" s="1"/>
      <c r="F71" s="3"/>
      <c r="G71" s="92" t="s">
        <v>567</v>
      </c>
      <c r="H71" s="1"/>
      <c r="I71" s="1"/>
      <c r="J71" s="1"/>
      <c r="K71" s="1"/>
      <c r="L71" s="3"/>
      <c r="M71" s="3"/>
      <c r="N71" s="4" t="s">
        <v>568</v>
      </c>
      <c r="O71" s="1"/>
      <c r="P71" s="1"/>
      <c r="Q71" s="3"/>
      <c r="R71" s="97" t="s">
        <v>569</v>
      </c>
      <c r="S71" s="1"/>
      <c r="T71" s="1"/>
      <c r="U71" s="1"/>
      <c r="V71" s="1"/>
      <c r="W71" s="1"/>
      <c r="X71" s="1"/>
      <c r="Y71" s="1"/>
      <c r="Z71" s="1"/>
    </row>
    <row r="72" spans="1:26" ht="15.75" customHeight="1">
      <c r="A72" s="1"/>
      <c r="B72" s="1"/>
      <c r="C72" s="1"/>
      <c r="D72" s="1"/>
      <c r="E72" s="1"/>
      <c r="F72" s="3"/>
      <c r="G72" s="92" t="s">
        <v>570</v>
      </c>
      <c r="H72" s="1"/>
      <c r="I72" s="1"/>
      <c r="J72" s="1"/>
      <c r="K72" s="1"/>
      <c r="L72" s="3"/>
      <c r="M72" s="3"/>
      <c r="N72" s="4" t="s">
        <v>571</v>
      </c>
      <c r="O72" s="1"/>
      <c r="P72" s="1"/>
      <c r="Q72" s="3"/>
      <c r="R72" s="97" t="s">
        <v>572</v>
      </c>
      <c r="S72" s="1"/>
      <c r="T72" s="1"/>
      <c r="U72" s="1"/>
      <c r="V72" s="1"/>
      <c r="W72" s="1"/>
      <c r="X72" s="1"/>
      <c r="Y72" s="1"/>
      <c r="Z72" s="1"/>
    </row>
    <row r="73" spans="1:26" ht="15.75" customHeight="1">
      <c r="A73" s="1"/>
      <c r="B73" s="1"/>
      <c r="C73" s="1"/>
      <c r="D73" s="1"/>
      <c r="E73" s="1"/>
      <c r="F73" s="3"/>
      <c r="G73" s="92" t="s">
        <v>573</v>
      </c>
      <c r="H73" s="1"/>
      <c r="I73" s="1"/>
      <c r="J73" s="1"/>
      <c r="K73" s="1"/>
      <c r="L73" s="3"/>
      <c r="M73" s="3"/>
      <c r="N73" s="4" t="s">
        <v>574</v>
      </c>
      <c r="O73" s="1"/>
      <c r="P73" s="1"/>
      <c r="Q73" s="3"/>
      <c r="R73" s="97" t="s">
        <v>575</v>
      </c>
      <c r="S73" s="1"/>
      <c r="T73" s="1"/>
      <c r="U73" s="1"/>
      <c r="V73" s="1"/>
      <c r="W73" s="1"/>
      <c r="X73" s="1"/>
      <c r="Y73" s="1"/>
      <c r="Z73" s="1"/>
    </row>
    <row r="74" spans="1:26" ht="15.75" customHeight="1">
      <c r="A74" s="1"/>
      <c r="B74" s="1"/>
      <c r="C74" s="1"/>
      <c r="D74" s="1"/>
      <c r="E74" s="1"/>
      <c r="F74" s="3"/>
      <c r="G74" s="92" t="s">
        <v>576</v>
      </c>
      <c r="H74" s="1"/>
      <c r="I74" s="1"/>
      <c r="J74" s="1"/>
      <c r="K74" s="1"/>
      <c r="L74" s="3"/>
      <c r="M74" s="3"/>
      <c r="N74" s="4" t="s">
        <v>577</v>
      </c>
      <c r="O74" s="1"/>
      <c r="P74" s="1"/>
      <c r="Q74" s="3"/>
      <c r="R74" s="97" t="s">
        <v>578</v>
      </c>
      <c r="S74" s="1"/>
      <c r="T74" s="1"/>
      <c r="U74" s="1"/>
      <c r="V74" s="1"/>
      <c r="W74" s="1"/>
      <c r="X74" s="1"/>
      <c r="Y74" s="1"/>
      <c r="Z74" s="1"/>
    </row>
    <row r="75" spans="1:26" ht="15.75" customHeight="1">
      <c r="A75" s="1"/>
      <c r="B75" s="1"/>
      <c r="C75" s="1"/>
      <c r="D75" s="1"/>
      <c r="E75" s="1"/>
      <c r="F75" s="3"/>
      <c r="G75" s="92" t="s">
        <v>579</v>
      </c>
      <c r="H75" s="1"/>
      <c r="I75" s="1"/>
      <c r="J75" s="1"/>
      <c r="K75" s="1"/>
      <c r="L75" s="3"/>
      <c r="M75" s="3"/>
      <c r="N75" s="4" t="s">
        <v>580</v>
      </c>
      <c r="O75" s="1"/>
      <c r="P75" s="1"/>
      <c r="Q75" s="3"/>
      <c r="R75" s="97" t="s">
        <v>581</v>
      </c>
      <c r="S75" s="1"/>
      <c r="T75" s="1"/>
      <c r="U75" s="1"/>
      <c r="V75" s="1"/>
      <c r="W75" s="1"/>
      <c r="X75" s="1"/>
      <c r="Y75" s="1"/>
      <c r="Z75" s="1"/>
    </row>
    <row r="76" spans="1:26" ht="15.75" customHeight="1">
      <c r="A76" s="1"/>
      <c r="B76" s="1"/>
      <c r="C76" s="1"/>
      <c r="D76" s="1"/>
      <c r="E76" s="1"/>
      <c r="F76" s="3"/>
      <c r="G76" s="92" t="s">
        <v>582</v>
      </c>
      <c r="H76" s="1"/>
      <c r="I76" s="1"/>
      <c r="J76" s="1"/>
      <c r="K76" s="1"/>
      <c r="L76" s="3"/>
      <c r="M76" s="3"/>
      <c r="N76" s="4" t="s">
        <v>583</v>
      </c>
      <c r="O76" s="1"/>
      <c r="P76" s="1"/>
      <c r="Q76" s="3"/>
      <c r="R76" s="97" t="s">
        <v>584</v>
      </c>
      <c r="S76" s="1"/>
      <c r="T76" s="1"/>
      <c r="U76" s="1"/>
      <c r="V76" s="1"/>
      <c r="W76" s="1"/>
      <c r="X76" s="1"/>
      <c r="Y76" s="1"/>
      <c r="Z76" s="1"/>
    </row>
    <row r="77" spans="1:26" ht="15.75" customHeight="1">
      <c r="A77" s="1"/>
      <c r="B77" s="1"/>
      <c r="C77" s="1"/>
      <c r="D77" s="1"/>
      <c r="E77" s="1"/>
      <c r="F77" s="3"/>
      <c r="G77" s="92" t="s">
        <v>585</v>
      </c>
      <c r="H77" s="1"/>
      <c r="I77" s="1"/>
      <c r="J77" s="1"/>
      <c r="K77" s="1"/>
      <c r="L77" s="3"/>
      <c r="M77" s="3"/>
      <c r="N77" s="4" t="s">
        <v>586</v>
      </c>
      <c r="O77" s="1"/>
      <c r="P77" s="1"/>
      <c r="Q77" s="3"/>
      <c r="R77" s="97" t="s">
        <v>587</v>
      </c>
      <c r="S77" s="1"/>
      <c r="T77" s="1"/>
      <c r="U77" s="1"/>
      <c r="V77" s="1"/>
      <c r="W77" s="1"/>
      <c r="X77" s="1"/>
      <c r="Y77" s="1"/>
      <c r="Z77" s="1"/>
    </row>
    <row r="78" spans="1:26" ht="15.75" customHeight="1">
      <c r="A78" s="1"/>
      <c r="B78" s="1"/>
      <c r="C78" s="1"/>
      <c r="D78" s="1"/>
      <c r="E78" s="1"/>
      <c r="F78" s="3"/>
      <c r="G78" s="92" t="s">
        <v>588</v>
      </c>
      <c r="H78" s="1"/>
      <c r="I78" s="1"/>
      <c r="J78" s="1"/>
      <c r="K78" s="1"/>
      <c r="L78" s="3"/>
      <c r="M78" s="3"/>
      <c r="N78" s="4" t="s">
        <v>589</v>
      </c>
      <c r="O78" s="1"/>
      <c r="P78" s="1"/>
      <c r="Q78" s="3"/>
      <c r="R78" s="97" t="s">
        <v>590</v>
      </c>
      <c r="S78" s="1"/>
      <c r="T78" s="1"/>
      <c r="U78" s="1"/>
      <c r="V78" s="1"/>
      <c r="W78" s="1"/>
      <c r="X78" s="1"/>
      <c r="Y78" s="1"/>
      <c r="Z78" s="1"/>
    </row>
    <row r="79" spans="1:26" ht="15.75" customHeight="1">
      <c r="A79" s="1"/>
      <c r="B79" s="1"/>
      <c r="C79" s="1"/>
      <c r="D79" s="1"/>
      <c r="E79" s="1"/>
      <c r="F79" s="3"/>
      <c r="G79" s="92" t="s">
        <v>591</v>
      </c>
      <c r="H79" s="1"/>
      <c r="I79" s="1"/>
      <c r="J79" s="1"/>
      <c r="K79" s="1"/>
      <c r="L79" s="3"/>
      <c r="M79" s="3"/>
      <c r="N79" s="4" t="s">
        <v>592</v>
      </c>
      <c r="O79" s="1"/>
      <c r="P79" s="1"/>
      <c r="Q79" s="3"/>
      <c r="R79" s="97" t="s">
        <v>593</v>
      </c>
      <c r="S79" s="1"/>
      <c r="T79" s="1"/>
      <c r="U79" s="1"/>
      <c r="V79" s="1"/>
      <c r="W79" s="1"/>
      <c r="X79" s="1"/>
      <c r="Y79" s="1"/>
      <c r="Z79" s="1"/>
    </row>
    <row r="80" spans="1:26" ht="15.75" customHeight="1">
      <c r="A80" s="1"/>
      <c r="B80" s="1"/>
      <c r="C80" s="1"/>
      <c r="D80" s="1"/>
      <c r="E80" s="1"/>
      <c r="F80" s="3"/>
      <c r="G80" s="92" t="s">
        <v>594</v>
      </c>
      <c r="H80" s="1"/>
      <c r="I80" s="1"/>
      <c r="J80" s="1"/>
      <c r="K80" s="1"/>
      <c r="L80" s="3"/>
      <c r="M80" s="3"/>
      <c r="N80" s="4" t="s">
        <v>595</v>
      </c>
      <c r="O80" s="1"/>
      <c r="P80" s="1"/>
      <c r="Q80" s="3"/>
      <c r="R80" s="97" t="s">
        <v>596</v>
      </c>
      <c r="S80" s="1"/>
      <c r="T80" s="1"/>
      <c r="U80" s="1"/>
      <c r="V80" s="1"/>
      <c r="W80" s="1"/>
      <c r="X80" s="1"/>
      <c r="Y80" s="1"/>
      <c r="Z80" s="1"/>
    </row>
    <row r="81" spans="1:26" ht="15.75" customHeight="1">
      <c r="A81" s="1"/>
      <c r="B81" s="1"/>
      <c r="C81" s="1"/>
      <c r="D81" s="1"/>
      <c r="E81" s="1"/>
      <c r="F81" s="3"/>
      <c r="G81" s="92" t="s">
        <v>597</v>
      </c>
      <c r="H81" s="1"/>
      <c r="I81" s="1"/>
      <c r="J81" s="1"/>
      <c r="K81" s="1"/>
      <c r="L81" s="3"/>
      <c r="M81" s="3"/>
      <c r="N81" s="4" t="s">
        <v>598</v>
      </c>
      <c r="O81" s="1"/>
      <c r="P81" s="1"/>
      <c r="Q81" s="3"/>
      <c r="R81" s="97" t="s">
        <v>599</v>
      </c>
      <c r="S81" s="1"/>
      <c r="T81" s="1"/>
      <c r="U81" s="1"/>
      <c r="V81" s="1"/>
      <c r="W81" s="1"/>
      <c r="X81" s="1"/>
      <c r="Y81" s="1"/>
      <c r="Z81" s="1"/>
    </row>
    <row r="82" spans="1:26" ht="15.75" customHeight="1">
      <c r="A82" s="1"/>
      <c r="B82" s="1"/>
      <c r="C82" s="1"/>
      <c r="D82" s="1"/>
      <c r="E82" s="1"/>
      <c r="F82" s="3"/>
      <c r="G82" s="92" t="s">
        <v>600</v>
      </c>
      <c r="H82" s="1"/>
      <c r="I82" s="1"/>
      <c r="J82" s="1"/>
      <c r="K82" s="1"/>
      <c r="L82" s="3"/>
      <c r="M82" s="3"/>
      <c r="N82" s="4" t="s">
        <v>601</v>
      </c>
      <c r="O82" s="1"/>
      <c r="P82" s="1"/>
      <c r="Q82" s="3"/>
      <c r="R82" s="97" t="s">
        <v>602</v>
      </c>
      <c r="S82" s="1"/>
      <c r="T82" s="1"/>
      <c r="U82" s="1"/>
      <c r="V82" s="1"/>
      <c r="W82" s="1"/>
      <c r="X82" s="1"/>
      <c r="Y82" s="1"/>
      <c r="Z82" s="1"/>
    </row>
    <row r="83" spans="1:26" ht="15.75" customHeight="1">
      <c r="A83" s="1"/>
      <c r="B83" s="1"/>
      <c r="C83" s="1"/>
      <c r="D83" s="1"/>
      <c r="E83" s="1"/>
      <c r="F83" s="3"/>
      <c r="G83" s="92" t="s">
        <v>603</v>
      </c>
      <c r="H83" s="1"/>
      <c r="I83" s="1"/>
      <c r="J83" s="1"/>
      <c r="K83" s="1"/>
      <c r="L83" s="3"/>
      <c r="M83" s="3"/>
      <c r="N83" s="4" t="s">
        <v>604</v>
      </c>
      <c r="O83" s="1"/>
      <c r="P83" s="1"/>
      <c r="Q83" s="3"/>
      <c r="R83" s="97" t="s">
        <v>605</v>
      </c>
      <c r="S83" s="1"/>
      <c r="T83" s="1"/>
      <c r="U83" s="1"/>
      <c r="V83" s="1"/>
      <c r="W83" s="1"/>
      <c r="X83" s="1"/>
      <c r="Y83" s="1"/>
      <c r="Z83" s="1"/>
    </row>
    <row r="84" spans="1:26" ht="15.75" customHeight="1">
      <c r="A84" s="1"/>
      <c r="B84" s="1"/>
      <c r="C84" s="1"/>
      <c r="D84" s="1"/>
      <c r="E84" s="1"/>
      <c r="F84" s="3"/>
      <c r="G84" s="92" t="s">
        <v>606</v>
      </c>
      <c r="H84" s="1"/>
      <c r="I84" s="1"/>
      <c r="J84" s="1"/>
      <c r="K84" s="1"/>
      <c r="L84" s="3"/>
      <c r="M84" s="3"/>
      <c r="N84" s="4" t="s">
        <v>607</v>
      </c>
      <c r="O84" s="1"/>
      <c r="P84" s="1"/>
      <c r="Q84" s="3"/>
      <c r="R84" s="97" t="s">
        <v>608</v>
      </c>
      <c r="S84" s="1"/>
      <c r="T84" s="1"/>
      <c r="U84" s="1"/>
      <c r="V84" s="1"/>
      <c r="W84" s="1"/>
      <c r="X84" s="1"/>
      <c r="Y84" s="1"/>
      <c r="Z84" s="1"/>
    </row>
    <row r="85" spans="1:26" ht="15.75" customHeight="1">
      <c r="A85" s="1"/>
      <c r="B85" s="1"/>
      <c r="C85" s="1"/>
      <c r="D85" s="1"/>
      <c r="E85" s="1"/>
      <c r="F85" s="3"/>
      <c r="G85" s="2" t="s">
        <v>609</v>
      </c>
      <c r="H85" s="1"/>
      <c r="I85" s="1"/>
      <c r="J85" s="1"/>
      <c r="K85" s="1"/>
      <c r="L85" s="3"/>
      <c r="M85" s="3"/>
      <c r="N85" s="4" t="s">
        <v>610</v>
      </c>
      <c r="O85" s="1"/>
      <c r="P85" s="1"/>
      <c r="Q85" s="3"/>
      <c r="R85" s="97" t="s">
        <v>611</v>
      </c>
      <c r="S85" s="1"/>
      <c r="T85" s="1"/>
      <c r="U85" s="1"/>
      <c r="V85" s="1"/>
      <c r="W85" s="1"/>
      <c r="X85" s="1"/>
      <c r="Y85" s="1"/>
      <c r="Z85" s="1"/>
    </row>
    <row r="86" spans="1:26" ht="15.75" customHeight="1">
      <c r="A86" s="1"/>
      <c r="B86" s="1"/>
      <c r="C86" s="1"/>
      <c r="D86" s="1"/>
      <c r="E86" s="1"/>
      <c r="F86" s="3"/>
      <c r="G86" s="92" t="s">
        <v>612</v>
      </c>
      <c r="H86" s="1"/>
      <c r="I86" s="1"/>
      <c r="J86" s="1"/>
      <c r="K86" s="1"/>
      <c r="L86" s="3"/>
      <c r="M86" s="3"/>
      <c r="N86" s="4" t="s">
        <v>613</v>
      </c>
      <c r="O86" s="1"/>
      <c r="P86" s="1"/>
      <c r="Q86" s="3"/>
      <c r="R86" s="97" t="s">
        <v>614</v>
      </c>
      <c r="S86" s="1"/>
      <c r="T86" s="1"/>
      <c r="U86" s="1"/>
      <c r="V86" s="1"/>
      <c r="W86" s="1"/>
      <c r="X86" s="1"/>
      <c r="Y86" s="1"/>
      <c r="Z86" s="1"/>
    </row>
    <row r="87" spans="1:26" ht="15.75" customHeight="1">
      <c r="A87" s="1"/>
      <c r="B87" s="1"/>
      <c r="C87" s="1"/>
      <c r="D87" s="1"/>
      <c r="E87" s="1"/>
      <c r="F87" s="3"/>
      <c r="G87" s="92" t="s">
        <v>615</v>
      </c>
      <c r="H87" s="1"/>
      <c r="I87" s="1"/>
      <c r="J87" s="1"/>
      <c r="K87" s="1"/>
      <c r="L87" s="3"/>
      <c r="M87" s="3"/>
      <c r="N87" s="4" t="s">
        <v>616</v>
      </c>
      <c r="O87" s="1"/>
      <c r="P87" s="1"/>
      <c r="Q87" s="3"/>
      <c r="R87" s="97" t="s">
        <v>617</v>
      </c>
      <c r="S87" s="1"/>
      <c r="T87" s="1"/>
      <c r="U87" s="1"/>
      <c r="V87" s="1"/>
      <c r="W87" s="1"/>
      <c r="X87" s="1"/>
      <c r="Y87" s="1"/>
      <c r="Z87" s="1"/>
    </row>
    <row r="88" spans="1:26" ht="15.75" customHeight="1">
      <c r="A88" s="1"/>
      <c r="B88" s="1"/>
      <c r="C88" s="1"/>
      <c r="D88" s="1"/>
      <c r="E88" s="1"/>
      <c r="F88" s="3"/>
      <c r="G88" s="92" t="s">
        <v>618</v>
      </c>
      <c r="H88" s="1"/>
      <c r="I88" s="1"/>
      <c r="J88" s="1"/>
      <c r="K88" s="1"/>
      <c r="L88" s="3"/>
      <c r="M88" s="3"/>
      <c r="N88" s="99" t="s">
        <v>619</v>
      </c>
      <c r="O88" s="1"/>
      <c r="P88" s="1"/>
      <c r="Q88" s="3"/>
      <c r="R88" s="97" t="s">
        <v>620</v>
      </c>
      <c r="S88" s="1"/>
      <c r="T88" s="1"/>
      <c r="U88" s="1"/>
      <c r="V88" s="1"/>
      <c r="W88" s="1"/>
      <c r="X88" s="1"/>
      <c r="Y88" s="1"/>
      <c r="Z88" s="1"/>
    </row>
    <row r="89" spans="1:26" ht="15.75" customHeight="1">
      <c r="A89" s="1"/>
      <c r="B89" s="1"/>
      <c r="C89" s="1"/>
      <c r="D89" s="1"/>
      <c r="E89" s="1"/>
      <c r="F89" s="3"/>
      <c r="G89" s="92" t="s">
        <v>621</v>
      </c>
      <c r="H89" s="1"/>
      <c r="I89" s="1"/>
      <c r="J89" s="1"/>
      <c r="K89" s="1"/>
      <c r="L89" s="3"/>
      <c r="M89" s="3"/>
      <c r="N89" s="4" t="s">
        <v>622</v>
      </c>
      <c r="O89" s="1"/>
      <c r="P89" s="1"/>
      <c r="Q89" s="3"/>
      <c r="R89" s="97" t="s">
        <v>623</v>
      </c>
      <c r="S89" s="1"/>
      <c r="T89" s="1"/>
      <c r="U89" s="1"/>
      <c r="V89" s="1"/>
      <c r="W89" s="1"/>
      <c r="X89" s="1"/>
      <c r="Y89" s="1"/>
      <c r="Z89" s="1"/>
    </row>
    <row r="90" spans="1:26" ht="15.75" customHeight="1">
      <c r="A90" s="1"/>
      <c r="B90" s="1"/>
      <c r="C90" s="1"/>
      <c r="D90" s="1"/>
      <c r="E90" s="1"/>
      <c r="F90" s="3"/>
      <c r="G90" s="92" t="s">
        <v>624</v>
      </c>
      <c r="H90" s="1"/>
      <c r="I90" s="1"/>
      <c r="J90" s="1"/>
      <c r="K90" s="1"/>
      <c r="L90" s="3"/>
      <c r="M90" s="3"/>
      <c r="N90" s="4" t="s">
        <v>625</v>
      </c>
      <c r="O90" s="1"/>
      <c r="P90" s="1"/>
      <c r="Q90" s="3"/>
      <c r="R90" s="97" t="s">
        <v>626</v>
      </c>
      <c r="S90" s="1"/>
      <c r="T90" s="1"/>
      <c r="U90" s="1"/>
      <c r="V90" s="1"/>
      <c r="W90" s="1"/>
      <c r="X90" s="1"/>
      <c r="Y90" s="1"/>
      <c r="Z90" s="1"/>
    </row>
    <row r="91" spans="1:26" ht="15.75" customHeight="1">
      <c r="A91" s="1"/>
      <c r="B91" s="1"/>
      <c r="C91" s="1"/>
      <c r="D91" s="1"/>
      <c r="E91" s="1"/>
      <c r="F91" s="3"/>
      <c r="G91" s="92" t="s">
        <v>627</v>
      </c>
      <c r="H91" s="1"/>
      <c r="I91" s="1"/>
      <c r="J91" s="1"/>
      <c r="K91" s="1"/>
      <c r="L91" s="92"/>
      <c r="M91" s="3"/>
      <c r="N91" s="4" t="s">
        <v>628</v>
      </c>
      <c r="O91" s="1"/>
      <c r="P91" s="1"/>
      <c r="Q91" s="3"/>
      <c r="R91" s="97" t="s">
        <v>629</v>
      </c>
      <c r="S91" s="1"/>
      <c r="T91" s="1"/>
      <c r="U91" s="1"/>
      <c r="V91" s="1"/>
      <c r="W91" s="1"/>
      <c r="X91" s="1"/>
      <c r="Y91" s="1"/>
      <c r="Z91" s="1"/>
    </row>
    <row r="92" spans="1:26" ht="15.75" customHeight="1">
      <c r="A92" s="1"/>
      <c r="B92" s="1"/>
      <c r="C92" s="1"/>
      <c r="D92" s="1"/>
      <c r="E92" s="1"/>
      <c r="F92" s="3"/>
      <c r="G92" s="2" t="s">
        <v>630</v>
      </c>
      <c r="H92" s="1"/>
      <c r="I92" s="1"/>
      <c r="J92" s="1"/>
      <c r="K92" s="1"/>
      <c r="L92" s="1"/>
      <c r="M92" s="3"/>
      <c r="N92" s="4" t="s">
        <v>631</v>
      </c>
      <c r="O92" s="1"/>
      <c r="P92" s="1"/>
      <c r="Q92" s="3"/>
      <c r="R92" s="97" t="s">
        <v>632</v>
      </c>
      <c r="S92" s="1"/>
      <c r="T92" s="1"/>
      <c r="U92" s="1"/>
      <c r="V92" s="1"/>
      <c r="W92" s="1"/>
      <c r="X92" s="1"/>
      <c r="Y92" s="1"/>
      <c r="Z92" s="1"/>
    </row>
    <row r="93" spans="1:26" ht="15.75" customHeight="1">
      <c r="A93" s="1"/>
      <c r="B93" s="1"/>
      <c r="C93" s="1"/>
      <c r="D93" s="1"/>
      <c r="E93" s="1"/>
      <c r="F93" s="3"/>
      <c r="G93" s="92" t="s">
        <v>633</v>
      </c>
      <c r="H93" s="1"/>
      <c r="I93" s="1"/>
      <c r="J93" s="1"/>
      <c r="K93" s="1"/>
      <c r="L93" s="3"/>
      <c r="M93" s="3"/>
      <c r="N93" s="4" t="s">
        <v>634</v>
      </c>
      <c r="O93" s="1"/>
      <c r="P93" s="1"/>
      <c r="Q93" s="3"/>
      <c r="R93" s="97" t="s">
        <v>119</v>
      </c>
      <c r="S93" s="1"/>
      <c r="T93" s="1"/>
      <c r="U93" s="1"/>
      <c r="V93" s="1"/>
      <c r="W93" s="1"/>
      <c r="X93" s="1"/>
      <c r="Y93" s="1"/>
      <c r="Z93" s="1"/>
    </row>
    <row r="94" spans="1:26" ht="15.75" customHeight="1">
      <c r="A94" s="1"/>
      <c r="B94" s="1"/>
      <c r="C94" s="1"/>
      <c r="D94" s="1"/>
      <c r="E94" s="1"/>
      <c r="F94" s="3"/>
      <c r="G94" s="92" t="s">
        <v>635</v>
      </c>
      <c r="H94" s="1"/>
      <c r="I94" s="1"/>
      <c r="J94" s="1"/>
      <c r="K94" s="1"/>
      <c r="L94" s="3"/>
      <c r="M94" s="3"/>
      <c r="N94" s="94" t="s">
        <v>636</v>
      </c>
      <c r="O94" s="1"/>
      <c r="P94" s="1"/>
      <c r="Q94" s="3"/>
      <c r="R94" s="97" t="s">
        <v>637</v>
      </c>
      <c r="S94" s="1"/>
      <c r="T94" s="1"/>
      <c r="U94" s="1"/>
      <c r="V94" s="1"/>
      <c r="W94" s="1"/>
      <c r="X94" s="1"/>
      <c r="Y94" s="1"/>
      <c r="Z94" s="1"/>
    </row>
    <row r="95" spans="1:26" ht="15.75" customHeight="1">
      <c r="A95" s="1"/>
      <c r="B95" s="1"/>
      <c r="C95" s="1"/>
      <c r="D95" s="1"/>
      <c r="E95" s="1"/>
      <c r="F95" s="3"/>
      <c r="G95" s="92" t="s">
        <v>638</v>
      </c>
      <c r="H95" s="1"/>
      <c r="I95" s="1"/>
      <c r="J95" s="1"/>
      <c r="K95" s="1"/>
      <c r="L95" s="3"/>
      <c r="M95" s="1"/>
      <c r="N95" s="1"/>
      <c r="O95" s="1"/>
      <c r="P95" s="1"/>
      <c r="Q95" s="3"/>
      <c r="R95" s="97" t="s">
        <v>639</v>
      </c>
      <c r="S95" s="1"/>
      <c r="T95" s="1"/>
      <c r="U95" s="1"/>
      <c r="V95" s="1"/>
      <c r="W95" s="1"/>
      <c r="X95" s="1"/>
      <c r="Y95" s="1"/>
      <c r="Z95" s="1"/>
    </row>
    <row r="96" spans="1:26" ht="15.75" customHeight="1">
      <c r="A96" s="1"/>
      <c r="B96" s="1"/>
      <c r="C96" s="1"/>
      <c r="D96" s="1"/>
      <c r="E96" s="1"/>
      <c r="F96" s="3"/>
      <c r="G96" s="92" t="s">
        <v>640</v>
      </c>
      <c r="H96" s="1"/>
      <c r="I96" s="1"/>
      <c r="J96" s="1"/>
      <c r="K96" s="1"/>
      <c r="L96" s="3"/>
      <c r="M96" s="1"/>
      <c r="N96" s="1"/>
      <c r="O96" s="1"/>
      <c r="P96" s="1"/>
      <c r="Q96" s="3"/>
      <c r="R96" s="97" t="s">
        <v>641</v>
      </c>
      <c r="S96" s="1"/>
      <c r="T96" s="1"/>
      <c r="U96" s="1"/>
      <c r="V96" s="1"/>
      <c r="W96" s="1"/>
      <c r="X96" s="1"/>
      <c r="Y96" s="1"/>
      <c r="Z96" s="1"/>
    </row>
    <row r="97" spans="1:26" ht="15.75" customHeight="1">
      <c r="A97" s="1"/>
      <c r="B97" s="1"/>
      <c r="C97" s="1"/>
      <c r="D97" s="1"/>
      <c r="E97" s="1"/>
      <c r="F97" s="3"/>
      <c r="G97" s="92" t="s">
        <v>642</v>
      </c>
      <c r="H97" s="1"/>
      <c r="I97" s="1"/>
      <c r="J97" s="1"/>
      <c r="K97" s="1"/>
      <c r="L97" s="3"/>
      <c r="M97" s="1"/>
      <c r="N97" s="1"/>
      <c r="O97" s="1"/>
      <c r="P97" s="1"/>
      <c r="Q97" s="3"/>
      <c r="R97" s="97" t="s">
        <v>643</v>
      </c>
      <c r="S97" s="1"/>
      <c r="T97" s="1"/>
      <c r="U97" s="1"/>
      <c r="V97" s="1"/>
      <c r="W97" s="1"/>
      <c r="X97" s="1"/>
      <c r="Y97" s="1"/>
      <c r="Z97" s="1"/>
    </row>
    <row r="98" spans="1:26" ht="15.75" customHeight="1">
      <c r="A98" s="1"/>
      <c r="B98" s="1"/>
      <c r="C98" s="1"/>
      <c r="D98" s="1"/>
      <c r="E98" s="1"/>
      <c r="F98" s="3"/>
      <c r="G98" s="92" t="s">
        <v>644</v>
      </c>
      <c r="H98" s="1"/>
      <c r="I98" s="1"/>
      <c r="J98" s="1"/>
      <c r="K98" s="1"/>
      <c r="L98" s="3"/>
      <c r="M98" s="1"/>
      <c r="N98" s="1"/>
      <c r="O98" s="1"/>
      <c r="P98" s="1"/>
      <c r="Q98" s="3"/>
      <c r="R98" s="97" t="s">
        <v>645</v>
      </c>
      <c r="S98" s="1"/>
      <c r="T98" s="1"/>
      <c r="U98" s="1"/>
      <c r="V98" s="1"/>
      <c r="W98" s="1"/>
      <c r="X98" s="1"/>
      <c r="Y98" s="1"/>
      <c r="Z98" s="1"/>
    </row>
    <row r="99" spans="1:26" ht="15.75" customHeight="1">
      <c r="A99" s="1"/>
      <c r="B99" s="1"/>
      <c r="C99" s="1"/>
      <c r="D99" s="1"/>
      <c r="E99" s="1"/>
      <c r="F99" s="3"/>
      <c r="G99" s="92" t="s">
        <v>646</v>
      </c>
      <c r="H99" s="1"/>
      <c r="I99" s="1"/>
      <c r="J99" s="1"/>
      <c r="K99" s="1"/>
      <c r="L99" s="3"/>
      <c r="M99" s="1"/>
      <c r="N99" s="1"/>
      <c r="O99" s="1"/>
      <c r="P99" s="1"/>
      <c r="Q99" s="3"/>
      <c r="R99" s="97" t="s">
        <v>647</v>
      </c>
      <c r="S99" s="1"/>
      <c r="T99" s="1"/>
      <c r="U99" s="1"/>
      <c r="V99" s="1"/>
      <c r="W99" s="1"/>
      <c r="X99" s="1"/>
      <c r="Y99" s="1"/>
      <c r="Z99" s="1"/>
    </row>
    <row r="100" spans="1:26" ht="15.75" customHeight="1">
      <c r="A100" s="1"/>
      <c r="B100" s="1"/>
      <c r="C100" s="1"/>
      <c r="D100" s="1"/>
      <c r="E100" s="1"/>
      <c r="F100" s="3"/>
      <c r="G100" s="92" t="s">
        <v>648</v>
      </c>
      <c r="H100" s="1"/>
      <c r="I100" s="1"/>
      <c r="J100" s="1"/>
      <c r="K100" s="1"/>
      <c r="L100" s="3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>
      <c r="A101" s="1"/>
      <c r="B101" s="1"/>
      <c r="C101" s="1"/>
      <c r="D101" s="1"/>
      <c r="E101" s="1"/>
      <c r="F101" s="3"/>
      <c r="G101" s="2" t="s">
        <v>649</v>
      </c>
      <c r="H101" s="1"/>
      <c r="I101" s="1"/>
      <c r="J101" s="1"/>
      <c r="K101" s="1"/>
      <c r="L101" s="3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>
      <c r="A102" s="1"/>
      <c r="B102" s="1"/>
      <c r="C102" s="1"/>
      <c r="D102" s="1"/>
      <c r="E102" s="1"/>
      <c r="F102" s="3"/>
      <c r="G102" s="92" t="s">
        <v>650</v>
      </c>
      <c r="H102" s="1"/>
      <c r="I102" s="1"/>
      <c r="J102" s="1"/>
      <c r="K102" s="1"/>
      <c r="L102" s="3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>
      <c r="A103" s="1"/>
      <c r="B103" s="1"/>
      <c r="C103" s="1"/>
      <c r="D103" s="1"/>
      <c r="E103" s="1"/>
      <c r="F103" s="3"/>
      <c r="G103" s="92" t="s">
        <v>651</v>
      </c>
      <c r="H103" s="1"/>
      <c r="I103" s="1"/>
      <c r="J103" s="1"/>
      <c r="K103" s="1"/>
      <c r="L103" s="3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>
      <c r="A104" s="1"/>
      <c r="B104" s="1"/>
      <c r="C104" s="1"/>
      <c r="D104" s="1"/>
      <c r="E104" s="1"/>
      <c r="F104" s="3"/>
      <c r="G104" s="92" t="s">
        <v>652</v>
      </c>
      <c r="H104" s="1"/>
      <c r="I104" s="1"/>
      <c r="J104" s="1"/>
      <c r="K104" s="1"/>
      <c r="L104" s="3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>
      <c r="A105" s="1"/>
      <c r="B105" s="1"/>
      <c r="C105" s="1"/>
      <c r="D105" s="1"/>
      <c r="E105" s="1"/>
      <c r="F105" s="3"/>
      <c r="G105" s="92" t="s">
        <v>653</v>
      </c>
      <c r="H105" s="1"/>
      <c r="I105" s="1"/>
      <c r="J105" s="1"/>
      <c r="K105" s="1"/>
      <c r="L105" s="3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>
      <c r="A106" s="1"/>
      <c r="B106" s="1"/>
      <c r="C106" s="1"/>
      <c r="D106" s="1"/>
      <c r="E106" s="1"/>
      <c r="F106" s="3"/>
      <c r="G106" s="2" t="s">
        <v>654</v>
      </c>
      <c r="H106" s="1"/>
      <c r="I106" s="1"/>
      <c r="J106" s="1"/>
      <c r="K106" s="1"/>
      <c r="L106" s="3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>
      <c r="A107" s="1"/>
      <c r="B107" s="1"/>
      <c r="C107" s="1"/>
      <c r="D107" s="1"/>
      <c r="E107" s="1"/>
      <c r="F107" s="3"/>
      <c r="G107" s="2" t="s">
        <v>655</v>
      </c>
      <c r="H107" s="1"/>
      <c r="I107" s="1"/>
      <c r="J107" s="1"/>
      <c r="K107" s="1"/>
      <c r="L107" s="3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>
      <c r="A108" s="1"/>
      <c r="B108" s="1"/>
      <c r="C108" s="1"/>
      <c r="D108" s="1"/>
      <c r="E108" s="1"/>
      <c r="F108" s="3"/>
      <c r="G108" s="2" t="s">
        <v>656</v>
      </c>
      <c r="H108" s="1"/>
      <c r="I108" s="1"/>
      <c r="J108" s="1"/>
      <c r="K108" s="1"/>
      <c r="L108" s="3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>
      <c r="A109" s="1"/>
      <c r="B109" s="1"/>
      <c r="C109" s="1"/>
      <c r="D109" s="1"/>
      <c r="E109" s="1"/>
      <c r="F109" s="3"/>
      <c r="G109" s="92" t="s">
        <v>657</v>
      </c>
      <c r="H109" s="1"/>
      <c r="I109" s="1"/>
      <c r="J109" s="1"/>
      <c r="K109" s="1"/>
      <c r="L109" s="3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>
      <c r="A110" s="1"/>
      <c r="B110" s="1"/>
      <c r="C110" s="1"/>
      <c r="D110" s="1"/>
      <c r="E110" s="1"/>
      <c r="F110" s="3"/>
      <c r="G110" s="92" t="s">
        <v>658</v>
      </c>
      <c r="H110" s="1"/>
      <c r="I110" s="1"/>
      <c r="J110" s="1"/>
      <c r="K110" s="1"/>
      <c r="L110" s="3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>
      <c r="A111" s="1"/>
      <c r="B111" s="1"/>
      <c r="C111" s="1"/>
      <c r="D111" s="1"/>
      <c r="E111" s="1"/>
      <c r="F111" s="3"/>
      <c r="G111" s="92" t="s">
        <v>659</v>
      </c>
      <c r="H111" s="1"/>
      <c r="I111" s="1"/>
      <c r="J111" s="1"/>
      <c r="K111" s="1"/>
      <c r="L111" s="3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>
      <c r="A112" s="1"/>
      <c r="B112" s="1"/>
      <c r="C112" s="1"/>
      <c r="D112" s="1"/>
      <c r="E112" s="1"/>
      <c r="F112" s="3"/>
      <c r="G112" s="2" t="s">
        <v>660</v>
      </c>
      <c r="H112" s="1"/>
      <c r="I112" s="1"/>
      <c r="J112" s="1"/>
      <c r="K112" s="1"/>
      <c r="L112" s="3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>
      <c r="A113" s="1"/>
      <c r="B113" s="1"/>
      <c r="C113" s="1"/>
      <c r="D113" s="1"/>
      <c r="E113" s="1"/>
      <c r="F113" s="3"/>
      <c r="G113" s="92" t="s">
        <v>661</v>
      </c>
      <c r="H113" s="1"/>
      <c r="I113" s="1"/>
      <c r="J113" s="1"/>
      <c r="K113" s="1"/>
      <c r="L113" s="3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3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3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3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3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3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3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3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3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3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3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3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3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3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3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3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3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3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3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3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3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3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3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3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3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3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3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3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3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3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3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3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3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92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/>
    <row r="315" spans="1:26" ht="15.75" customHeight="1"/>
    <row r="316" spans="1:26" ht="15.75" customHeight="1"/>
    <row r="317" spans="1:26" ht="15.75" customHeight="1"/>
    <row r="318" spans="1:26" ht="15.75" customHeight="1"/>
    <row r="319" spans="1:26" ht="15.75" customHeight="1"/>
    <row r="320" spans="1:26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8">
    <mergeCell ref="D22:D23"/>
    <mergeCell ref="D25:D28"/>
    <mergeCell ref="D29:D31"/>
    <mergeCell ref="D3:D5"/>
    <mergeCell ref="D9:D10"/>
    <mergeCell ref="D11:D13"/>
    <mergeCell ref="D14:D15"/>
    <mergeCell ref="D18:D19"/>
  </mergeCells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M409"/>
  <sheetViews>
    <sheetView workbookViewId="0"/>
  </sheetViews>
  <sheetFormatPr baseColWidth="10" defaultColWidth="12.5703125" defaultRowHeight="15" customHeight="1"/>
  <sheetData>
    <row r="1" spans="1:13">
      <c r="A1" s="107" t="str">
        <f ca="1">IFERROR(__xludf.DUMMYFUNCTION("QUERY(IMPORTRANGE(""https://docs.google.com/spreadsheets/d/1zyBd8IQlNAQI1DEiTZxkkEb6cvqE5P_ZcRvK_jum_2c/edit#gid=1175166339"",""'ESTADÍSTICAS MIR'!A:M""),""SELECT * WHERE Col4='Guadalajara bien educada'"")"),"ID")</f>
        <v>ID</v>
      </c>
      <c r="B1" s="107" t="str">
        <f ca="1">IFERROR(__xludf.DUMMYFUNCTION("""COMPUTED_VALUE"""),"Responsable")</f>
        <v>Responsable</v>
      </c>
      <c r="C1" s="107" t="str">
        <f ca="1">IFERROR(__xludf.DUMMYFUNCTION("""COMPUTED_VALUE"""),"Coordinación")</f>
        <v>Coordinación</v>
      </c>
      <c r="D1" s="107" t="str">
        <f ca="1">IFERROR(__xludf.DUMMYFUNCTION("""COMPUTED_VALUE"""),"Eje")</f>
        <v>Eje</v>
      </c>
      <c r="E1" s="107" t="str">
        <f ca="1">IFERROR(__xludf.DUMMYFUNCTION("""COMPUTED_VALUE"""),"Programa")</f>
        <v>Programa</v>
      </c>
      <c r="F1" s="107" t="str">
        <f ca="1">IFERROR(__xludf.DUMMYFUNCTION("""COMPUTED_VALUE"""),"NIVEL")</f>
        <v>NIVEL</v>
      </c>
      <c r="G1" s="107" t="str">
        <f ca="1">IFERROR(__xludf.DUMMYFUNCTION("""COMPUTED_VALUE"""),"INDICADOR")</f>
        <v>INDICADOR</v>
      </c>
      <c r="H1" s="107" t="str">
        <f ca="1">IFERROR(__xludf.DUMMYFUNCTION("""COMPUTED_VALUE"""),"Mes-pob")</f>
        <v>Mes-pob</v>
      </c>
      <c r="I1" s="107" t="str">
        <f ca="1">IFERROR(__xludf.DUMMYFUNCTION("""COMPUTED_VALUE"""),"Mes")</f>
        <v>Mes</v>
      </c>
      <c r="J1" s="107" t="str">
        <f ca="1">IFERROR(__xludf.DUMMYFUNCTION("""COMPUTED_VALUE"""),"Pob")</f>
        <v>Pob</v>
      </c>
      <c r="K1" s="107" t="str">
        <f ca="1">IFERROR(__xludf.DUMMYFUNCTION("""COMPUTED_VALUE"""),"Total")</f>
        <v>Total</v>
      </c>
      <c r="L1" s="107" t="str">
        <f ca="1">IFERROR(__xludf.DUMMYFUNCTION("""COMPUTED_VALUE"""),"TRIMESTRE")</f>
        <v>TRIMESTRE</v>
      </c>
      <c r="M1" s="107" t="str">
        <f ca="1">IFERROR(__xludf.DUMMYFUNCTION("""COMPUTED_VALUE"""),"GRUPO ETARIO")</f>
        <v>GRUPO ETARIO</v>
      </c>
    </row>
    <row r="2" spans="1:13">
      <c r="A2" s="107" t="str">
        <f ca="1">IFERROR(__xludf.DUMMYFUNCTION("""COMPUTED_VALUE"""),"5.1.1.0")</f>
        <v>5.1.1.0</v>
      </c>
      <c r="B2" s="107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2" s="107" t="str">
        <f ca="1">IFERROR(__xludf.DUMMYFUNCTION("""COMPUTED_VALUE"""),"3. Operación")</f>
        <v>3. Operación</v>
      </c>
      <c r="D2" s="107" t="str">
        <f ca="1">IFERROR(__xludf.DUMMYFUNCTION("""COMPUTED_VALUE"""),"Guadalajara bien educada")</f>
        <v>Guadalajara bien educada</v>
      </c>
      <c r="E2" s="107" t="str">
        <f ca="1">IFERROR(__xludf.DUMMYFUNCTION("""COMPUTED_VALUE"""),"Atención en Centros de Desarrollo Infantil")</f>
        <v>Atención en Centros de Desarrollo Infantil</v>
      </c>
      <c r="F2" s="107" t="str">
        <f ca="1">IFERROR(__xludf.DUMMYFUNCTION("""COMPUTED_VALUE"""),"C1. Servicio de educación inicial y preescolar para niñas y niños en condición de vulnerabilidad económica brindados en CDI, CEDI y CAIC ")</f>
        <v xml:space="preserve">C1. Servicio de educación inicial y preescolar para niñas y niños en condición de vulnerabilidad económica brindados en CDI, CEDI y CAIC </v>
      </c>
      <c r="G2" s="107" t="str">
        <f ca="1">IFERROR(__xludf.DUMMYFUNCTION("""COMPUTED_VALUE"""),"Porcentaje de demanda cubierta sobre servicios de atención educativa y asistencial para niñas y niños en condición de vulnerabilidad económica en 2024")</f>
        <v>Porcentaje de demanda cubierta sobre servicios de atención educativa y asistencial para niñas y niños en condición de vulnerabilidad económica en 2024</v>
      </c>
      <c r="H2" s="107" t="str">
        <f ca="1">IFERROR(__xludf.DUMMYFUNCTION("""COMPUTED_VALUE"""),"NAS ENERO")</f>
        <v>NAS ENERO</v>
      </c>
      <c r="I2" s="107" t="str">
        <f ca="1">IFERROR(__xludf.DUMMYFUNCTION("""COMPUTED_VALUE"""),"Enero")</f>
        <v>Enero</v>
      </c>
      <c r="J2" s="107" t="str">
        <f ca="1">IFERROR(__xludf.DUMMYFUNCTION("""COMPUTED_VALUE"""),"NAS")</f>
        <v>NAS</v>
      </c>
      <c r="K2" s="40">
        <f ca="1">IFERROR(__xludf.DUMMYFUNCTION("""COMPUTED_VALUE"""),9)</f>
        <v>9</v>
      </c>
      <c r="L2" s="107" t="str">
        <f ca="1">IFERROR(__xludf.DUMMYFUNCTION("""COMPUTED_VALUE"""),"TRIMESTRE 1")</f>
        <v>TRIMESTRE 1</v>
      </c>
      <c r="M2" s="107" t="str">
        <f ca="1">IFERROR(__xludf.DUMMYFUNCTION("""COMPUTED_VALUE"""),"NIÑAS")</f>
        <v>NIÑAS</v>
      </c>
    </row>
    <row r="3" spans="1:13">
      <c r="A3" s="107" t="str">
        <f ca="1">IFERROR(__xludf.DUMMYFUNCTION("""COMPUTED_VALUE"""),"5.1.1.0")</f>
        <v>5.1.1.0</v>
      </c>
      <c r="B3" s="107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3" s="107" t="str">
        <f ca="1">IFERROR(__xludf.DUMMYFUNCTION("""COMPUTED_VALUE"""),"3. Operación")</f>
        <v>3. Operación</v>
      </c>
      <c r="D3" s="107" t="str">
        <f ca="1">IFERROR(__xludf.DUMMYFUNCTION("""COMPUTED_VALUE"""),"Guadalajara bien educada")</f>
        <v>Guadalajara bien educada</v>
      </c>
      <c r="E3" s="107" t="str">
        <f ca="1">IFERROR(__xludf.DUMMYFUNCTION("""COMPUTED_VALUE"""),"Atención en Centros de Desarrollo Infantil")</f>
        <v>Atención en Centros de Desarrollo Infantil</v>
      </c>
      <c r="F3" s="107" t="str">
        <f ca="1">IFERROR(__xludf.DUMMYFUNCTION("""COMPUTED_VALUE"""),"C1. Servicio de educación inicial y preescolar para niñas y niños en condición de vulnerabilidad económica brindados en CDI, CEDI y CAIC ")</f>
        <v xml:space="preserve">C1. Servicio de educación inicial y preescolar para niñas y niños en condición de vulnerabilidad económica brindados en CDI, CEDI y CAIC </v>
      </c>
      <c r="G3" s="107" t="str">
        <f ca="1">IFERROR(__xludf.DUMMYFUNCTION("""COMPUTED_VALUE"""),"Porcentaje de demanda cubierta sobre servicios de atención educativa y asistencial para niñas y niños en condición de vulnerabilidad económica en 2024")</f>
        <v>Porcentaje de demanda cubierta sobre servicios de atención educativa y asistencial para niñas y niños en condición de vulnerabilidad económica en 2024</v>
      </c>
      <c r="H3" s="107" t="str">
        <f ca="1">IFERROR(__xludf.DUMMYFUNCTION("""COMPUTED_VALUE"""),"NOS ENERO")</f>
        <v>NOS ENERO</v>
      </c>
      <c r="I3" s="107" t="str">
        <f ca="1">IFERROR(__xludf.DUMMYFUNCTION("""COMPUTED_VALUE"""),"Enero")</f>
        <v>Enero</v>
      </c>
      <c r="J3" s="107" t="str">
        <f ca="1">IFERROR(__xludf.DUMMYFUNCTION("""COMPUTED_VALUE"""),"NOS")</f>
        <v>NOS</v>
      </c>
      <c r="K3" s="40">
        <f ca="1">IFERROR(__xludf.DUMMYFUNCTION("""COMPUTED_VALUE"""),16)</f>
        <v>16</v>
      </c>
      <c r="L3" s="107" t="str">
        <f ca="1">IFERROR(__xludf.DUMMYFUNCTION("""COMPUTED_VALUE"""),"TRIMESTRE 1")</f>
        <v>TRIMESTRE 1</v>
      </c>
      <c r="M3" s="107" t="str">
        <f ca="1">IFERROR(__xludf.DUMMYFUNCTION("""COMPUTED_VALUE"""),"NIÑOS")</f>
        <v>NIÑOS</v>
      </c>
    </row>
    <row r="4" spans="1:13">
      <c r="A4" s="107" t="str">
        <f ca="1">IFERROR(__xludf.DUMMYFUNCTION("""COMPUTED_VALUE"""),"5.1.1.0")</f>
        <v>5.1.1.0</v>
      </c>
      <c r="B4" s="107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4" s="107" t="str">
        <f ca="1">IFERROR(__xludf.DUMMYFUNCTION("""COMPUTED_VALUE"""),"3. Operación")</f>
        <v>3. Operación</v>
      </c>
      <c r="D4" s="107" t="str">
        <f ca="1">IFERROR(__xludf.DUMMYFUNCTION("""COMPUTED_VALUE"""),"Guadalajara bien educada")</f>
        <v>Guadalajara bien educada</v>
      </c>
      <c r="E4" s="107" t="str">
        <f ca="1">IFERROR(__xludf.DUMMYFUNCTION("""COMPUTED_VALUE"""),"Atención en Centros de Desarrollo Infantil")</f>
        <v>Atención en Centros de Desarrollo Infantil</v>
      </c>
      <c r="F4" s="107" t="str">
        <f ca="1">IFERROR(__xludf.DUMMYFUNCTION("""COMPUTED_VALUE"""),"C1. Servicio de educación inicial y preescolar para niñas y niños en condición de vulnerabilidad económica brindados en CDI, CEDI y CAIC ")</f>
        <v xml:space="preserve">C1. Servicio de educación inicial y preescolar para niñas y niños en condición de vulnerabilidad económica brindados en CDI, CEDI y CAIC </v>
      </c>
      <c r="G4" s="107" t="str">
        <f ca="1">IFERROR(__xludf.DUMMYFUNCTION("""COMPUTED_VALUE"""),"Porcentaje de demanda cubierta sobre servicios de atención educativa y asistencial para niñas y niños en condición de vulnerabilidad económica en 2024")</f>
        <v>Porcentaje de demanda cubierta sobre servicios de atención educativa y asistencial para niñas y niños en condición de vulnerabilidad económica en 2024</v>
      </c>
      <c r="H4" s="107" t="str">
        <f ca="1">IFERROR(__xludf.DUMMYFUNCTION("""COMPUTED_VALUE"""),"AM ENERO")</f>
        <v>AM ENERO</v>
      </c>
      <c r="I4" s="107" t="str">
        <f ca="1">IFERROR(__xludf.DUMMYFUNCTION("""COMPUTED_VALUE"""),"Enero")</f>
        <v>Enero</v>
      </c>
      <c r="J4" s="107" t="str">
        <f ca="1">IFERROR(__xludf.DUMMYFUNCTION("""COMPUTED_VALUE"""),"AM")</f>
        <v>AM</v>
      </c>
      <c r="K4" s="40"/>
      <c r="L4" s="107" t="str">
        <f ca="1">IFERROR(__xludf.DUMMYFUNCTION("""COMPUTED_VALUE"""),"TRIMESTRE 1")</f>
        <v>TRIMESTRE 1</v>
      </c>
      <c r="M4" s="107" t="str">
        <f ca="1">IFERROR(__xludf.DUMMYFUNCTION("""COMPUTED_VALUE"""),"ADOLESCENTES MUJERES")</f>
        <v>ADOLESCENTES MUJERES</v>
      </c>
    </row>
    <row r="5" spans="1:13">
      <c r="A5" s="107" t="str">
        <f ca="1">IFERROR(__xludf.DUMMYFUNCTION("""COMPUTED_VALUE"""),"5.1.1.0")</f>
        <v>5.1.1.0</v>
      </c>
      <c r="B5" s="107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5" s="107" t="str">
        <f ca="1">IFERROR(__xludf.DUMMYFUNCTION("""COMPUTED_VALUE"""),"3. Operación")</f>
        <v>3. Operación</v>
      </c>
      <c r="D5" s="107" t="str">
        <f ca="1">IFERROR(__xludf.DUMMYFUNCTION("""COMPUTED_VALUE"""),"Guadalajara bien educada")</f>
        <v>Guadalajara bien educada</v>
      </c>
      <c r="E5" s="107" t="str">
        <f ca="1">IFERROR(__xludf.DUMMYFUNCTION("""COMPUTED_VALUE"""),"Atención en Centros de Desarrollo Infantil")</f>
        <v>Atención en Centros de Desarrollo Infantil</v>
      </c>
      <c r="F5" s="107" t="str">
        <f ca="1">IFERROR(__xludf.DUMMYFUNCTION("""COMPUTED_VALUE"""),"C1. Servicio de educación inicial y preescolar para niñas y niños en condición de vulnerabilidad económica brindados en CDI, CEDI y CAIC ")</f>
        <v xml:space="preserve">C1. Servicio de educación inicial y preescolar para niñas y niños en condición de vulnerabilidad económica brindados en CDI, CEDI y CAIC </v>
      </c>
      <c r="G5" s="107" t="str">
        <f ca="1">IFERROR(__xludf.DUMMYFUNCTION("""COMPUTED_VALUE"""),"Porcentaje de demanda cubierta sobre servicios de atención educativa y asistencial para niñas y niños en condición de vulnerabilidad económica en 2024")</f>
        <v>Porcentaje de demanda cubierta sobre servicios de atención educativa y asistencial para niñas y niños en condición de vulnerabilidad económica en 2024</v>
      </c>
      <c r="H5" s="107" t="str">
        <f ca="1">IFERROR(__xludf.DUMMYFUNCTION("""COMPUTED_VALUE"""),"AH ENERO")</f>
        <v>AH ENERO</v>
      </c>
      <c r="I5" s="107" t="str">
        <f ca="1">IFERROR(__xludf.DUMMYFUNCTION("""COMPUTED_VALUE"""),"Enero")</f>
        <v>Enero</v>
      </c>
      <c r="J5" s="107" t="str">
        <f ca="1">IFERROR(__xludf.DUMMYFUNCTION("""COMPUTED_VALUE"""),"AH")</f>
        <v>AH</v>
      </c>
      <c r="K5" s="40"/>
      <c r="L5" s="107" t="str">
        <f ca="1">IFERROR(__xludf.DUMMYFUNCTION("""COMPUTED_VALUE"""),"TRIMESTRE 1")</f>
        <v>TRIMESTRE 1</v>
      </c>
      <c r="M5" s="107" t="str">
        <f ca="1">IFERROR(__xludf.DUMMYFUNCTION("""COMPUTED_VALUE"""),"ADOLESCENTES HOMBRES")</f>
        <v>ADOLESCENTES HOMBRES</v>
      </c>
    </row>
    <row r="6" spans="1:13">
      <c r="A6" s="107" t="str">
        <f ca="1">IFERROR(__xludf.DUMMYFUNCTION("""COMPUTED_VALUE"""),"5.1.1.0")</f>
        <v>5.1.1.0</v>
      </c>
      <c r="B6" s="107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6" s="107" t="str">
        <f ca="1">IFERROR(__xludf.DUMMYFUNCTION("""COMPUTED_VALUE"""),"3. Operación")</f>
        <v>3. Operación</v>
      </c>
      <c r="D6" s="107" t="str">
        <f ca="1">IFERROR(__xludf.DUMMYFUNCTION("""COMPUTED_VALUE"""),"Guadalajara bien educada")</f>
        <v>Guadalajara bien educada</v>
      </c>
      <c r="E6" s="107" t="str">
        <f ca="1">IFERROR(__xludf.DUMMYFUNCTION("""COMPUTED_VALUE"""),"Atención en Centros de Desarrollo Infantil")</f>
        <v>Atención en Centros de Desarrollo Infantil</v>
      </c>
      <c r="F6" s="107" t="str">
        <f ca="1">IFERROR(__xludf.DUMMYFUNCTION("""COMPUTED_VALUE"""),"C1. Servicio de educación inicial y preescolar para niñas y niños en condición de vulnerabilidad económica brindados en CDI, CEDI y CAIC ")</f>
        <v xml:space="preserve">C1. Servicio de educación inicial y preescolar para niñas y niños en condición de vulnerabilidad económica brindados en CDI, CEDI y CAIC </v>
      </c>
      <c r="G6" s="107" t="str">
        <f ca="1">IFERROR(__xludf.DUMMYFUNCTION("""COMPUTED_VALUE"""),"Porcentaje de demanda cubierta sobre servicios de atención educativa y asistencial para niñas y niños en condición de vulnerabilidad económica en 2024")</f>
        <v>Porcentaje de demanda cubierta sobre servicios de atención educativa y asistencial para niñas y niños en condición de vulnerabilidad económica en 2024</v>
      </c>
      <c r="H6" s="107" t="str">
        <f ca="1">IFERROR(__xludf.DUMMYFUNCTION("""COMPUTED_VALUE"""),"MUJ ENERO")</f>
        <v>MUJ ENERO</v>
      </c>
      <c r="I6" s="107" t="str">
        <f ca="1">IFERROR(__xludf.DUMMYFUNCTION("""COMPUTED_VALUE"""),"Enero")</f>
        <v>Enero</v>
      </c>
      <c r="J6" s="107" t="str">
        <f ca="1">IFERROR(__xludf.DUMMYFUNCTION("""COMPUTED_VALUE"""),"MUJ")</f>
        <v>MUJ</v>
      </c>
      <c r="K6" s="40"/>
      <c r="L6" s="107" t="str">
        <f ca="1">IFERROR(__xludf.DUMMYFUNCTION("""COMPUTED_VALUE"""),"TRIMESTRE 1")</f>
        <v>TRIMESTRE 1</v>
      </c>
      <c r="M6" s="107" t="str">
        <f ca="1">IFERROR(__xludf.DUMMYFUNCTION("""COMPUTED_VALUE"""),"MUJERES ADULTAS")</f>
        <v>MUJERES ADULTAS</v>
      </c>
    </row>
    <row r="7" spans="1:13">
      <c r="A7" s="107" t="str">
        <f ca="1">IFERROR(__xludf.DUMMYFUNCTION("""COMPUTED_VALUE"""),"5.1.1.0")</f>
        <v>5.1.1.0</v>
      </c>
      <c r="B7" s="107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7" s="107" t="str">
        <f ca="1">IFERROR(__xludf.DUMMYFUNCTION("""COMPUTED_VALUE"""),"3. Operación")</f>
        <v>3. Operación</v>
      </c>
      <c r="D7" s="107" t="str">
        <f ca="1">IFERROR(__xludf.DUMMYFUNCTION("""COMPUTED_VALUE"""),"Guadalajara bien educada")</f>
        <v>Guadalajara bien educada</v>
      </c>
      <c r="E7" s="107" t="str">
        <f ca="1">IFERROR(__xludf.DUMMYFUNCTION("""COMPUTED_VALUE"""),"Atención en Centros de Desarrollo Infantil")</f>
        <v>Atención en Centros de Desarrollo Infantil</v>
      </c>
      <c r="F7" s="107" t="str">
        <f ca="1">IFERROR(__xludf.DUMMYFUNCTION("""COMPUTED_VALUE"""),"C1. Servicio de educación inicial y preescolar para niñas y niños en condición de vulnerabilidad económica brindados en CDI, CEDI y CAIC ")</f>
        <v xml:space="preserve">C1. Servicio de educación inicial y preescolar para niñas y niños en condición de vulnerabilidad económica brindados en CDI, CEDI y CAIC </v>
      </c>
      <c r="G7" s="107" t="str">
        <f ca="1">IFERROR(__xludf.DUMMYFUNCTION("""COMPUTED_VALUE"""),"Porcentaje de demanda cubierta sobre servicios de atención educativa y asistencial para niñas y niños en condición de vulnerabilidad económica en 2024")</f>
        <v>Porcentaje de demanda cubierta sobre servicios de atención educativa y asistencial para niñas y niños en condición de vulnerabilidad económica en 2024</v>
      </c>
      <c r="H7" s="107" t="str">
        <f ca="1">IFERROR(__xludf.DUMMYFUNCTION("""COMPUTED_VALUE"""),"HOM ENERO")</f>
        <v>HOM ENERO</v>
      </c>
      <c r="I7" s="107" t="str">
        <f ca="1">IFERROR(__xludf.DUMMYFUNCTION("""COMPUTED_VALUE"""),"Enero")</f>
        <v>Enero</v>
      </c>
      <c r="J7" s="107" t="str">
        <f ca="1">IFERROR(__xludf.DUMMYFUNCTION("""COMPUTED_VALUE"""),"HOM")</f>
        <v>HOM</v>
      </c>
      <c r="K7" s="40"/>
      <c r="L7" s="107" t="str">
        <f ca="1">IFERROR(__xludf.DUMMYFUNCTION("""COMPUTED_VALUE"""),"TRIMESTRE 1")</f>
        <v>TRIMESTRE 1</v>
      </c>
      <c r="M7" s="107" t="str">
        <f ca="1">IFERROR(__xludf.DUMMYFUNCTION("""COMPUTED_VALUE"""),"HOMBRES ADULTOS")</f>
        <v>HOMBRES ADULTOS</v>
      </c>
    </row>
    <row r="8" spans="1:13">
      <c r="A8" s="107" t="str">
        <f ca="1">IFERROR(__xludf.DUMMYFUNCTION("""COMPUTED_VALUE"""),"5.1.1.0")</f>
        <v>5.1.1.0</v>
      </c>
      <c r="B8" s="107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8" s="107" t="str">
        <f ca="1">IFERROR(__xludf.DUMMYFUNCTION("""COMPUTED_VALUE"""),"3. Operación")</f>
        <v>3. Operación</v>
      </c>
      <c r="D8" s="107" t="str">
        <f ca="1">IFERROR(__xludf.DUMMYFUNCTION("""COMPUTED_VALUE"""),"Guadalajara bien educada")</f>
        <v>Guadalajara bien educada</v>
      </c>
      <c r="E8" s="107" t="str">
        <f ca="1">IFERROR(__xludf.DUMMYFUNCTION("""COMPUTED_VALUE"""),"Atención en Centros de Desarrollo Infantil")</f>
        <v>Atención en Centros de Desarrollo Infantil</v>
      </c>
      <c r="F8" s="107" t="str">
        <f ca="1">IFERROR(__xludf.DUMMYFUNCTION("""COMPUTED_VALUE"""),"C1. Servicio de educación inicial y preescolar para niñas y niños en condición de vulnerabilidad económica brindados en CDI, CEDI y CAIC ")</f>
        <v xml:space="preserve">C1. Servicio de educación inicial y preescolar para niñas y niños en condición de vulnerabilidad económica brindados en CDI, CEDI y CAIC </v>
      </c>
      <c r="G8" s="107" t="str">
        <f ca="1">IFERROR(__xludf.DUMMYFUNCTION("""COMPUTED_VALUE"""),"Porcentaje de demanda cubierta sobre servicios de atención educativa y asistencial para niñas y niños en condición de vulnerabilidad económica en 2024")</f>
        <v>Porcentaje de demanda cubierta sobre servicios de atención educativa y asistencial para niñas y niños en condición de vulnerabilidad económica en 2024</v>
      </c>
      <c r="H8" s="107" t="str">
        <f ca="1">IFERROR(__xludf.DUMMYFUNCTION("""COMPUTED_VALUE"""),"AMM ENERO")</f>
        <v>AMM ENERO</v>
      </c>
      <c r="I8" s="107" t="str">
        <f ca="1">IFERROR(__xludf.DUMMYFUNCTION("""COMPUTED_VALUE"""),"Enero")</f>
        <v>Enero</v>
      </c>
      <c r="J8" s="107" t="str">
        <f ca="1">IFERROR(__xludf.DUMMYFUNCTION("""COMPUTED_VALUE"""),"AMM")</f>
        <v>AMM</v>
      </c>
      <c r="K8" s="40"/>
      <c r="L8" s="107" t="str">
        <f ca="1">IFERROR(__xludf.DUMMYFUNCTION("""COMPUTED_VALUE"""),"TRIMESTRE 1")</f>
        <v>TRIMESTRE 1</v>
      </c>
      <c r="M8" s="107" t="str">
        <f ca="1">IFERROR(__xludf.DUMMYFUNCTION("""COMPUTED_VALUE"""),"ADULTA MAYOR MUJER")</f>
        <v>ADULTA MAYOR MUJER</v>
      </c>
    </row>
    <row r="9" spans="1:13">
      <c r="A9" s="107" t="str">
        <f ca="1">IFERROR(__xludf.DUMMYFUNCTION("""COMPUTED_VALUE"""),"5.1.1.0")</f>
        <v>5.1.1.0</v>
      </c>
      <c r="B9" s="107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9" s="107" t="str">
        <f ca="1">IFERROR(__xludf.DUMMYFUNCTION("""COMPUTED_VALUE"""),"3. Operación")</f>
        <v>3. Operación</v>
      </c>
      <c r="D9" s="107" t="str">
        <f ca="1">IFERROR(__xludf.DUMMYFUNCTION("""COMPUTED_VALUE"""),"Guadalajara bien educada")</f>
        <v>Guadalajara bien educada</v>
      </c>
      <c r="E9" s="107" t="str">
        <f ca="1">IFERROR(__xludf.DUMMYFUNCTION("""COMPUTED_VALUE"""),"Atención en Centros de Desarrollo Infantil")</f>
        <v>Atención en Centros de Desarrollo Infantil</v>
      </c>
      <c r="F9" s="107" t="str">
        <f ca="1">IFERROR(__xludf.DUMMYFUNCTION("""COMPUTED_VALUE"""),"C1. Servicio de educación inicial y preescolar para niñas y niños en condición de vulnerabilidad económica brindados en CDI, CEDI y CAIC ")</f>
        <v xml:space="preserve">C1. Servicio de educación inicial y preescolar para niñas y niños en condición de vulnerabilidad económica brindados en CDI, CEDI y CAIC </v>
      </c>
      <c r="G9" s="107" t="str">
        <f ca="1">IFERROR(__xludf.DUMMYFUNCTION("""COMPUTED_VALUE"""),"Porcentaje de demanda cubierta sobre servicios de atención educativa y asistencial para niñas y niños en condición de vulnerabilidad económica en 2024")</f>
        <v>Porcentaje de demanda cubierta sobre servicios de atención educativa y asistencial para niñas y niños en condición de vulnerabilidad económica en 2024</v>
      </c>
      <c r="H9" s="107" t="str">
        <f ca="1">IFERROR(__xludf.DUMMYFUNCTION("""COMPUTED_VALUE"""),"AMH ENERO")</f>
        <v>AMH ENERO</v>
      </c>
      <c r="I9" s="107" t="str">
        <f ca="1">IFERROR(__xludf.DUMMYFUNCTION("""COMPUTED_VALUE"""),"Enero")</f>
        <v>Enero</v>
      </c>
      <c r="J9" s="107" t="str">
        <f ca="1">IFERROR(__xludf.DUMMYFUNCTION("""COMPUTED_VALUE"""),"AMH")</f>
        <v>AMH</v>
      </c>
      <c r="K9" s="40"/>
      <c r="L9" s="107" t="str">
        <f ca="1">IFERROR(__xludf.DUMMYFUNCTION("""COMPUTED_VALUE"""),"TRIMESTRE 1")</f>
        <v>TRIMESTRE 1</v>
      </c>
      <c r="M9" s="107" t="str">
        <f ca="1">IFERROR(__xludf.DUMMYFUNCTION("""COMPUTED_VALUE"""),"ADULTO MAYOR HOMBRE")</f>
        <v>ADULTO MAYOR HOMBRE</v>
      </c>
    </row>
    <row r="10" spans="1:13">
      <c r="A10" s="107" t="str">
        <f ca="1">IFERROR(__xludf.DUMMYFUNCTION("""COMPUTED_VALUE"""),"5.1.1.1")</f>
        <v>5.1.1.1</v>
      </c>
      <c r="B10" s="107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10" s="107" t="str">
        <f ca="1">IFERROR(__xludf.DUMMYFUNCTION("""COMPUTED_VALUE"""),"3. Operación")</f>
        <v>3. Operación</v>
      </c>
      <c r="D10" s="107" t="str">
        <f ca="1">IFERROR(__xludf.DUMMYFUNCTION("""COMPUTED_VALUE"""),"Guadalajara bien educada")</f>
        <v>Guadalajara bien educada</v>
      </c>
      <c r="E10" s="107" t="str">
        <f ca="1">IFERROR(__xludf.DUMMYFUNCTION("""COMPUTED_VALUE"""),"Atención en Centros de Desarrollo Infantil")</f>
        <v>Atención en Centros de Desarrollo Infantil</v>
      </c>
      <c r="F10" s="107" t="str">
        <f ca="1">IFERROR(__xludf.DUMMYFUNCTION("""COMPUTED_VALUE"""),"A1C1. Procesos de formación brindados en CDI, CEDI y CAIC de educación inicial y preescolar ")</f>
        <v xml:space="preserve">A1C1. Procesos de formación brindados en CDI, CEDI y CAIC de educación inicial y preescolar </v>
      </c>
      <c r="G10" s="107" t="str">
        <f ca="1">IFERROR(__xludf.DUMMYFUNCTION("""COMPUTED_VALUE"""),"Porcentaje de Niñas y Niños que reciben educación inicial y preescolar en CDI, CEDI y CAIC en 2024")</f>
        <v>Porcentaje de Niñas y Niños que reciben educación inicial y preescolar en CDI, CEDI y CAIC en 2024</v>
      </c>
      <c r="H10" s="107" t="str">
        <f ca="1">IFERROR(__xludf.DUMMYFUNCTION("""COMPUTED_VALUE"""),"NAS ENERO")</f>
        <v>NAS ENERO</v>
      </c>
      <c r="I10" s="107" t="str">
        <f ca="1">IFERROR(__xludf.DUMMYFUNCTION("""COMPUTED_VALUE"""),"Enero")</f>
        <v>Enero</v>
      </c>
      <c r="J10" s="107" t="str">
        <f ca="1">IFERROR(__xludf.DUMMYFUNCTION("""COMPUTED_VALUE"""),"NAS")</f>
        <v>NAS</v>
      </c>
      <c r="K10" s="40">
        <f ca="1">IFERROR(__xludf.DUMMYFUNCTION("""COMPUTED_VALUE"""),592)</f>
        <v>592</v>
      </c>
      <c r="L10" s="107" t="str">
        <f ca="1">IFERROR(__xludf.DUMMYFUNCTION("""COMPUTED_VALUE"""),"TRIMESTRE 1")</f>
        <v>TRIMESTRE 1</v>
      </c>
      <c r="M10" s="107" t="str">
        <f ca="1">IFERROR(__xludf.DUMMYFUNCTION("""COMPUTED_VALUE"""),"NIÑAS")</f>
        <v>NIÑAS</v>
      </c>
    </row>
    <row r="11" spans="1:13">
      <c r="A11" s="107" t="str">
        <f ca="1">IFERROR(__xludf.DUMMYFUNCTION("""COMPUTED_VALUE"""),"5.1.1.1")</f>
        <v>5.1.1.1</v>
      </c>
      <c r="B11" s="107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11" s="107" t="str">
        <f ca="1">IFERROR(__xludf.DUMMYFUNCTION("""COMPUTED_VALUE"""),"3. Operación")</f>
        <v>3. Operación</v>
      </c>
      <c r="D11" s="107" t="str">
        <f ca="1">IFERROR(__xludf.DUMMYFUNCTION("""COMPUTED_VALUE"""),"Guadalajara bien educada")</f>
        <v>Guadalajara bien educada</v>
      </c>
      <c r="E11" s="107" t="str">
        <f ca="1">IFERROR(__xludf.DUMMYFUNCTION("""COMPUTED_VALUE"""),"Atención en Centros de Desarrollo Infantil")</f>
        <v>Atención en Centros de Desarrollo Infantil</v>
      </c>
      <c r="F11" s="107" t="str">
        <f ca="1">IFERROR(__xludf.DUMMYFUNCTION("""COMPUTED_VALUE"""),"A1C1. Procesos de formación brindados en CDI, CEDI y CAIC de educación inicial y preescolar ")</f>
        <v xml:space="preserve">A1C1. Procesos de formación brindados en CDI, CEDI y CAIC de educación inicial y preescolar </v>
      </c>
      <c r="G11" s="107" t="str">
        <f ca="1">IFERROR(__xludf.DUMMYFUNCTION("""COMPUTED_VALUE"""),"Porcentaje de Niñas y Niños que reciben educación inicial y preescolar en CDI, CEDI y CAIC en 2024")</f>
        <v>Porcentaje de Niñas y Niños que reciben educación inicial y preescolar en CDI, CEDI y CAIC en 2024</v>
      </c>
      <c r="H11" s="107" t="str">
        <f ca="1">IFERROR(__xludf.DUMMYFUNCTION("""COMPUTED_VALUE"""),"NOS ENERO")</f>
        <v>NOS ENERO</v>
      </c>
      <c r="I11" s="107" t="str">
        <f ca="1">IFERROR(__xludf.DUMMYFUNCTION("""COMPUTED_VALUE"""),"Enero")</f>
        <v>Enero</v>
      </c>
      <c r="J11" s="107" t="str">
        <f ca="1">IFERROR(__xludf.DUMMYFUNCTION("""COMPUTED_VALUE"""),"NOS")</f>
        <v>NOS</v>
      </c>
      <c r="K11" s="40">
        <f ca="1">IFERROR(__xludf.DUMMYFUNCTION("""COMPUTED_VALUE"""),541)</f>
        <v>541</v>
      </c>
      <c r="L11" s="107" t="str">
        <f ca="1">IFERROR(__xludf.DUMMYFUNCTION("""COMPUTED_VALUE"""),"TRIMESTRE 1")</f>
        <v>TRIMESTRE 1</v>
      </c>
      <c r="M11" s="107" t="str">
        <f ca="1">IFERROR(__xludf.DUMMYFUNCTION("""COMPUTED_VALUE"""),"NIÑOS")</f>
        <v>NIÑOS</v>
      </c>
    </row>
    <row r="12" spans="1:13">
      <c r="A12" s="107" t="str">
        <f ca="1">IFERROR(__xludf.DUMMYFUNCTION("""COMPUTED_VALUE"""),"5.1.1.1")</f>
        <v>5.1.1.1</v>
      </c>
      <c r="B12" s="107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12" s="107" t="str">
        <f ca="1">IFERROR(__xludf.DUMMYFUNCTION("""COMPUTED_VALUE"""),"3. Operación")</f>
        <v>3. Operación</v>
      </c>
      <c r="D12" s="107" t="str">
        <f ca="1">IFERROR(__xludf.DUMMYFUNCTION("""COMPUTED_VALUE"""),"Guadalajara bien educada")</f>
        <v>Guadalajara bien educada</v>
      </c>
      <c r="E12" s="107" t="str">
        <f ca="1">IFERROR(__xludf.DUMMYFUNCTION("""COMPUTED_VALUE"""),"Atención en Centros de Desarrollo Infantil")</f>
        <v>Atención en Centros de Desarrollo Infantil</v>
      </c>
      <c r="F12" s="107" t="str">
        <f ca="1">IFERROR(__xludf.DUMMYFUNCTION("""COMPUTED_VALUE"""),"A1C1. Procesos de formación brindados en CDI, CEDI y CAIC de educación inicial y preescolar ")</f>
        <v xml:space="preserve">A1C1. Procesos de formación brindados en CDI, CEDI y CAIC de educación inicial y preescolar </v>
      </c>
      <c r="G12" s="107" t="str">
        <f ca="1">IFERROR(__xludf.DUMMYFUNCTION("""COMPUTED_VALUE"""),"Porcentaje de Niñas y Niños que reciben educación inicial y preescolar en CDI, CEDI y CAIC en 2024")</f>
        <v>Porcentaje de Niñas y Niños que reciben educación inicial y preescolar en CDI, CEDI y CAIC en 2024</v>
      </c>
      <c r="H12" s="107" t="str">
        <f ca="1">IFERROR(__xludf.DUMMYFUNCTION("""COMPUTED_VALUE"""),"AM ENERO")</f>
        <v>AM ENERO</v>
      </c>
      <c r="I12" s="107" t="str">
        <f ca="1">IFERROR(__xludf.DUMMYFUNCTION("""COMPUTED_VALUE"""),"Enero")</f>
        <v>Enero</v>
      </c>
      <c r="J12" s="107" t="str">
        <f ca="1">IFERROR(__xludf.DUMMYFUNCTION("""COMPUTED_VALUE"""),"AM")</f>
        <v>AM</v>
      </c>
      <c r="K12" s="40"/>
      <c r="L12" s="107" t="str">
        <f ca="1">IFERROR(__xludf.DUMMYFUNCTION("""COMPUTED_VALUE"""),"TRIMESTRE 1")</f>
        <v>TRIMESTRE 1</v>
      </c>
      <c r="M12" s="107" t="str">
        <f ca="1">IFERROR(__xludf.DUMMYFUNCTION("""COMPUTED_VALUE"""),"ADOLESCENTES MUJERES")</f>
        <v>ADOLESCENTES MUJERES</v>
      </c>
    </row>
    <row r="13" spans="1:13">
      <c r="A13" s="107" t="str">
        <f ca="1">IFERROR(__xludf.DUMMYFUNCTION("""COMPUTED_VALUE"""),"5.1.1.1")</f>
        <v>5.1.1.1</v>
      </c>
      <c r="B13" s="107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13" s="107" t="str">
        <f ca="1">IFERROR(__xludf.DUMMYFUNCTION("""COMPUTED_VALUE"""),"3. Operación")</f>
        <v>3. Operación</v>
      </c>
      <c r="D13" s="107" t="str">
        <f ca="1">IFERROR(__xludf.DUMMYFUNCTION("""COMPUTED_VALUE"""),"Guadalajara bien educada")</f>
        <v>Guadalajara bien educada</v>
      </c>
      <c r="E13" s="107" t="str">
        <f ca="1">IFERROR(__xludf.DUMMYFUNCTION("""COMPUTED_VALUE"""),"Atención en Centros de Desarrollo Infantil")</f>
        <v>Atención en Centros de Desarrollo Infantil</v>
      </c>
      <c r="F13" s="107" t="str">
        <f ca="1">IFERROR(__xludf.DUMMYFUNCTION("""COMPUTED_VALUE"""),"A1C1. Procesos de formación brindados en CDI, CEDI y CAIC de educación inicial y preescolar ")</f>
        <v xml:space="preserve">A1C1. Procesos de formación brindados en CDI, CEDI y CAIC de educación inicial y preescolar </v>
      </c>
      <c r="G13" s="107" t="str">
        <f ca="1">IFERROR(__xludf.DUMMYFUNCTION("""COMPUTED_VALUE"""),"Porcentaje de Niñas y Niños que reciben educación inicial y preescolar en CDI, CEDI y CAIC en 2024")</f>
        <v>Porcentaje de Niñas y Niños que reciben educación inicial y preescolar en CDI, CEDI y CAIC en 2024</v>
      </c>
      <c r="H13" s="107" t="str">
        <f ca="1">IFERROR(__xludf.DUMMYFUNCTION("""COMPUTED_VALUE"""),"AH ENERO")</f>
        <v>AH ENERO</v>
      </c>
      <c r="I13" s="107" t="str">
        <f ca="1">IFERROR(__xludf.DUMMYFUNCTION("""COMPUTED_VALUE"""),"Enero")</f>
        <v>Enero</v>
      </c>
      <c r="J13" s="107" t="str">
        <f ca="1">IFERROR(__xludf.DUMMYFUNCTION("""COMPUTED_VALUE"""),"AH")</f>
        <v>AH</v>
      </c>
      <c r="K13" s="40"/>
      <c r="L13" s="107" t="str">
        <f ca="1">IFERROR(__xludf.DUMMYFUNCTION("""COMPUTED_VALUE"""),"TRIMESTRE 1")</f>
        <v>TRIMESTRE 1</v>
      </c>
      <c r="M13" s="107" t="str">
        <f ca="1">IFERROR(__xludf.DUMMYFUNCTION("""COMPUTED_VALUE"""),"ADOLESCENTES HOMBRES")</f>
        <v>ADOLESCENTES HOMBRES</v>
      </c>
    </row>
    <row r="14" spans="1:13">
      <c r="A14" s="107" t="str">
        <f ca="1">IFERROR(__xludf.DUMMYFUNCTION("""COMPUTED_VALUE"""),"5.1.1.1")</f>
        <v>5.1.1.1</v>
      </c>
      <c r="B14" s="107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14" s="107" t="str">
        <f ca="1">IFERROR(__xludf.DUMMYFUNCTION("""COMPUTED_VALUE"""),"3. Operación")</f>
        <v>3. Operación</v>
      </c>
      <c r="D14" s="107" t="str">
        <f ca="1">IFERROR(__xludf.DUMMYFUNCTION("""COMPUTED_VALUE"""),"Guadalajara bien educada")</f>
        <v>Guadalajara bien educada</v>
      </c>
      <c r="E14" s="107" t="str">
        <f ca="1">IFERROR(__xludf.DUMMYFUNCTION("""COMPUTED_VALUE"""),"Atención en Centros de Desarrollo Infantil")</f>
        <v>Atención en Centros de Desarrollo Infantil</v>
      </c>
      <c r="F14" s="107" t="str">
        <f ca="1">IFERROR(__xludf.DUMMYFUNCTION("""COMPUTED_VALUE"""),"A1C1. Procesos de formación brindados en CDI, CEDI y CAIC de educación inicial y preescolar ")</f>
        <v xml:space="preserve">A1C1. Procesos de formación brindados en CDI, CEDI y CAIC de educación inicial y preescolar </v>
      </c>
      <c r="G14" s="107" t="str">
        <f ca="1">IFERROR(__xludf.DUMMYFUNCTION("""COMPUTED_VALUE"""),"Porcentaje de Niñas y Niños que reciben educación inicial y preescolar en CDI, CEDI y CAIC en 2024")</f>
        <v>Porcentaje de Niñas y Niños que reciben educación inicial y preescolar en CDI, CEDI y CAIC en 2024</v>
      </c>
      <c r="H14" s="107" t="str">
        <f ca="1">IFERROR(__xludf.DUMMYFUNCTION("""COMPUTED_VALUE"""),"MUJ ENERO")</f>
        <v>MUJ ENERO</v>
      </c>
      <c r="I14" s="107" t="str">
        <f ca="1">IFERROR(__xludf.DUMMYFUNCTION("""COMPUTED_VALUE"""),"Enero")</f>
        <v>Enero</v>
      </c>
      <c r="J14" s="107" t="str">
        <f ca="1">IFERROR(__xludf.DUMMYFUNCTION("""COMPUTED_VALUE"""),"MUJ")</f>
        <v>MUJ</v>
      </c>
      <c r="K14" s="40"/>
      <c r="L14" s="107" t="str">
        <f ca="1">IFERROR(__xludf.DUMMYFUNCTION("""COMPUTED_VALUE"""),"TRIMESTRE 1")</f>
        <v>TRIMESTRE 1</v>
      </c>
      <c r="M14" s="107" t="str">
        <f ca="1">IFERROR(__xludf.DUMMYFUNCTION("""COMPUTED_VALUE"""),"MUJERES ADULTAS")</f>
        <v>MUJERES ADULTAS</v>
      </c>
    </row>
    <row r="15" spans="1:13">
      <c r="A15" s="107" t="str">
        <f ca="1">IFERROR(__xludf.DUMMYFUNCTION("""COMPUTED_VALUE"""),"5.1.1.1")</f>
        <v>5.1.1.1</v>
      </c>
      <c r="B15" s="107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15" s="107" t="str">
        <f ca="1">IFERROR(__xludf.DUMMYFUNCTION("""COMPUTED_VALUE"""),"3. Operación")</f>
        <v>3. Operación</v>
      </c>
      <c r="D15" s="107" t="str">
        <f ca="1">IFERROR(__xludf.DUMMYFUNCTION("""COMPUTED_VALUE"""),"Guadalajara bien educada")</f>
        <v>Guadalajara bien educada</v>
      </c>
      <c r="E15" s="107" t="str">
        <f ca="1">IFERROR(__xludf.DUMMYFUNCTION("""COMPUTED_VALUE"""),"Atención en Centros de Desarrollo Infantil")</f>
        <v>Atención en Centros de Desarrollo Infantil</v>
      </c>
      <c r="F15" s="107" t="str">
        <f ca="1">IFERROR(__xludf.DUMMYFUNCTION("""COMPUTED_VALUE"""),"A1C1. Procesos de formación brindados en CDI, CEDI y CAIC de educación inicial y preescolar ")</f>
        <v xml:space="preserve">A1C1. Procesos de formación brindados en CDI, CEDI y CAIC de educación inicial y preescolar </v>
      </c>
      <c r="G15" s="107" t="str">
        <f ca="1">IFERROR(__xludf.DUMMYFUNCTION("""COMPUTED_VALUE"""),"Porcentaje de Niñas y Niños que reciben educación inicial y preescolar en CDI, CEDI y CAIC en 2024")</f>
        <v>Porcentaje de Niñas y Niños que reciben educación inicial y preescolar en CDI, CEDI y CAIC en 2024</v>
      </c>
      <c r="H15" s="107" t="str">
        <f ca="1">IFERROR(__xludf.DUMMYFUNCTION("""COMPUTED_VALUE"""),"HOM ENERO")</f>
        <v>HOM ENERO</v>
      </c>
      <c r="I15" s="107" t="str">
        <f ca="1">IFERROR(__xludf.DUMMYFUNCTION("""COMPUTED_VALUE"""),"Enero")</f>
        <v>Enero</v>
      </c>
      <c r="J15" s="107" t="str">
        <f ca="1">IFERROR(__xludf.DUMMYFUNCTION("""COMPUTED_VALUE"""),"HOM")</f>
        <v>HOM</v>
      </c>
      <c r="K15" s="40"/>
      <c r="L15" s="107" t="str">
        <f ca="1">IFERROR(__xludf.DUMMYFUNCTION("""COMPUTED_VALUE"""),"TRIMESTRE 1")</f>
        <v>TRIMESTRE 1</v>
      </c>
      <c r="M15" s="107" t="str">
        <f ca="1">IFERROR(__xludf.DUMMYFUNCTION("""COMPUTED_VALUE"""),"HOMBRES ADULTOS")</f>
        <v>HOMBRES ADULTOS</v>
      </c>
    </row>
    <row r="16" spans="1:13">
      <c r="A16" s="107" t="str">
        <f ca="1">IFERROR(__xludf.DUMMYFUNCTION("""COMPUTED_VALUE"""),"5.1.1.1")</f>
        <v>5.1.1.1</v>
      </c>
      <c r="B16" s="107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16" s="107" t="str">
        <f ca="1">IFERROR(__xludf.DUMMYFUNCTION("""COMPUTED_VALUE"""),"3. Operación")</f>
        <v>3. Operación</v>
      </c>
      <c r="D16" s="107" t="str">
        <f ca="1">IFERROR(__xludf.DUMMYFUNCTION("""COMPUTED_VALUE"""),"Guadalajara bien educada")</f>
        <v>Guadalajara bien educada</v>
      </c>
      <c r="E16" s="107" t="str">
        <f ca="1">IFERROR(__xludf.DUMMYFUNCTION("""COMPUTED_VALUE"""),"Atención en Centros de Desarrollo Infantil")</f>
        <v>Atención en Centros de Desarrollo Infantil</v>
      </c>
      <c r="F16" s="107" t="str">
        <f ca="1">IFERROR(__xludf.DUMMYFUNCTION("""COMPUTED_VALUE"""),"A1C1. Procesos de formación brindados en CDI, CEDI y CAIC de educación inicial y preescolar ")</f>
        <v xml:space="preserve">A1C1. Procesos de formación brindados en CDI, CEDI y CAIC de educación inicial y preescolar </v>
      </c>
      <c r="G16" s="107" t="str">
        <f ca="1">IFERROR(__xludf.DUMMYFUNCTION("""COMPUTED_VALUE"""),"Porcentaje de Niñas y Niños que reciben educación inicial y preescolar en CDI, CEDI y CAIC en 2024")</f>
        <v>Porcentaje de Niñas y Niños que reciben educación inicial y preescolar en CDI, CEDI y CAIC en 2024</v>
      </c>
      <c r="H16" s="107" t="str">
        <f ca="1">IFERROR(__xludf.DUMMYFUNCTION("""COMPUTED_VALUE"""),"AMM ENERO")</f>
        <v>AMM ENERO</v>
      </c>
      <c r="I16" s="107" t="str">
        <f ca="1">IFERROR(__xludf.DUMMYFUNCTION("""COMPUTED_VALUE"""),"Enero")</f>
        <v>Enero</v>
      </c>
      <c r="J16" s="107" t="str">
        <f ca="1">IFERROR(__xludf.DUMMYFUNCTION("""COMPUTED_VALUE"""),"AMM")</f>
        <v>AMM</v>
      </c>
      <c r="K16" s="40"/>
      <c r="L16" s="107" t="str">
        <f ca="1">IFERROR(__xludf.DUMMYFUNCTION("""COMPUTED_VALUE"""),"TRIMESTRE 1")</f>
        <v>TRIMESTRE 1</v>
      </c>
      <c r="M16" s="107" t="str">
        <f ca="1">IFERROR(__xludf.DUMMYFUNCTION("""COMPUTED_VALUE"""),"ADULTA MAYOR MUJER")</f>
        <v>ADULTA MAYOR MUJER</v>
      </c>
    </row>
    <row r="17" spans="1:13">
      <c r="A17" s="107" t="str">
        <f ca="1">IFERROR(__xludf.DUMMYFUNCTION("""COMPUTED_VALUE"""),"5.1.1.1")</f>
        <v>5.1.1.1</v>
      </c>
      <c r="B17" s="107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17" s="107" t="str">
        <f ca="1">IFERROR(__xludf.DUMMYFUNCTION("""COMPUTED_VALUE"""),"3. Operación")</f>
        <v>3. Operación</v>
      </c>
      <c r="D17" s="107" t="str">
        <f ca="1">IFERROR(__xludf.DUMMYFUNCTION("""COMPUTED_VALUE"""),"Guadalajara bien educada")</f>
        <v>Guadalajara bien educada</v>
      </c>
      <c r="E17" s="107" t="str">
        <f ca="1">IFERROR(__xludf.DUMMYFUNCTION("""COMPUTED_VALUE"""),"Atención en Centros de Desarrollo Infantil")</f>
        <v>Atención en Centros de Desarrollo Infantil</v>
      </c>
      <c r="F17" s="107" t="str">
        <f ca="1">IFERROR(__xludf.DUMMYFUNCTION("""COMPUTED_VALUE"""),"A1C1. Procesos de formación brindados en CDI, CEDI y CAIC de educación inicial y preescolar ")</f>
        <v xml:space="preserve">A1C1. Procesos de formación brindados en CDI, CEDI y CAIC de educación inicial y preescolar </v>
      </c>
      <c r="G17" s="107" t="str">
        <f ca="1">IFERROR(__xludf.DUMMYFUNCTION("""COMPUTED_VALUE"""),"Porcentaje de Niñas y Niños que reciben educación inicial y preescolar en CDI, CEDI y CAIC en 2024")</f>
        <v>Porcentaje de Niñas y Niños que reciben educación inicial y preescolar en CDI, CEDI y CAIC en 2024</v>
      </c>
      <c r="H17" s="107" t="str">
        <f ca="1">IFERROR(__xludf.DUMMYFUNCTION("""COMPUTED_VALUE"""),"AMH ENERO")</f>
        <v>AMH ENERO</v>
      </c>
      <c r="I17" s="107" t="str">
        <f ca="1">IFERROR(__xludf.DUMMYFUNCTION("""COMPUTED_VALUE"""),"Enero")</f>
        <v>Enero</v>
      </c>
      <c r="J17" s="107" t="str">
        <f ca="1">IFERROR(__xludf.DUMMYFUNCTION("""COMPUTED_VALUE"""),"AMH")</f>
        <v>AMH</v>
      </c>
      <c r="K17" s="40"/>
      <c r="L17" s="107" t="str">
        <f ca="1">IFERROR(__xludf.DUMMYFUNCTION("""COMPUTED_VALUE"""),"TRIMESTRE 1")</f>
        <v>TRIMESTRE 1</v>
      </c>
      <c r="M17" s="107" t="str">
        <f ca="1">IFERROR(__xludf.DUMMYFUNCTION("""COMPUTED_VALUE"""),"ADULTO MAYOR HOMBRE")</f>
        <v>ADULTO MAYOR HOMBRE</v>
      </c>
    </row>
    <row r="18" spans="1:13">
      <c r="A18" s="107" t="str">
        <f ca="1">IFERROR(__xludf.DUMMYFUNCTION("""COMPUTED_VALUE"""),"5.1.1.0")</f>
        <v>5.1.1.0</v>
      </c>
      <c r="B18" s="107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18" s="107" t="str">
        <f ca="1">IFERROR(__xludf.DUMMYFUNCTION("""COMPUTED_VALUE"""),"3. Operación")</f>
        <v>3. Operación</v>
      </c>
      <c r="D18" s="107" t="str">
        <f ca="1">IFERROR(__xludf.DUMMYFUNCTION("""COMPUTED_VALUE"""),"Guadalajara bien educada")</f>
        <v>Guadalajara bien educada</v>
      </c>
      <c r="E18" s="107" t="str">
        <f ca="1">IFERROR(__xludf.DUMMYFUNCTION("""COMPUTED_VALUE"""),"Atención en Centros de Desarrollo Infantil")</f>
        <v>Atención en Centros de Desarrollo Infantil</v>
      </c>
      <c r="F18" s="107" t="str">
        <f ca="1">IFERROR(__xludf.DUMMYFUNCTION("""COMPUTED_VALUE"""),"C1. Servicio de educación inicial y preescolar para niñas y niños en condición de vulnerabilidad económica brindados en CDI, CEDI y CAIC ")</f>
        <v xml:space="preserve">C1. Servicio de educación inicial y preescolar para niñas y niños en condición de vulnerabilidad económica brindados en CDI, CEDI y CAIC </v>
      </c>
      <c r="G18" s="107" t="str">
        <f ca="1">IFERROR(__xludf.DUMMYFUNCTION("""COMPUTED_VALUE"""),"Porcentaje de demanda cubierta sobre servicios de atención educativa y asistencial para niñas y niños en condición de vulnerabilidad económica en 2024")</f>
        <v>Porcentaje de demanda cubierta sobre servicios de atención educativa y asistencial para niñas y niños en condición de vulnerabilidad económica en 2024</v>
      </c>
      <c r="H18" s="107" t="str">
        <f ca="1">IFERROR(__xludf.DUMMYFUNCTION("""COMPUTED_VALUE"""),"NAS FEBRERO")</f>
        <v>NAS FEBRERO</v>
      </c>
      <c r="I18" s="107" t="str">
        <f ca="1">IFERROR(__xludf.DUMMYFUNCTION("""COMPUTED_VALUE"""),"Febrero")</f>
        <v>Febrero</v>
      </c>
      <c r="J18" s="107" t="str">
        <f ca="1">IFERROR(__xludf.DUMMYFUNCTION("""COMPUTED_VALUE"""),"NAS")</f>
        <v>NAS</v>
      </c>
      <c r="K18" s="40">
        <f ca="1">IFERROR(__xludf.DUMMYFUNCTION("""COMPUTED_VALUE"""),17)</f>
        <v>17</v>
      </c>
      <c r="L18" s="107" t="str">
        <f ca="1">IFERROR(__xludf.DUMMYFUNCTION("""COMPUTED_VALUE"""),"TRIMESTRE 1")</f>
        <v>TRIMESTRE 1</v>
      </c>
      <c r="M18" s="107" t="str">
        <f ca="1">IFERROR(__xludf.DUMMYFUNCTION("""COMPUTED_VALUE"""),"NIÑAS")</f>
        <v>NIÑAS</v>
      </c>
    </row>
    <row r="19" spans="1:13">
      <c r="A19" s="107" t="str">
        <f ca="1">IFERROR(__xludf.DUMMYFUNCTION("""COMPUTED_VALUE"""),"5.1.1.0")</f>
        <v>5.1.1.0</v>
      </c>
      <c r="B19" s="107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19" s="107" t="str">
        <f ca="1">IFERROR(__xludf.DUMMYFUNCTION("""COMPUTED_VALUE"""),"3. Operación")</f>
        <v>3. Operación</v>
      </c>
      <c r="D19" s="107" t="str">
        <f ca="1">IFERROR(__xludf.DUMMYFUNCTION("""COMPUTED_VALUE"""),"Guadalajara bien educada")</f>
        <v>Guadalajara bien educada</v>
      </c>
      <c r="E19" s="107" t="str">
        <f ca="1">IFERROR(__xludf.DUMMYFUNCTION("""COMPUTED_VALUE"""),"Atención en Centros de Desarrollo Infantil")</f>
        <v>Atención en Centros de Desarrollo Infantil</v>
      </c>
      <c r="F19" s="107" t="str">
        <f ca="1">IFERROR(__xludf.DUMMYFUNCTION("""COMPUTED_VALUE"""),"C1. Servicio de educación inicial y preescolar para niñas y niños en condición de vulnerabilidad económica brindados en CDI, CEDI y CAIC ")</f>
        <v xml:space="preserve">C1. Servicio de educación inicial y preescolar para niñas y niños en condición de vulnerabilidad económica brindados en CDI, CEDI y CAIC </v>
      </c>
      <c r="G19" s="107" t="str">
        <f ca="1">IFERROR(__xludf.DUMMYFUNCTION("""COMPUTED_VALUE"""),"Porcentaje de demanda cubierta sobre servicios de atención educativa y asistencial para niñas y niños en condición de vulnerabilidad económica en 2024")</f>
        <v>Porcentaje de demanda cubierta sobre servicios de atención educativa y asistencial para niñas y niños en condición de vulnerabilidad económica en 2024</v>
      </c>
      <c r="H19" s="107" t="str">
        <f ca="1">IFERROR(__xludf.DUMMYFUNCTION("""COMPUTED_VALUE"""),"NOS FEBRERO")</f>
        <v>NOS FEBRERO</v>
      </c>
      <c r="I19" s="107" t="str">
        <f ca="1">IFERROR(__xludf.DUMMYFUNCTION("""COMPUTED_VALUE"""),"Febrero")</f>
        <v>Febrero</v>
      </c>
      <c r="J19" s="107" t="str">
        <f ca="1">IFERROR(__xludf.DUMMYFUNCTION("""COMPUTED_VALUE"""),"NOS")</f>
        <v>NOS</v>
      </c>
      <c r="K19" s="40">
        <f ca="1">IFERROR(__xludf.DUMMYFUNCTION("""COMPUTED_VALUE"""),14)</f>
        <v>14</v>
      </c>
      <c r="L19" s="107" t="str">
        <f ca="1">IFERROR(__xludf.DUMMYFUNCTION("""COMPUTED_VALUE"""),"TRIMESTRE 1")</f>
        <v>TRIMESTRE 1</v>
      </c>
      <c r="M19" s="107" t="str">
        <f ca="1">IFERROR(__xludf.DUMMYFUNCTION("""COMPUTED_VALUE"""),"NIÑOS")</f>
        <v>NIÑOS</v>
      </c>
    </row>
    <row r="20" spans="1:13">
      <c r="A20" s="107" t="str">
        <f ca="1">IFERROR(__xludf.DUMMYFUNCTION("""COMPUTED_VALUE"""),"5.1.1.0")</f>
        <v>5.1.1.0</v>
      </c>
      <c r="B20" s="107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20" s="107" t="str">
        <f ca="1">IFERROR(__xludf.DUMMYFUNCTION("""COMPUTED_VALUE"""),"3. Operación")</f>
        <v>3. Operación</v>
      </c>
      <c r="D20" s="107" t="str">
        <f ca="1">IFERROR(__xludf.DUMMYFUNCTION("""COMPUTED_VALUE"""),"Guadalajara bien educada")</f>
        <v>Guadalajara bien educada</v>
      </c>
      <c r="E20" s="107" t="str">
        <f ca="1">IFERROR(__xludf.DUMMYFUNCTION("""COMPUTED_VALUE"""),"Atención en Centros de Desarrollo Infantil")</f>
        <v>Atención en Centros de Desarrollo Infantil</v>
      </c>
      <c r="F20" s="107" t="str">
        <f ca="1">IFERROR(__xludf.DUMMYFUNCTION("""COMPUTED_VALUE"""),"C1. Servicio de educación inicial y preescolar para niñas y niños en condición de vulnerabilidad económica brindados en CDI, CEDI y CAIC ")</f>
        <v xml:space="preserve">C1. Servicio de educación inicial y preescolar para niñas y niños en condición de vulnerabilidad económica brindados en CDI, CEDI y CAIC </v>
      </c>
      <c r="G20" s="107" t="str">
        <f ca="1">IFERROR(__xludf.DUMMYFUNCTION("""COMPUTED_VALUE"""),"Porcentaje de demanda cubierta sobre servicios de atención educativa y asistencial para niñas y niños en condición de vulnerabilidad económica en 2024")</f>
        <v>Porcentaje de demanda cubierta sobre servicios de atención educativa y asistencial para niñas y niños en condición de vulnerabilidad económica en 2024</v>
      </c>
      <c r="H20" s="107" t="str">
        <f ca="1">IFERROR(__xludf.DUMMYFUNCTION("""COMPUTED_VALUE"""),"AM FEBRERO")</f>
        <v>AM FEBRERO</v>
      </c>
      <c r="I20" s="107" t="str">
        <f ca="1">IFERROR(__xludf.DUMMYFUNCTION("""COMPUTED_VALUE"""),"Febrero")</f>
        <v>Febrero</v>
      </c>
      <c r="J20" s="107" t="str">
        <f ca="1">IFERROR(__xludf.DUMMYFUNCTION("""COMPUTED_VALUE"""),"AM")</f>
        <v>AM</v>
      </c>
      <c r="K20" s="40"/>
      <c r="L20" s="107" t="str">
        <f ca="1">IFERROR(__xludf.DUMMYFUNCTION("""COMPUTED_VALUE"""),"TRIMESTRE 1")</f>
        <v>TRIMESTRE 1</v>
      </c>
      <c r="M20" s="107" t="str">
        <f ca="1">IFERROR(__xludf.DUMMYFUNCTION("""COMPUTED_VALUE"""),"ADOLESCENTES MUJERES")</f>
        <v>ADOLESCENTES MUJERES</v>
      </c>
    </row>
    <row r="21" spans="1:13">
      <c r="A21" s="107" t="str">
        <f ca="1">IFERROR(__xludf.DUMMYFUNCTION("""COMPUTED_VALUE"""),"5.1.1.0")</f>
        <v>5.1.1.0</v>
      </c>
      <c r="B21" s="107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21" s="107" t="str">
        <f ca="1">IFERROR(__xludf.DUMMYFUNCTION("""COMPUTED_VALUE"""),"3. Operación")</f>
        <v>3. Operación</v>
      </c>
      <c r="D21" s="107" t="str">
        <f ca="1">IFERROR(__xludf.DUMMYFUNCTION("""COMPUTED_VALUE"""),"Guadalajara bien educada")</f>
        <v>Guadalajara bien educada</v>
      </c>
      <c r="E21" s="107" t="str">
        <f ca="1">IFERROR(__xludf.DUMMYFUNCTION("""COMPUTED_VALUE"""),"Atención en Centros de Desarrollo Infantil")</f>
        <v>Atención en Centros de Desarrollo Infantil</v>
      </c>
      <c r="F21" s="107" t="str">
        <f ca="1">IFERROR(__xludf.DUMMYFUNCTION("""COMPUTED_VALUE"""),"C1. Servicio de educación inicial y preescolar para niñas y niños en condición de vulnerabilidad económica brindados en CDI, CEDI y CAIC ")</f>
        <v xml:space="preserve">C1. Servicio de educación inicial y preescolar para niñas y niños en condición de vulnerabilidad económica brindados en CDI, CEDI y CAIC </v>
      </c>
      <c r="G21" s="107" t="str">
        <f ca="1">IFERROR(__xludf.DUMMYFUNCTION("""COMPUTED_VALUE"""),"Porcentaje de demanda cubierta sobre servicios de atención educativa y asistencial para niñas y niños en condición de vulnerabilidad económica en 2024")</f>
        <v>Porcentaje de demanda cubierta sobre servicios de atención educativa y asistencial para niñas y niños en condición de vulnerabilidad económica en 2024</v>
      </c>
      <c r="H21" s="107" t="str">
        <f ca="1">IFERROR(__xludf.DUMMYFUNCTION("""COMPUTED_VALUE"""),"AH FEBRERO")</f>
        <v>AH FEBRERO</v>
      </c>
      <c r="I21" s="107" t="str">
        <f ca="1">IFERROR(__xludf.DUMMYFUNCTION("""COMPUTED_VALUE"""),"Febrero")</f>
        <v>Febrero</v>
      </c>
      <c r="J21" s="107" t="str">
        <f ca="1">IFERROR(__xludf.DUMMYFUNCTION("""COMPUTED_VALUE"""),"AH")</f>
        <v>AH</v>
      </c>
      <c r="K21" s="40"/>
      <c r="L21" s="107" t="str">
        <f ca="1">IFERROR(__xludf.DUMMYFUNCTION("""COMPUTED_VALUE"""),"TRIMESTRE 1")</f>
        <v>TRIMESTRE 1</v>
      </c>
      <c r="M21" s="107" t="str">
        <f ca="1">IFERROR(__xludf.DUMMYFUNCTION("""COMPUTED_VALUE"""),"ADOLESCENTES HOMBRES")</f>
        <v>ADOLESCENTES HOMBRES</v>
      </c>
    </row>
    <row r="22" spans="1:13">
      <c r="A22" s="107" t="str">
        <f ca="1">IFERROR(__xludf.DUMMYFUNCTION("""COMPUTED_VALUE"""),"5.1.1.0")</f>
        <v>5.1.1.0</v>
      </c>
      <c r="B22" s="107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22" s="107" t="str">
        <f ca="1">IFERROR(__xludf.DUMMYFUNCTION("""COMPUTED_VALUE"""),"3. Operación")</f>
        <v>3. Operación</v>
      </c>
      <c r="D22" s="107" t="str">
        <f ca="1">IFERROR(__xludf.DUMMYFUNCTION("""COMPUTED_VALUE"""),"Guadalajara bien educada")</f>
        <v>Guadalajara bien educada</v>
      </c>
      <c r="E22" s="107" t="str">
        <f ca="1">IFERROR(__xludf.DUMMYFUNCTION("""COMPUTED_VALUE"""),"Atención en Centros de Desarrollo Infantil")</f>
        <v>Atención en Centros de Desarrollo Infantil</v>
      </c>
      <c r="F22" s="107" t="str">
        <f ca="1">IFERROR(__xludf.DUMMYFUNCTION("""COMPUTED_VALUE"""),"C1. Servicio de educación inicial y preescolar para niñas y niños en condición de vulnerabilidad económica brindados en CDI, CEDI y CAIC ")</f>
        <v xml:space="preserve">C1. Servicio de educación inicial y preescolar para niñas y niños en condición de vulnerabilidad económica brindados en CDI, CEDI y CAIC </v>
      </c>
      <c r="G22" s="107" t="str">
        <f ca="1">IFERROR(__xludf.DUMMYFUNCTION("""COMPUTED_VALUE"""),"Porcentaje de demanda cubierta sobre servicios de atención educativa y asistencial para niñas y niños en condición de vulnerabilidad económica en 2024")</f>
        <v>Porcentaje de demanda cubierta sobre servicios de atención educativa y asistencial para niñas y niños en condición de vulnerabilidad económica en 2024</v>
      </c>
      <c r="H22" s="107" t="str">
        <f ca="1">IFERROR(__xludf.DUMMYFUNCTION("""COMPUTED_VALUE"""),"MUJ FEBRERO")</f>
        <v>MUJ FEBRERO</v>
      </c>
      <c r="I22" s="107" t="str">
        <f ca="1">IFERROR(__xludf.DUMMYFUNCTION("""COMPUTED_VALUE"""),"Febrero")</f>
        <v>Febrero</v>
      </c>
      <c r="J22" s="107" t="str">
        <f ca="1">IFERROR(__xludf.DUMMYFUNCTION("""COMPUTED_VALUE"""),"MUJ")</f>
        <v>MUJ</v>
      </c>
      <c r="K22" s="40"/>
      <c r="L22" s="107" t="str">
        <f ca="1">IFERROR(__xludf.DUMMYFUNCTION("""COMPUTED_VALUE"""),"TRIMESTRE 1")</f>
        <v>TRIMESTRE 1</v>
      </c>
      <c r="M22" s="107" t="str">
        <f ca="1">IFERROR(__xludf.DUMMYFUNCTION("""COMPUTED_VALUE"""),"MUJERES ADULTAS")</f>
        <v>MUJERES ADULTAS</v>
      </c>
    </row>
    <row r="23" spans="1:13">
      <c r="A23" s="107" t="str">
        <f ca="1">IFERROR(__xludf.DUMMYFUNCTION("""COMPUTED_VALUE"""),"5.1.1.0")</f>
        <v>5.1.1.0</v>
      </c>
      <c r="B23" s="107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23" s="107" t="str">
        <f ca="1">IFERROR(__xludf.DUMMYFUNCTION("""COMPUTED_VALUE"""),"3. Operación")</f>
        <v>3. Operación</v>
      </c>
      <c r="D23" s="107" t="str">
        <f ca="1">IFERROR(__xludf.DUMMYFUNCTION("""COMPUTED_VALUE"""),"Guadalajara bien educada")</f>
        <v>Guadalajara bien educada</v>
      </c>
      <c r="E23" s="107" t="str">
        <f ca="1">IFERROR(__xludf.DUMMYFUNCTION("""COMPUTED_VALUE"""),"Atención en Centros de Desarrollo Infantil")</f>
        <v>Atención en Centros de Desarrollo Infantil</v>
      </c>
      <c r="F23" s="107" t="str">
        <f ca="1">IFERROR(__xludf.DUMMYFUNCTION("""COMPUTED_VALUE"""),"C1. Servicio de educación inicial y preescolar para niñas y niños en condición de vulnerabilidad económica brindados en CDI, CEDI y CAIC ")</f>
        <v xml:space="preserve">C1. Servicio de educación inicial y preescolar para niñas y niños en condición de vulnerabilidad económica brindados en CDI, CEDI y CAIC </v>
      </c>
      <c r="G23" s="107" t="str">
        <f ca="1">IFERROR(__xludf.DUMMYFUNCTION("""COMPUTED_VALUE"""),"Porcentaje de demanda cubierta sobre servicios de atención educativa y asistencial para niñas y niños en condición de vulnerabilidad económica en 2024")</f>
        <v>Porcentaje de demanda cubierta sobre servicios de atención educativa y asistencial para niñas y niños en condición de vulnerabilidad económica en 2024</v>
      </c>
      <c r="H23" s="107" t="str">
        <f ca="1">IFERROR(__xludf.DUMMYFUNCTION("""COMPUTED_VALUE"""),"HOM FEBRERO")</f>
        <v>HOM FEBRERO</v>
      </c>
      <c r="I23" s="107" t="str">
        <f ca="1">IFERROR(__xludf.DUMMYFUNCTION("""COMPUTED_VALUE"""),"Febrero")</f>
        <v>Febrero</v>
      </c>
      <c r="J23" s="107" t="str">
        <f ca="1">IFERROR(__xludf.DUMMYFUNCTION("""COMPUTED_VALUE"""),"HOM")</f>
        <v>HOM</v>
      </c>
      <c r="K23" s="40"/>
      <c r="L23" s="107" t="str">
        <f ca="1">IFERROR(__xludf.DUMMYFUNCTION("""COMPUTED_VALUE"""),"TRIMESTRE 1")</f>
        <v>TRIMESTRE 1</v>
      </c>
      <c r="M23" s="107" t="str">
        <f ca="1">IFERROR(__xludf.DUMMYFUNCTION("""COMPUTED_VALUE"""),"HOMBRES ADULTOS")</f>
        <v>HOMBRES ADULTOS</v>
      </c>
    </row>
    <row r="24" spans="1:13">
      <c r="A24" s="107" t="str">
        <f ca="1">IFERROR(__xludf.DUMMYFUNCTION("""COMPUTED_VALUE"""),"5.1.1.0")</f>
        <v>5.1.1.0</v>
      </c>
      <c r="B24" s="107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24" s="107" t="str">
        <f ca="1">IFERROR(__xludf.DUMMYFUNCTION("""COMPUTED_VALUE"""),"3. Operación")</f>
        <v>3. Operación</v>
      </c>
      <c r="D24" s="107" t="str">
        <f ca="1">IFERROR(__xludf.DUMMYFUNCTION("""COMPUTED_VALUE"""),"Guadalajara bien educada")</f>
        <v>Guadalajara bien educada</v>
      </c>
      <c r="E24" s="107" t="str">
        <f ca="1">IFERROR(__xludf.DUMMYFUNCTION("""COMPUTED_VALUE"""),"Atención en Centros de Desarrollo Infantil")</f>
        <v>Atención en Centros de Desarrollo Infantil</v>
      </c>
      <c r="F24" s="107" t="str">
        <f ca="1">IFERROR(__xludf.DUMMYFUNCTION("""COMPUTED_VALUE"""),"C1. Servicio de educación inicial y preescolar para niñas y niños en condición de vulnerabilidad económica brindados en CDI, CEDI y CAIC ")</f>
        <v xml:space="preserve">C1. Servicio de educación inicial y preescolar para niñas y niños en condición de vulnerabilidad económica brindados en CDI, CEDI y CAIC </v>
      </c>
      <c r="G24" s="107" t="str">
        <f ca="1">IFERROR(__xludf.DUMMYFUNCTION("""COMPUTED_VALUE"""),"Porcentaje de demanda cubierta sobre servicios de atención educativa y asistencial para niñas y niños en condición de vulnerabilidad económica en 2024")</f>
        <v>Porcentaje de demanda cubierta sobre servicios de atención educativa y asistencial para niñas y niños en condición de vulnerabilidad económica en 2024</v>
      </c>
      <c r="H24" s="107" t="str">
        <f ca="1">IFERROR(__xludf.DUMMYFUNCTION("""COMPUTED_VALUE"""),"AMM FEBRERO")</f>
        <v>AMM FEBRERO</v>
      </c>
      <c r="I24" s="107" t="str">
        <f ca="1">IFERROR(__xludf.DUMMYFUNCTION("""COMPUTED_VALUE"""),"Febrero")</f>
        <v>Febrero</v>
      </c>
      <c r="J24" s="107" t="str">
        <f ca="1">IFERROR(__xludf.DUMMYFUNCTION("""COMPUTED_VALUE"""),"AMM")</f>
        <v>AMM</v>
      </c>
      <c r="K24" s="40"/>
      <c r="L24" s="107" t="str">
        <f ca="1">IFERROR(__xludf.DUMMYFUNCTION("""COMPUTED_VALUE"""),"TRIMESTRE 1")</f>
        <v>TRIMESTRE 1</v>
      </c>
      <c r="M24" s="107" t="str">
        <f ca="1">IFERROR(__xludf.DUMMYFUNCTION("""COMPUTED_VALUE"""),"ADULTA MAYOR MUJER")</f>
        <v>ADULTA MAYOR MUJER</v>
      </c>
    </row>
    <row r="25" spans="1:13">
      <c r="A25" s="107" t="str">
        <f ca="1">IFERROR(__xludf.DUMMYFUNCTION("""COMPUTED_VALUE"""),"5.1.1.0")</f>
        <v>5.1.1.0</v>
      </c>
      <c r="B25" s="107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25" s="107" t="str">
        <f ca="1">IFERROR(__xludf.DUMMYFUNCTION("""COMPUTED_VALUE"""),"3. Operación")</f>
        <v>3. Operación</v>
      </c>
      <c r="D25" s="107" t="str">
        <f ca="1">IFERROR(__xludf.DUMMYFUNCTION("""COMPUTED_VALUE"""),"Guadalajara bien educada")</f>
        <v>Guadalajara bien educada</v>
      </c>
      <c r="E25" s="107" t="str">
        <f ca="1">IFERROR(__xludf.DUMMYFUNCTION("""COMPUTED_VALUE"""),"Atención en Centros de Desarrollo Infantil")</f>
        <v>Atención en Centros de Desarrollo Infantil</v>
      </c>
      <c r="F25" s="107" t="str">
        <f ca="1">IFERROR(__xludf.DUMMYFUNCTION("""COMPUTED_VALUE"""),"C1. Servicio de educación inicial y preescolar para niñas y niños en condición de vulnerabilidad económica brindados en CDI, CEDI y CAIC ")</f>
        <v xml:space="preserve">C1. Servicio de educación inicial y preescolar para niñas y niños en condición de vulnerabilidad económica brindados en CDI, CEDI y CAIC </v>
      </c>
      <c r="G25" s="107" t="str">
        <f ca="1">IFERROR(__xludf.DUMMYFUNCTION("""COMPUTED_VALUE"""),"Porcentaje de demanda cubierta sobre servicios de atención educativa y asistencial para niñas y niños en condición de vulnerabilidad económica en 2024")</f>
        <v>Porcentaje de demanda cubierta sobre servicios de atención educativa y asistencial para niñas y niños en condición de vulnerabilidad económica en 2024</v>
      </c>
      <c r="H25" s="107" t="str">
        <f ca="1">IFERROR(__xludf.DUMMYFUNCTION("""COMPUTED_VALUE"""),"AMH FEBRERO")</f>
        <v>AMH FEBRERO</v>
      </c>
      <c r="I25" s="107" t="str">
        <f ca="1">IFERROR(__xludf.DUMMYFUNCTION("""COMPUTED_VALUE"""),"Febrero")</f>
        <v>Febrero</v>
      </c>
      <c r="J25" s="107" t="str">
        <f ca="1">IFERROR(__xludf.DUMMYFUNCTION("""COMPUTED_VALUE"""),"AMH")</f>
        <v>AMH</v>
      </c>
      <c r="K25" s="40"/>
      <c r="L25" s="107" t="str">
        <f ca="1">IFERROR(__xludf.DUMMYFUNCTION("""COMPUTED_VALUE"""),"TRIMESTRE 1")</f>
        <v>TRIMESTRE 1</v>
      </c>
      <c r="M25" s="107" t="str">
        <f ca="1">IFERROR(__xludf.DUMMYFUNCTION("""COMPUTED_VALUE"""),"ADULTO MAYOR HOMBRE")</f>
        <v>ADULTO MAYOR HOMBRE</v>
      </c>
    </row>
    <row r="26" spans="1:13">
      <c r="A26" s="107" t="str">
        <f ca="1">IFERROR(__xludf.DUMMYFUNCTION("""COMPUTED_VALUE"""),"5.1.1.1")</f>
        <v>5.1.1.1</v>
      </c>
      <c r="B26" s="107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26" s="107" t="str">
        <f ca="1">IFERROR(__xludf.DUMMYFUNCTION("""COMPUTED_VALUE"""),"3. Operación")</f>
        <v>3. Operación</v>
      </c>
      <c r="D26" s="107" t="str">
        <f ca="1">IFERROR(__xludf.DUMMYFUNCTION("""COMPUTED_VALUE"""),"Guadalajara bien educada")</f>
        <v>Guadalajara bien educada</v>
      </c>
      <c r="E26" s="107" t="str">
        <f ca="1">IFERROR(__xludf.DUMMYFUNCTION("""COMPUTED_VALUE"""),"Atención en Centros de Desarrollo Infantil")</f>
        <v>Atención en Centros de Desarrollo Infantil</v>
      </c>
      <c r="F26" s="107" t="str">
        <f ca="1">IFERROR(__xludf.DUMMYFUNCTION("""COMPUTED_VALUE"""),"A1C1. Procesos de formación brindados en CDI, CEDI y CAIC de educación inicial y preescolar ")</f>
        <v xml:space="preserve">A1C1. Procesos de formación brindados en CDI, CEDI y CAIC de educación inicial y preescolar </v>
      </c>
      <c r="G26" s="107" t="str">
        <f ca="1">IFERROR(__xludf.DUMMYFUNCTION("""COMPUTED_VALUE"""),"Porcentaje de Niñas y Niños que reciben educación inicial y preescolar en CDI, CEDI y CAIC en 2024")</f>
        <v>Porcentaje de Niñas y Niños que reciben educación inicial y preescolar en CDI, CEDI y CAIC en 2024</v>
      </c>
      <c r="H26" s="107" t="str">
        <f ca="1">IFERROR(__xludf.DUMMYFUNCTION("""COMPUTED_VALUE"""),"NAS FEBRERO")</f>
        <v>NAS FEBRERO</v>
      </c>
      <c r="I26" s="107" t="str">
        <f ca="1">IFERROR(__xludf.DUMMYFUNCTION("""COMPUTED_VALUE"""),"Febrero")</f>
        <v>Febrero</v>
      </c>
      <c r="J26" s="107" t="str">
        <f ca="1">IFERROR(__xludf.DUMMYFUNCTION("""COMPUTED_VALUE"""),"NAS")</f>
        <v>NAS</v>
      </c>
      <c r="K26" s="40">
        <f ca="1">IFERROR(__xludf.DUMMYFUNCTION("""COMPUTED_VALUE"""),17)</f>
        <v>17</v>
      </c>
      <c r="L26" s="107" t="str">
        <f ca="1">IFERROR(__xludf.DUMMYFUNCTION("""COMPUTED_VALUE"""),"TRIMESTRE 1")</f>
        <v>TRIMESTRE 1</v>
      </c>
      <c r="M26" s="107" t="str">
        <f ca="1">IFERROR(__xludf.DUMMYFUNCTION("""COMPUTED_VALUE"""),"NIÑAS")</f>
        <v>NIÑAS</v>
      </c>
    </row>
    <row r="27" spans="1:13">
      <c r="A27" s="107" t="str">
        <f ca="1">IFERROR(__xludf.DUMMYFUNCTION("""COMPUTED_VALUE"""),"5.1.1.1")</f>
        <v>5.1.1.1</v>
      </c>
      <c r="B27" s="107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27" s="107" t="str">
        <f ca="1">IFERROR(__xludf.DUMMYFUNCTION("""COMPUTED_VALUE"""),"3. Operación")</f>
        <v>3. Operación</v>
      </c>
      <c r="D27" s="107" t="str">
        <f ca="1">IFERROR(__xludf.DUMMYFUNCTION("""COMPUTED_VALUE"""),"Guadalajara bien educada")</f>
        <v>Guadalajara bien educada</v>
      </c>
      <c r="E27" s="107" t="str">
        <f ca="1">IFERROR(__xludf.DUMMYFUNCTION("""COMPUTED_VALUE"""),"Atención en Centros de Desarrollo Infantil")</f>
        <v>Atención en Centros de Desarrollo Infantil</v>
      </c>
      <c r="F27" s="107" t="str">
        <f ca="1">IFERROR(__xludf.DUMMYFUNCTION("""COMPUTED_VALUE"""),"A1C1. Procesos de formación brindados en CDI, CEDI y CAIC de educación inicial y preescolar ")</f>
        <v xml:space="preserve">A1C1. Procesos de formación brindados en CDI, CEDI y CAIC de educación inicial y preescolar </v>
      </c>
      <c r="G27" s="107" t="str">
        <f ca="1">IFERROR(__xludf.DUMMYFUNCTION("""COMPUTED_VALUE"""),"Porcentaje de Niñas y Niños que reciben educación inicial y preescolar en CDI, CEDI y CAIC en 2024")</f>
        <v>Porcentaje de Niñas y Niños que reciben educación inicial y preescolar en CDI, CEDI y CAIC en 2024</v>
      </c>
      <c r="H27" s="107" t="str">
        <f ca="1">IFERROR(__xludf.DUMMYFUNCTION("""COMPUTED_VALUE"""),"NOS FEBRERO")</f>
        <v>NOS FEBRERO</v>
      </c>
      <c r="I27" s="107" t="str">
        <f ca="1">IFERROR(__xludf.DUMMYFUNCTION("""COMPUTED_VALUE"""),"Febrero")</f>
        <v>Febrero</v>
      </c>
      <c r="J27" s="107" t="str">
        <f ca="1">IFERROR(__xludf.DUMMYFUNCTION("""COMPUTED_VALUE"""),"NOS")</f>
        <v>NOS</v>
      </c>
      <c r="K27" s="40">
        <f ca="1">IFERROR(__xludf.DUMMYFUNCTION("""COMPUTED_VALUE"""),14)</f>
        <v>14</v>
      </c>
      <c r="L27" s="107" t="str">
        <f ca="1">IFERROR(__xludf.DUMMYFUNCTION("""COMPUTED_VALUE"""),"TRIMESTRE 1")</f>
        <v>TRIMESTRE 1</v>
      </c>
      <c r="M27" s="107" t="str">
        <f ca="1">IFERROR(__xludf.DUMMYFUNCTION("""COMPUTED_VALUE"""),"NIÑOS")</f>
        <v>NIÑOS</v>
      </c>
    </row>
    <row r="28" spans="1:13">
      <c r="A28" s="107" t="str">
        <f ca="1">IFERROR(__xludf.DUMMYFUNCTION("""COMPUTED_VALUE"""),"5.1.1.1")</f>
        <v>5.1.1.1</v>
      </c>
      <c r="B28" s="107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28" s="107" t="str">
        <f ca="1">IFERROR(__xludf.DUMMYFUNCTION("""COMPUTED_VALUE"""),"3. Operación")</f>
        <v>3. Operación</v>
      </c>
      <c r="D28" s="107" t="str">
        <f ca="1">IFERROR(__xludf.DUMMYFUNCTION("""COMPUTED_VALUE"""),"Guadalajara bien educada")</f>
        <v>Guadalajara bien educada</v>
      </c>
      <c r="E28" s="107" t="str">
        <f ca="1">IFERROR(__xludf.DUMMYFUNCTION("""COMPUTED_VALUE"""),"Atención en Centros de Desarrollo Infantil")</f>
        <v>Atención en Centros de Desarrollo Infantil</v>
      </c>
      <c r="F28" s="107" t="str">
        <f ca="1">IFERROR(__xludf.DUMMYFUNCTION("""COMPUTED_VALUE"""),"A1C1. Procesos de formación brindados en CDI, CEDI y CAIC de educación inicial y preescolar ")</f>
        <v xml:space="preserve">A1C1. Procesos de formación brindados en CDI, CEDI y CAIC de educación inicial y preescolar </v>
      </c>
      <c r="G28" s="107" t="str">
        <f ca="1">IFERROR(__xludf.DUMMYFUNCTION("""COMPUTED_VALUE"""),"Porcentaje de Niñas y Niños que reciben educación inicial y preescolar en CDI, CEDI y CAIC en 2024")</f>
        <v>Porcentaje de Niñas y Niños que reciben educación inicial y preescolar en CDI, CEDI y CAIC en 2024</v>
      </c>
      <c r="H28" s="107" t="str">
        <f ca="1">IFERROR(__xludf.DUMMYFUNCTION("""COMPUTED_VALUE"""),"AM FEBRERO")</f>
        <v>AM FEBRERO</v>
      </c>
      <c r="I28" s="107" t="str">
        <f ca="1">IFERROR(__xludf.DUMMYFUNCTION("""COMPUTED_VALUE"""),"Febrero")</f>
        <v>Febrero</v>
      </c>
      <c r="J28" s="107" t="str">
        <f ca="1">IFERROR(__xludf.DUMMYFUNCTION("""COMPUTED_VALUE"""),"AM")</f>
        <v>AM</v>
      </c>
      <c r="K28" s="40"/>
      <c r="L28" s="107" t="str">
        <f ca="1">IFERROR(__xludf.DUMMYFUNCTION("""COMPUTED_VALUE"""),"TRIMESTRE 1")</f>
        <v>TRIMESTRE 1</v>
      </c>
      <c r="M28" s="107" t="str">
        <f ca="1">IFERROR(__xludf.DUMMYFUNCTION("""COMPUTED_VALUE"""),"ADOLESCENTES MUJERES")</f>
        <v>ADOLESCENTES MUJERES</v>
      </c>
    </row>
    <row r="29" spans="1:13">
      <c r="A29" s="107" t="str">
        <f ca="1">IFERROR(__xludf.DUMMYFUNCTION("""COMPUTED_VALUE"""),"5.1.1.1")</f>
        <v>5.1.1.1</v>
      </c>
      <c r="B29" s="107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29" s="107" t="str">
        <f ca="1">IFERROR(__xludf.DUMMYFUNCTION("""COMPUTED_VALUE"""),"3. Operación")</f>
        <v>3. Operación</v>
      </c>
      <c r="D29" s="107" t="str">
        <f ca="1">IFERROR(__xludf.DUMMYFUNCTION("""COMPUTED_VALUE"""),"Guadalajara bien educada")</f>
        <v>Guadalajara bien educada</v>
      </c>
      <c r="E29" s="107" t="str">
        <f ca="1">IFERROR(__xludf.DUMMYFUNCTION("""COMPUTED_VALUE"""),"Atención en Centros de Desarrollo Infantil")</f>
        <v>Atención en Centros de Desarrollo Infantil</v>
      </c>
      <c r="F29" s="107" t="str">
        <f ca="1">IFERROR(__xludf.DUMMYFUNCTION("""COMPUTED_VALUE"""),"A1C1. Procesos de formación brindados en CDI, CEDI y CAIC de educación inicial y preescolar ")</f>
        <v xml:space="preserve">A1C1. Procesos de formación brindados en CDI, CEDI y CAIC de educación inicial y preescolar </v>
      </c>
      <c r="G29" s="107" t="str">
        <f ca="1">IFERROR(__xludf.DUMMYFUNCTION("""COMPUTED_VALUE"""),"Porcentaje de Niñas y Niños que reciben educación inicial y preescolar en CDI, CEDI y CAIC en 2024")</f>
        <v>Porcentaje de Niñas y Niños que reciben educación inicial y preescolar en CDI, CEDI y CAIC en 2024</v>
      </c>
      <c r="H29" s="107" t="str">
        <f ca="1">IFERROR(__xludf.DUMMYFUNCTION("""COMPUTED_VALUE"""),"AH FEBRERO")</f>
        <v>AH FEBRERO</v>
      </c>
      <c r="I29" s="107" t="str">
        <f ca="1">IFERROR(__xludf.DUMMYFUNCTION("""COMPUTED_VALUE"""),"Febrero")</f>
        <v>Febrero</v>
      </c>
      <c r="J29" s="107" t="str">
        <f ca="1">IFERROR(__xludf.DUMMYFUNCTION("""COMPUTED_VALUE"""),"AH")</f>
        <v>AH</v>
      </c>
      <c r="K29" s="40"/>
      <c r="L29" s="107" t="str">
        <f ca="1">IFERROR(__xludf.DUMMYFUNCTION("""COMPUTED_VALUE"""),"TRIMESTRE 1")</f>
        <v>TRIMESTRE 1</v>
      </c>
      <c r="M29" s="107" t="str">
        <f ca="1">IFERROR(__xludf.DUMMYFUNCTION("""COMPUTED_VALUE"""),"ADOLESCENTES HOMBRES")</f>
        <v>ADOLESCENTES HOMBRES</v>
      </c>
    </row>
    <row r="30" spans="1:13">
      <c r="A30" s="107" t="str">
        <f ca="1">IFERROR(__xludf.DUMMYFUNCTION("""COMPUTED_VALUE"""),"5.1.1.1")</f>
        <v>5.1.1.1</v>
      </c>
      <c r="B30" s="107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30" s="107" t="str">
        <f ca="1">IFERROR(__xludf.DUMMYFUNCTION("""COMPUTED_VALUE"""),"3. Operación")</f>
        <v>3. Operación</v>
      </c>
      <c r="D30" s="107" t="str">
        <f ca="1">IFERROR(__xludf.DUMMYFUNCTION("""COMPUTED_VALUE"""),"Guadalajara bien educada")</f>
        <v>Guadalajara bien educada</v>
      </c>
      <c r="E30" s="107" t="str">
        <f ca="1">IFERROR(__xludf.DUMMYFUNCTION("""COMPUTED_VALUE"""),"Atención en Centros de Desarrollo Infantil")</f>
        <v>Atención en Centros de Desarrollo Infantil</v>
      </c>
      <c r="F30" s="107" t="str">
        <f ca="1">IFERROR(__xludf.DUMMYFUNCTION("""COMPUTED_VALUE"""),"A1C1. Procesos de formación brindados en CDI, CEDI y CAIC de educación inicial y preescolar ")</f>
        <v xml:space="preserve">A1C1. Procesos de formación brindados en CDI, CEDI y CAIC de educación inicial y preescolar </v>
      </c>
      <c r="G30" s="107" t="str">
        <f ca="1">IFERROR(__xludf.DUMMYFUNCTION("""COMPUTED_VALUE"""),"Porcentaje de Niñas y Niños que reciben educación inicial y preescolar en CDI, CEDI y CAIC en 2024")</f>
        <v>Porcentaje de Niñas y Niños que reciben educación inicial y preescolar en CDI, CEDI y CAIC en 2024</v>
      </c>
      <c r="H30" s="107" t="str">
        <f ca="1">IFERROR(__xludf.DUMMYFUNCTION("""COMPUTED_VALUE"""),"MUJ FEBRERO")</f>
        <v>MUJ FEBRERO</v>
      </c>
      <c r="I30" s="107" t="str">
        <f ca="1">IFERROR(__xludf.DUMMYFUNCTION("""COMPUTED_VALUE"""),"Febrero")</f>
        <v>Febrero</v>
      </c>
      <c r="J30" s="107" t="str">
        <f ca="1">IFERROR(__xludf.DUMMYFUNCTION("""COMPUTED_VALUE"""),"MUJ")</f>
        <v>MUJ</v>
      </c>
      <c r="K30" s="40"/>
      <c r="L30" s="107" t="str">
        <f ca="1">IFERROR(__xludf.DUMMYFUNCTION("""COMPUTED_VALUE"""),"TRIMESTRE 1")</f>
        <v>TRIMESTRE 1</v>
      </c>
      <c r="M30" s="107" t="str">
        <f ca="1">IFERROR(__xludf.DUMMYFUNCTION("""COMPUTED_VALUE"""),"MUJERES ADULTAS")</f>
        <v>MUJERES ADULTAS</v>
      </c>
    </row>
    <row r="31" spans="1:13">
      <c r="A31" s="107" t="str">
        <f ca="1">IFERROR(__xludf.DUMMYFUNCTION("""COMPUTED_VALUE"""),"5.1.1.1")</f>
        <v>5.1.1.1</v>
      </c>
      <c r="B31" s="107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31" s="107" t="str">
        <f ca="1">IFERROR(__xludf.DUMMYFUNCTION("""COMPUTED_VALUE"""),"3. Operación")</f>
        <v>3. Operación</v>
      </c>
      <c r="D31" s="107" t="str">
        <f ca="1">IFERROR(__xludf.DUMMYFUNCTION("""COMPUTED_VALUE"""),"Guadalajara bien educada")</f>
        <v>Guadalajara bien educada</v>
      </c>
      <c r="E31" s="107" t="str">
        <f ca="1">IFERROR(__xludf.DUMMYFUNCTION("""COMPUTED_VALUE"""),"Atención en Centros de Desarrollo Infantil")</f>
        <v>Atención en Centros de Desarrollo Infantil</v>
      </c>
      <c r="F31" s="107" t="str">
        <f ca="1">IFERROR(__xludf.DUMMYFUNCTION("""COMPUTED_VALUE"""),"A1C1. Procesos de formación brindados en CDI, CEDI y CAIC de educación inicial y preescolar ")</f>
        <v xml:space="preserve">A1C1. Procesos de formación brindados en CDI, CEDI y CAIC de educación inicial y preescolar </v>
      </c>
      <c r="G31" s="107" t="str">
        <f ca="1">IFERROR(__xludf.DUMMYFUNCTION("""COMPUTED_VALUE"""),"Porcentaje de Niñas y Niños que reciben educación inicial y preescolar en CDI, CEDI y CAIC en 2024")</f>
        <v>Porcentaje de Niñas y Niños que reciben educación inicial y preescolar en CDI, CEDI y CAIC en 2024</v>
      </c>
      <c r="H31" s="107" t="str">
        <f ca="1">IFERROR(__xludf.DUMMYFUNCTION("""COMPUTED_VALUE"""),"HOM FEBRERO")</f>
        <v>HOM FEBRERO</v>
      </c>
      <c r="I31" s="107" t="str">
        <f ca="1">IFERROR(__xludf.DUMMYFUNCTION("""COMPUTED_VALUE"""),"Febrero")</f>
        <v>Febrero</v>
      </c>
      <c r="J31" s="107" t="str">
        <f ca="1">IFERROR(__xludf.DUMMYFUNCTION("""COMPUTED_VALUE"""),"HOM")</f>
        <v>HOM</v>
      </c>
      <c r="K31" s="40"/>
      <c r="L31" s="107" t="str">
        <f ca="1">IFERROR(__xludf.DUMMYFUNCTION("""COMPUTED_VALUE"""),"TRIMESTRE 1")</f>
        <v>TRIMESTRE 1</v>
      </c>
      <c r="M31" s="107" t="str">
        <f ca="1">IFERROR(__xludf.DUMMYFUNCTION("""COMPUTED_VALUE"""),"HOMBRES ADULTOS")</f>
        <v>HOMBRES ADULTOS</v>
      </c>
    </row>
    <row r="32" spans="1:13">
      <c r="A32" s="107" t="str">
        <f ca="1">IFERROR(__xludf.DUMMYFUNCTION("""COMPUTED_VALUE"""),"5.1.1.1")</f>
        <v>5.1.1.1</v>
      </c>
      <c r="B32" s="107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32" s="107" t="str">
        <f ca="1">IFERROR(__xludf.DUMMYFUNCTION("""COMPUTED_VALUE"""),"3. Operación")</f>
        <v>3. Operación</v>
      </c>
      <c r="D32" s="107" t="str">
        <f ca="1">IFERROR(__xludf.DUMMYFUNCTION("""COMPUTED_VALUE"""),"Guadalajara bien educada")</f>
        <v>Guadalajara bien educada</v>
      </c>
      <c r="E32" s="107" t="str">
        <f ca="1">IFERROR(__xludf.DUMMYFUNCTION("""COMPUTED_VALUE"""),"Atención en Centros de Desarrollo Infantil")</f>
        <v>Atención en Centros de Desarrollo Infantil</v>
      </c>
      <c r="F32" s="107" t="str">
        <f ca="1">IFERROR(__xludf.DUMMYFUNCTION("""COMPUTED_VALUE"""),"A1C1. Procesos de formación brindados en CDI, CEDI y CAIC de educación inicial y preescolar ")</f>
        <v xml:space="preserve">A1C1. Procesos de formación brindados en CDI, CEDI y CAIC de educación inicial y preescolar </v>
      </c>
      <c r="G32" s="107" t="str">
        <f ca="1">IFERROR(__xludf.DUMMYFUNCTION("""COMPUTED_VALUE"""),"Porcentaje de Niñas y Niños que reciben educación inicial y preescolar en CDI, CEDI y CAIC en 2024")</f>
        <v>Porcentaje de Niñas y Niños que reciben educación inicial y preescolar en CDI, CEDI y CAIC en 2024</v>
      </c>
      <c r="H32" s="107" t="str">
        <f ca="1">IFERROR(__xludf.DUMMYFUNCTION("""COMPUTED_VALUE"""),"AMM FEBRERO")</f>
        <v>AMM FEBRERO</v>
      </c>
      <c r="I32" s="107" t="str">
        <f ca="1">IFERROR(__xludf.DUMMYFUNCTION("""COMPUTED_VALUE"""),"Febrero")</f>
        <v>Febrero</v>
      </c>
      <c r="J32" s="107" t="str">
        <f ca="1">IFERROR(__xludf.DUMMYFUNCTION("""COMPUTED_VALUE"""),"AMM")</f>
        <v>AMM</v>
      </c>
      <c r="K32" s="40"/>
      <c r="L32" s="107" t="str">
        <f ca="1">IFERROR(__xludf.DUMMYFUNCTION("""COMPUTED_VALUE"""),"TRIMESTRE 1")</f>
        <v>TRIMESTRE 1</v>
      </c>
      <c r="M32" s="107" t="str">
        <f ca="1">IFERROR(__xludf.DUMMYFUNCTION("""COMPUTED_VALUE"""),"ADULTA MAYOR MUJER")</f>
        <v>ADULTA MAYOR MUJER</v>
      </c>
    </row>
    <row r="33" spans="1:13">
      <c r="A33" s="107" t="str">
        <f ca="1">IFERROR(__xludf.DUMMYFUNCTION("""COMPUTED_VALUE"""),"5.1.1.1")</f>
        <v>5.1.1.1</v>
      </c>
      <c r="B33" s="107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33" s="107" t="str">
        <f ca="1">IFERROR(__xludf.DUMMYFUNCTION("""COMPUTED_VALUE"""),"3. Operación")</f>
        <v>3. Operación</v>
      </c>
      <c r="D33" s="107" t="str">
        <f ca="1">IFERROR(__xludf.DUMMYFUNCTION("""COMPUTED_VALUE"""),"Guadalajara bien educada")</f>
        <v>Guadalajara bien educada</v>
      </c>
      <c r="E33" s="107" t="str">
        <f ca="1">IFERROR(__xludf.DUMMYFUNCTION("""COMPUTED_VALUE"""),"Atención en Centros de Desarrollo Infantil")</f>
        <v>Atención en Centros de Desarrollo Infantil</v>
      </c>
      <c r="F33" s="107" t="str">
        <f ca="1">IFERROR(__xludf.DUMMYFUNCTION("""COMPUTED_VALUE"""),"A1C1. Procesos de formación brindados en CDI, CEDI y CAIC de educación inicial y preescolar ")</f>
        <v xml:space="preserve">A1C1. Procesos de formación brindados en CDI, CEDI y CAIC de educación inicial y preescolar </v>
      </c>
      <c r="G33" s="107" t="str">
        <f ca="1">IFERROR(__xludf.DUMMYFUNCTION("""COMPUTED_VALUE"""),"Porcentaje de Niñas y Niños que reciben educación inicial y preescolar en CDI, CEDI y CAIC en 2024")</f>
        <v>Porcentaje de Niñas y Niños que reciben educación inicial y preescolar en CDI, CEDI y CAIC en 2024</v>
      </c>
      <c r="H33" s="107" t="str">
        <f ca="1">IFERROR(__xludf.DUMMYFUNCTION("""COMPUTED_VALUE"""),"AMH FEBRERO")</f>
        <v>AMH FEBRERO</v>
      </c>
      <c r="I33" s="107" t="str">
        <f ca="1">IFERROR(__xludf.DUMMYFUNCTION("""COMPUTED_VALUE"""),"Febrero")</f>
        <v>Febrero</v>
      </c>
      <c r="J33" s="107" t="str">
        <f ca="1">IFERROR(__xludf.DUMMYFUNCTION("""COMPUTED_VALUE"""),"AMH")</f>
        <v>AMH</v>
      </c>
      <c r="K33" s="40"/>
      <c r="L33" s="107" t="str">
        <f ca="1">IFERROR(__xludf.DUMMYFUNCTION("""COMPUTED_VALUE"""),"TRIMESTRE 1")</f>
        <v>TRIMESTRE 1</v>
      </c>
      <c r="M33" s="107" t="str">
        <f ca="1">IFERROR(__xludf.DUMMYFUNCTION("""COMPUTED_VALUE"""),"ADULTO MAYOR HOMBRE")</f>
        <v>ADULTO MAYOR HOMBRE</v>
      </c>
    </row>
    <row r="34" spans="1:13">
      <c r="A34" s="107" t="str">
        <f ca="1">IFERROR(__xludf.DUMMYFUNCTION("""COMPUTED_VALUE"""),"5.1.1.0")</f>
        <v>5.1.1.0</v>
      </c>
      <c r="B34" s="107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34" s="107" t="str">
        <f ca="1">IFERROR(__xludf.DUMMYFUNCTION("""COMPUTED_VALUE"""),"3. Operación")</f>
        <v>3. Operación</v>
      </c>
      <c r="D34" s="107" t="str">
        <f ca="1">IFERROR(__xludf.DUMMYFUNCTION("""COMPUTED_VALUE"""),"Guadalajara bien educada")</f>
        <v>Guadalajara bien educada</v>
      </c>
      <c r="E34" s="107" t="str">
        <f ca="1">IFERROR(__xludf.DUMMYFUNCTION("""COMPUTED_VALUE"""),"Atención en Centros de Desarrollo Infantil")</f>
        <v>Atención en Centros de Desarrollo Infantil</v>
      </c>
      <c r="F34" s="107" t="str">
        <f ca="1">IFERROR(__xludf.DUMMYFUNCTION("""COMPUTED_VALUE"""),"C1. Servicio de educación inicial y preescolar para niñas y niños en condición de vulnerabilidad económica brindados en CDI, CEDI y CAIC ")</f>
        <v xml:space="preserve">C1. Servicio de educación inicial y preescolar para niñas y niños en condición de vulnerabilidad económica brindados en CDI, CEDI y CAIC </v>
      </c>
      <c r="G34" s="107" t="str">
        <f ca="1">IFERROR(__xludf.DUMMYFUNCTION("""COMPUTED_VALUE"""),"Porcentaje de demanda cubierta sobre servicios de atención educativa y asistencial para niñas y niños en condición de vulnerabilidad económica en 2024")</f>
        <v>Porcentaje de demanda cubierta sobre servicios de atención educativa y asistencial para niñas y niños en condición de vulnerabilidad económica en 2024</v>
      </c>
      <c r="H34" s="107" t="str">
        <f ca="1">IFERROR(__xludf.DUMMYFUNCTION("""COMPUTED_VALUE"""),"NAS MARZO")</f>
        <v>NAS MARZO</v>
      </c>
      <c r="I34" s="107" t="str">
        <f ca="1">IFERROR(__xludf.DUMMYFUNCTION("""COMPUTED_VALUE"""),"Marzo")</f>
        <v>Marzo</v>
      </c>
      <c r="J34" s="107" t="str">
        <f ca="1">IFERROR(__xludf.DUMMYFUNCTION("""COMPUTED_VALUE"""),"NAS")</f>
        <v>NAS</v>
      </c>
      <c r="K34" s="40">
        <f ca="1">IFERROR(__xludf.DUMMYFUNCTION("""COMPUTED_VALUE"""),12)</f>
        <v>12</v>
      </c>
      <c r="L34" s="107" t="str">
        <f ca="1">IFERROR(__xludf.DUMMYFUNCTION("""COMPUTED_VALUE"""),"TRIMESTRE 1")</f>
        <v>TRIMESTRE 1</v>
      </c>
      <c r="M34" s="107" t="str">
        <f ca="1">IFERROR(__xludf.DUMMYFUNCTION("""COMPUTED_VALUE"""),"NIÑAS")</f>
        <v>NIÑAS</v>
      </c>
    </row>
    <row r="35" spans="1:13">
      <c r="A35" s="107" t="str">
        <f ca="1">IFERROR(__xludf.DUMMYFUNCTION("""COMPUTED_VALUE"""),"5.1.1.0")</f>
        <v>5.1.1.0</v>
      </c>
      <c r="B35" s="107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35" s="107" t="str">
        <f ca="1">IFERROR(__xludf.DUMMYFUNCTION("""COMPUTED_VALUE"""),"3. Operación")</f>
        <v>3. Operación</v>
      </c>
      <c r="D35" s="107" t="str">
        <f ca="1">IFERROR(__xludf.DUMMYFUNCTION("""COMPUTED_VALUE"""),"Guadalajara bien educada")</f>
        <v>Guadalajara bien educada</v>
      </c>
      <c r="E35" s="107" t="str">
        <f ca="1">IFERROR(__xludf.DUMMYFUNCTION("""COMPUTED_VALUE"""),"Atención en Centros de Desarrollo Infantil")</f>
        <v>Atención en Centros de Desarrollo Infantil</v>
      </c>
      <c r="F35" s="107" t="str">
        <f ca="1">IFERROR(__xludf.DUMMYFUNCTION("""COMPUTED_VALUE"""),"C1. Servicio de educación inicial y preescolar para niñas y niños en condición de vulnerabilidad económica brindados en CDI, CEDI y CAIC ")</f>
        <v xml:space="preserve">C1. Servicio de educación inicial y preescolar para niñas y niños en condición de vulnerabilidad económica brindados en CDI, CEDI y CAIC </v>
      </c>
      <c r="G35" s="107" t="str">
        <f ca="1">IFERROR(__xludf.DUMMYFUNCTION("""COMPUTED_VALUE"""),"Porcentaje de demanda cubierta sobre servicios de atención educativa y asistencial para niñas y niños en condición de vulnerabilidad económica en 2024")</f>
        <v>Porcentaje de demanda cubierta sobre servicios de atención educativa y asistencial para niñas y niños en condición de vulnerabilidad económica en 2024</v>
      </c>
      <c r="H35" s="107" t="str">
        <f ca="1">IFERROR(__xludf.DUMMYFUNCTION("""COMPUTED_VALUE"""),"NOS MARZO")</f>
        <v>NOS MARZO</v>
      </c>
      <c r="I35" s="107" t="str">
        <f ca="1">IFERROR(__xludf.DUMMYFUNCTION("""COMPUTED_VALUE"""),"Marzo")</f>
        <v>Marzo</v>
      </c>
      <c r="J35" s="107" t="str">
        <f ca="1">IFERROR(__xludf.DUMMYFUNCTION("""COMPUTED_VALUE"""),"NOS")</f>
        <v>NOS</v>
      </c>
      <c r="K35" s="40">
        <f ca="1">IFERROR(__xludf.DUMMYFUNCTION("""COMPUTED_VALUE"""),19)</f>
        <v>19</v>
      </c>
      <c r="L35" s="107" t="str">
        <f ca="1">IFERROR(__xludf.DUMMYFUNCTION("""COMPUTED_VALUE"""),"TRIMESTRE 1")</f>
        <v>TRIMESTRE 1</v>
      </c>
      <c r="M35" s="107" t="str">
        <f ca="1">IFERROR(__xludf.DUMMYFUNCTION("""COMPUTED_VALUE"""),"NIÑOS")</f>
        <v>NIÑOS</v>
      </c>
    </row>
    <row r="36" spans="1:13">
      <c r="A36" s="107" t="str">
        <f ca="1">IFERROR(__xludf.DUMMYFUNCTION("""COMPUTED_VALUE"""),"5.1.1.0")</f>
        <v>5.1.1.0</v>
      </c>
      <c r="B36" s="107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36" s="107" t="str">
        <f ca="1">IFERROR(__xludf.DUMMYFUNCTION("""COMPUTED_VALUE"""),"3. Operación")</f>
        <v>3. Operación</v>
      </c>
      <c r="D36" s="107" t="str">
        <f ca="1">IFERROR(__xludf.DUMMYFUNCTION("""COMPUTED_VALUE"""),"Guadalajara bien educada")</f>
        <v>Guadalajara bien educada</v>
      </c>
      <c r="E36" s="107" t="str">
        <f ca="1">IFERROR(__xludf.DUMMYFUNCTION("""COMPUTED_VALUE"""),"Atención en Centros de Desarrollo Infantil")</f>
        <v>Atención en Centros de Desarrollo Infantil</v>
      </c>
      <c r="F36" s="107" t="str">
        <f ca="1">IFERROR(__xludf.DUMMYFUNCTION("""COMPUTED_VALUE"""),"C1. Servicio de educación inicial y preescolar para niñas y niños en condición de vulnerabilidad económica brindados en CDI, CEDI y CAIC ")</f>
        <v xml:space="preserve">C1. Servicio de educación inicial y preescolar para niñas y niños en condición de vulnerabilidad económica brindados en CDI, CEDI y CAIC </v>
      </c>
      <c r="G36" s="107" t="str">
        <f ca="1">IFERROR(__xludf.DUMMYFUNCTION("""COMPUTED_VALUE"""),"Porcentaje de demanda cubierta sobre servicios de atención educativa y asistencial para niñas y niños en condición de vulnerabilidad económica en 2024")</f>
        <v>Porcentaje de demanda cubierta sobre servicios de atención educativa y asistencial para niñas y niños en condición de vulnerabilidad económica en 2024</v>
      </c>
      <c r="H36" s="107" t="str">
        <f ca="1">IFERROR(__xludf.DUMMYFUNCTION("""COMPUTED_VALUE"""),"AM MARZO")</f>
        <v>AM MARZO</v>
      </c>
      <c r="I36" s="107" t="str">
        <f ca="1">IFERROR(__xludf.DUMMYFUNCTION("""COMPUTED_VALUE"""),"Marzo")</f>
        <v>Marzo</v>
      </c>
      <c r="J36" s="107" t="str">
        <f ca="1">IFERROR(__xludf.DUMMYFUNCTION("""COMPUTED_VALUE"""),"AM")</f>
        <v>AM</v>
      </c>
      <c r="K36" s="40"/>
      <c r="L36" s="107" t="str">
        <f ca="1">IFERROR(__xludf.DUMMYFUNCTION("""COMPUTED_VALUE"""),"TRIMESTRE 1")</f>
        <v>TRIMESTRE 1</v>
      </c>
      <c r="M36" s="107" t="str">
        <f ca="1">IFERROR(__xludf.DUMMYFUNCTION("""COMPUTED_VALUE"""),"ADOLESCENTES MUJERES")</f>
        <v>ADOLESCENTES MUJERES</v>
      </c>
    </row>
    <row r="37" spans="1:13">
      <c r="A37" s="107" t="str">
        <f ca="1">IFERROR(__xludf.DUMMYFUNCTION("""COMPUTED_VALUE"""),"5.1.1.0")</f>
        <v>5.1.1.0</v>
      </c>
      <c r="B37" s="107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37" s="107" t="str">
        <f ca="1">IFERROR(__xludf.DUMMYFUNCTION("""COMPUTED_VALUE"""),"3. Operación")</f>
        <v>3. Operación</v>
      </c>
      <c r="D37" s="107" t="str">
        <f ca="1">IFERROR(__xludf.DUMMYFUNCTION("""COMPUTED_VALUE"""),"Guadalajara bien educada")</f>
        <v>Guadalajara bien educada</v>
      </c>
      <c r="E37" s="107" t="str">
        <f ca="1">IFERROR(__xludf.DUMMYFUNCTION("""COMPUTED_VALUE"""),"Atención en Centros de Desarrollo Infantil")</f>
        <v>Atención en Centros de Desarrollo Infantil</v>
      </c>
      <c r="F37" s="107" t="str">
        <f ca="1">IFERROR(__xludf.DUMMYFUNCTION("""COMPUTED_VALUE"""),"C1. Servicio de educación inicial y preescolar para niñas y niños en condición de vulnerabilidad económica brindados en CDI, CEDI y CAIC ")</f>
        <v xml:space="preserve">C1. Servicio de educación inicial y preescolar para niñas y niños en condición de vulnerabilidad económica brindados en CDI, CEDI y CAIC </v>
      </c>
      <c r="G37" s="107" t="str">
        <f ca="1">IFERROR(__xludf.DUMMYFUNCTION("""COMPUTED_VALUE"""),"Porcentaje de demanda cubierta sobre servicios de atención educativa y asistencial para niñas y niños en condición de vulnerabilidad económica en 2024")</f>
        <v>Porcentaje de demanda cubierta sobre servicios de atención educativa y asistencial para niñas y niños en condición de vulnerabilidad económica en 2024</v>
      </c>
      <c r="H37" s="107" t="str">
        <f ca="1">IFERROR(__xludf.DUMMYFUNCTION("""COMPUTED_VALUE"""),"AH MARZO")</f>
        <v>AH MARZO</v>
      </c>
      <c r="I37" s="107" t="str">
        <f ca="1">IFERROR(__xludf.DUMMYFUNCTION("""COMPUTED_VALUE"""),"Marzo")</f>
        <v>Marzo</v>
      </c>
      <c r="J37" s="107" t="str">
        <f ca="1">IFERROR(__xludf.DUMMYFUNCTION("""COMPUTED_VALUE"""),"AH")</f>
        <v>AH</v>
      </c>
      <c r="K37" s="40"/>
      <c r="L37" s="107" t="str">
        <f ca="1">IFERROR(__xludf.DUMMYFUNCTION("""COMPUTED_VALUE"""),"TRIMESTRE 1")</f>
        <v>TRIMESTRE 1</v>
      </c>
      <c r="M37" s="107" t="str">
        <f ca="1">IFERROR(__xludf.DUMMYFUNCTION("""COMPUTED_VALUE"""),"ADOLESCENTES HOMBRES")</f>
        <v>ADOLESCENTES HOMBRES</v>
      </c>
    </row>
    <row r="38" spans="1:13">
      <c r="A38" s="107" t="str">
        <f ca="1">IFERROR(__xludf.DUMMYFUNCTION("""COMPUTED_VALUE"""),"5.1.1.0")</f>
        <v>5.1.1.0</v>
      </c>
      <c r="B38" s="107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38" s="107" t="str">
        <f ca="1">IFERROR(__xludf.DUMMYFUNCTION("""COMPUTED_VALUE"""),"3. Operación")</f>
        <v>3. Operación</v>
      </c>
      <c r="D38" s="107" t="str">
        <f ca="1">IFERROR(__xludf.DUMMYFUNCTION("""COMPUTED_VALUE"""),"Guadalajara bien educada")</f>
        <v>Guadalajara bien educada</v>
      </c>
      <c r="E38" s="107" t="str">
        <f ca="1">IFERROR(__xludf.DUMMYFUNCTION("""COMPUTED_VALUE"""),"Atención en Centros de Desarrollo Infantil")</f>
        <v>Atención en Centros de Desarrollo Infantil</v>
      </c>
      <c r="F38" s="107" t="str">
        <f ca="1">IFERROR(__xludf.DUMMYFUNCTION("""COMPUTED_VALUE"""),"C1. Servicio de educación inicial y preescolar para niñas y niños en condición de vulnerabilidad económica brindados en CDI, CEDI y CAIC ")</f>
        <v xml:space="preserve">C1. Servicio de educación inicial y preescolar para niñas y niños en condición de vulnerabilidad económica brindados en CDI, CEDI y CAIC </v>
      </c>
      <c r="G38" s="107" t="str">
        <f ca="1">IFERROR(__xludf.DUMMYFUNCTION("""COMPUTED_VALUE"""),"Porcentaje de demanda cubierta sobre servicios de atención educativa y asistencial para niñas y niños en condición de vulnerabilidad económica en 2024")</f>
        <v>Porcentaje de demanda cubierta sobre servicios de atención educativa y asistencial para niñas y niños en condición de vulnerabilidad económica en 2024</v>
      </c>
      <c r="H38" s="107" t="str">
        <f ca="1">IFERROR(__xludf.DUMMYFUNCTION("""COMPUTED_VALUE"""),"MUJ MARZO")</f>
        <v>MUJ MARZO</v>
      </c>
      <c r="I38" s="107" t="str">
        <f ca="1">IFERROR(__xludf.DUMMYFUNCTION("""COMPUTED_VALUE"""),"Marzo")</f>
        <v>Marzo</v>
      </c>
      <c r="J38" s="107" t="str">
        <f ca="1">IFERROR(__xludf.DUMMYFUNCTION("""COMPUTED_VALUE"""),"MUJ")</f>
        <v>MUJ</v>
      </c>
      <c r="K38" s="40"/>
      <c r="L38" s="107" t="str">
        <f ca="1">IFERROR(__xludf.DUMMYFUNCTION("""COMPUTED_VALUE"""),"TRIMESTRE 1")</f>
        <v>TRIMESTRE 1</v>
      </c>
      <c r="M38" s="107" t="str">
        <f ca="1">IFERROR(__xludf.DUMMYFUNCTION("""COMPUTED_VALUE"""),"MUJERES ADULTAS")</f>
        <v>MUJERES ADULTAS</v>
      </c>
    </row>
    <row r="39" spans="1:13">
      <c r="A39" s="107" t="str">
        <f ca="1">IFERROR(__xludf.DUMMYFUNCTION("""COMPUTED_VALUE"""),"5.1.1.0")</f>
        <v>5.1.1.0</v>
      </c>
      <c r="B39" s="107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39" s="107" t="str">
        <f ca="1">IFERROR(__xludf.DUMMYFUNCTION("""COMPUTED_VALUE"""),"3. Operación")</f>
        <v>3. Operación</v>
      </c>
      <c r="D39" s="107" t="str">
        <f ca="1">IFERROR(__xludf.DUMMYFUNCTION("""COMPUTED_VALUE"""),"Guadalajara bien educada")</f>
        <v>Guadalajara bien educada</v>
      </c>
      <c r="E39" s="107" t="str">
        <f ca="1">IFERROR(__xludf.DUMMYFUNCTION("""COMPUTED_VALUE"""),"Atención en Centros de Desarrollo Infantil")</f>
        <v>Atención en Centros de Desarrollo Infantil</v>
      </c>
      <c r="F39" s="107" t="str">
        <f ca="1">IFERROR(__xludf.DUMMYFUNCTION("""COMPUTED_VALUE"""),"C1. Servicio de educación inicial y preescolar para niñas y niños en condición de vulnerabilidad económica brindados en CDI, CEDI y CAIC ")</f>
        <v xml:space="preserve">C1. Servicio de educación inicial y preescolar para niñas y niños en condición de vulnerabilidad económica brindados en CDI, CEDI y CAIC </v>
      </c>
      <c r="G39" s="107" t="str">
        <f ca="1">IFERROR(__xludf.DUMMYFUNCTION("""COMPUTED_VALUE"""),"Porcentaje de demanda cubierta sobre servicios de atención educativa y asistencial para niñas y niños en condición de vulnerabilidad económica en 2024")</f>
        <v>Porcentaje de demanda cubierta sobre servicios de atención educativa y asistencial para niñas y niños en condición de vulnerabilidad económica en 2024</v>
      </c>
      <c r="H39" s="107" t="str">
        <f ca="1">IFERROR(__xludf.DUMMYFUNCTION("""COMPUTED_VALUE"""),"HOM MARZO")</f>
        <v>HOM MARZO</v>
      </c>
      <c r="I39" s="107" t="str">
        <f ca="1">IFERROR(__xludf.DUMMYFUNCTION("""COMPUTED_VALUE"""),"Marzo")</f>
        <v>Marzo</v>
      </c>
      <c r="J39" s="107" t="str">
        <f ca="1">IFERROR(__xludf.DUMMYFUNCTION("""COMPUTED_VALUE"""),"HOM")</f>
        <v>HOM</v>
      </c>
      <c r="K39" s="40"/>
      <c r="L39" s="107" t="str">
        <f ca="1">IFERROR(__xludf.DUMMYFUNCTION("""COMPUTED_VALUE"""),"TRIMESTRE 1")</f>
        <v>TRIMESTRE 1</v>
      </c>
      <c r="M39" s="107" t="str">
        <f ca="1">IFERROR(__xludf.DUMMYFUNCTION("""COMPUTED_VALUE"""),"HOMBRES ADULTOS")</f>
        <v>HOMBRES ADULTOS</v>
      </c>
    </row>
    <row r="40" spans="1:13">
      <c r="A40" s="107" t="str">
        <f ca="1">IFERROR(__xludf.DUMMYFUNCTION("""COMPUTED_VALUE"""),"5.1.1.0")</f>
        <v>5.1.1.0</v>
      </c>
      <c r="B40" s="107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40" s="107" t="str">
        <f ca="1">IFERROR(__xludf.DUMMYFUNCTION("""COMPUTED_VALUE"""),"3. Operación")</f>
        <v>3. Operación</v>
      </c>
      <c r="D40" s="107" t="str">
        <f ca="1">IFERROR(__xludf.DUMMYFUNCTION("""COMPUTED_VALUE"""),"Guadalajara bien educada")</f>
        <v>Guadalajara bien educada</v>
      </c>
      <c r="E40" s="107" t="str">
        <f ca="1">IFERROR(__xludf.DUMMYFUNCTION("""COMPUTED_VALUE"""),"Atención en Centros de Desarrollo Infantil")</f>
        <v>Atención en Centros de Desarrollo Infantil</v>
      </c>
      <c r="F40" s="107" t="str">
        <f ca="1">IFERROR(__xludf.DUMMYFUNCTION("""COMPUTED_VALUE"""),"C1. Servicio de educación inicial y preescolar para niñas y niños en condición de vulnerabilidad económica brindados en CDI, CEDI y CAIC ")</f>
        <v xml:space="preserve">C1. Servicio de educación inicial y preescolar para niñas y niños en condición de vulnerabilidad económica brindados en CDI, CEDI y CAIC </v>
      </c>
      <c r="G40" s="107" t="str">
        <f ca="1">IFERROR(__xludf.DUMMYFUNCTION("""COMPUTED_VALUE"""),"Porcentaje de demanda cubierta sobre servicios de atención educativa y asistencial para niñas y niños en condición de vulnerabilidad económica en 2024")</f>
        <v>Porcentaje de demanda cubierta sobre servicios de atención educativa y asistencial para niñas y niños en condición de vulnerabilidad económica en 2024</v>
      </c>
      <c r="H40" s="107" t="str">
        <f ca="1">IFERROR(__xludf.DUMMYFUNCTION("""COMPUTED_VALUE"""),"AMM MARZO")</f>
        <v>AMM MARZO</v>
      </c>
      <c r="I40" s="107" t="str">
        <f ca="1">IFERROR(__xludf.DUMMYFUNCTION("""COMPUTED_VALUE"""),"Marzo")</f>
        <v>Marzo</v>
      </c>
      <c r="J40" s="107" t="str">
        <f ca="1">IFERROR(__xludf.DUMMYFUNCTION("""COMPUTED_VALUE"""),"AMM")</f>
        <v>AMM</v>
      </c>
      <c r="K40" s="40"/>
      <c r="L40" s="107" t="str">
        <f ca="1">IFERROR(__xludf.DUMMYFUNCTION("""COMPUTED_VALUE"""),"TRIMESTRE 1")</f>
        <v>TRIMESTRE 1</v>
      </c>
      <c r="M40" s="107" t="str">
        <f ca="1">IFERROR(__xludf.DUMMYFUNCTION("""COMPUTED_VALUE"""),"ADULTA MAYOR MUJER")</f>
        <v>ADULTA MAYOR MUJER</v>
      </c>
    </row>
    <row r="41" spans="1:13">
      <c r="A41" s="107" t="str">
        <f ca="1">IFERROR(__xludf.DUMMYFUNCTION("""COMPUTED_VALUE"""),"5.1.1.0")</f>
        <v>5.1.1.0</v>
      </c>
      <c r="B41" s="107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41" s="107" t="str">
        <f ca="1">IFERROR(__xludf.DUMMYFUNCTION("""COMPUTED_VALUE"""),"3. Operación")</f>
        <v>3. Operación</v>
      </c>
      <c r="D41" s="107" t="str">
        <f ca="1">IFERROR(__xludf.DUMMYFUNCTION("""COMPUTED_VALUE"""),"Guadalajara bien educada")</f>
        <v>Guadalajara bien educada</v>
      </c>
      <c r="E41" s="107" t="str">
        <f ca="1">IFERROR(__xludf.DUMMYFUNCTION("""COMPUTED_VALUE"""),"Atención en Centros de Desarrollo Infantil")</f>
        <v>Atención en Centros de Desarrollo Infantil</v>
      </c>
      <c r="F41" s="107" t="str">
        <f ca="1">IFERROR(__xludf.DUMMYFUNCTION("""COMPUTED_VALUE"""),"C1. Servicio de educación inicial y preescolar para niñas y niños en condición de vulnerabilidad económica brindados en CDI, CEDI y CAIC ")</f>
        <v xml:space="preserve">C1. Servicio de educación inicial y preescolar para niñas y niños en condición de vulnerabilidad económica brindados en CDI, CEDI y CAIC </v>
      </c>
      <c r="G41" s="107" t="str">
        <f ca="1">IFERROR(__xludf.DUMMYFUNCTION("""COMPUTED_VALUE"""),"Porcentaje de demanda cubierta sobre servicios de atención educativa y asistencial para niñas y niños en condición de vulnerabilidad económica en 2024")</f>
        <v>Porcentaje de demanda cubierta sobre servicios de atención educativa y asistencial para niñas y niños en condición de vulnerabilidad económica en 2024</v>
      </c>
      <c r="H41" s="107" t="str">
        <f ca="1">IFERROR(__xludf.DUMMYFUNCTION("""COMPUTED_VALUE"""),"AMH MARZO")</f>
        <v>AMH MARZO</v>
      </c>
      <c r="I41" s="107" t="str">
        <f ca="1">IFERROR(__xludf.DUMMYFUNCTION("""COMPUTED_VALUE"""),"Marzo")</f>
        <v>Marzo</v>
      </c>
      <c r="J41" s="107" t="str">
        <f ca="1">IFERROR(__xludf.DUMMYFUNCTION("""COMPUTED_VALUE"""),"AMH")</f>
        <v>AMH</v>
      </c>
      <c r="K41" s="40"/>
      <c r="L41" s="107" t="str">
        <f ca="1">IFERROR(__xludf.DUMMYFUNCTION("""COMPUTED_VALUE"""),"TRIMESTRE 1")</f>
        <v>TRIMESTRE 1</v>
      </c>
      <c r="M41" s="107" t="str">
        <f ca="1">IFERROR(__xludf.DUMMYFUNCTION("""COMPUTED_VALUE"""),"ADULTO MAYOR HOMBRE")</f>
        <v>ADULTO MAYOR HOMBRE</v>
      </c>
    </row>
    <row r="42" spans="1:13">
      <c r="A42" s="107" t="str">
        <f ca="1">IFERROR(__xludf.DUMMYFUNCTION("""COMPUTED_VALUE"""),"5.1.1.1")</f>
        <v>5.1.1.1</v>
      </c>
      <c r="B42" s="107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42" s="107" t="str">
        <f ca="1">IFERROR(__xludf.DUMMYFUNCTION("""COMPUTED_VALUE"""),"3. Operación")</f>
        <v>3. Operación</v>
      </c>
      <c r="D42" s="107" t="str">
        <f ca="1">IFERROR(__xludf.DUMMYFUNCTION("""COMPUTED_VALUE"""),"Guadalajara bien educada")</f>
        <v>Guadalajara bien educada</v>
      </c>
      <c r="E42" s="107" t="str">
        <f ca="1">IFERROR(__xludf.DUMMYFUNCTION("""COMPUTED_VALUE"""),"Atención en Centros de Desarrollo Infantil")</f>
        <v>Atención en Centros de Desarrollo Infantil</v>
      </c>
      <c r="F42" s="107" t="str">
        <f ca="1">IFERROR(__xludf.DUMMYFUNCTION("""COMPUTED_VALUE"""),"A1C1. Procesos de formación brindados en CDI, CEDI y CAIC de educación inicial y preescolar ")</f>
        <v xml:space="preserve">A1C1. Procesos de formación brindados en CDI, CEDI y CAIC de educación inicial y preescolar </v>
      </c>
      <c r="G42" s="107" t="str">
        <f ca="1">IFERROR(__xludf.DUMMYFUNCTION("""COMPUTED_VALUE"""),"Porcentaje de Niñas y Niños que reciben educación inicial y preescolar en CDI, CEDI y CAIC en 2024")</f>
        <v>Porcentaje de Niñas y Niños que reciben educación inicial y preescolar en CDI, CEDI y CAIC en 2024</v>
      </c>
      <c r="H42" s="107" t="str">
        <f ca="1">IFERROR(__xludf.DUMMYFUNCTION("""COMPUTED_VALUE"""),"NAS MARZO")</f>
        <v>NAS MARZO</v>
      </c>
      <c r="I42" s="107" t="str">
        <f ca="1">IFERROR(__xludf.DUMMYFUNCTION("""COMPUTED_VALUE"""),"Marzo")</f>
        <v>Marzo</v>
      </c>
      <c r="J42" s="107" t="str">
        <f ca="1">IFERROR(__xludf.DUMMYFUNCTION("""COMPUTED_VALUE"""),"NAS")</f>
        <v>NAS</v>
      </c>
      <c r="K42" s="40">
        <f ca="1">IFERROR(__xludf.DUMMYFUNCTION("""COMPUTED_VALUE"""),12)</f>
        <v>12</v>
      </c>
      <c r="L42" s="107" t="str">
        <f ca="1">IFERROR(__xludf.DUMMYFUNCTION("""COMPUTED_VALUE"""),"TRIMESTRE 1")</f>
        <v>TRIMESTRE 1</v>
      </c>
      <c r="M42" s="107" t="str">
        <f ca="1">IFERROR(__xludf.DUMMYFUNCTION("""COMPUTED_VALUE"""),"NIÑAS")</f>
        <v>NIÑAS</v>
      </c>
    </row>
    <row r="43" spans="1:13">
      <c r="A43" s="107" t="str">
        <f ca="1">IFERROR(__xludf.DUMMYFUNCTION("""COMPUTED_VALUE"""),"5.1.1.1")</f>
        <v>5.1.1.1</v>
      </c>
      <c r="B43" s="107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43" s="107" t="str">
        <f ca="1">IFERROR(__xludf.DUMMYFUNCTION("""COMPUTED_VALUE"""),"3. Operación")</f>
        <v>3. Operación</v>
      </c>
      <c r="D43" s="107" t="str">
        <f ca="1">IFERROR(__xludf.DUMMYFUNCTION("""COMPUTED_VALUE"""),"Guadalajara bien educada")</f>
        <v>Guadalajara bien educada</v>
      </c>
      <c r="E43" s="107" t="str">
        <f ca="1">IFERROR(__xludf.DUMMYFUNCTION("""COMPUTED_VALUE"""),"Atención en Centros de Desarrollo Infantil")</f>
        <v>Atención en Centros de Desarrollo Infantil</v>
      </c>
      <c r="F43" s="107" t="str">
        <f ca="1">IFERROR(__xludf.DUMMYFUNCTION("""COMPUTED_VALUE"""),"A1C1. Procesos de formación brindados en CDI, CEDI y CAIC de educación inicial y preescolar ")</f>
        <v xml:space="preserve">A1C1. Procesos de formación brindados en CDI, CEDI y CAIC de educación inicial y preescolar </v>
      </c>
      <c r="G43" s="107" t="str">
        <f ca="1">IFERROR(__xludf.DUMMYFUNCTION("""COMPUTED_VALUE"""),"Porcentaje de Niñas y Niños que reciben educación inicial y preescolar en CDI, CEDI y CAIC en 2024")</f>
        <v>Porcentaje de Niñas y Niños que reciben educación inicial y preescolar en CDI, CEDI y CAIC en 2024</v>
      </c>
      <c r="H43" s="107" t="str">
        <f ca="1">IFERROR(__xludf.DUMMYFUNCTION("""COMPUTED_VALUE"""),"NOS MARZO")</f>
        <v>NOS MARZO</v>
      </c>
      <c r="I43" s="107" t="str">
        <f ca="1">IFERROR(__xludf.DUMMYFUNCTION("""COMPUTED_VALUE"""),"Marzo")</f>
        <v>Marzo</v>
      </c>
      <c r="J43" s="107" t="str">
        <f ca="1">IFERROR(__xludf.DUMMYFUNCTION("""COMPUTED_VALUE"""),"NOS")</f>
        <v>NOS</v>
      </c>
      <c r="K43" s="40">
        <f ca="1">IFERROR(__xludf.DUMMYFUNCTION("""COMPUTED_VALUE"""),19)</f>
        <v>19</v>
      </c>
      <c r="L43" s="107" t="str">
        <f ca="1">IFERROR(__xludf.DUMMYFUNCTION("""COMPUTED_VALUE"""),"TRIMESTRE 1")</f>
        <v>TRIMESTRE 1</v>
      </c>
      <c r="M43" s="107" t="str">
        <f ca="1">IFERROR(__xludf.DUMMYFUNCTION("""COMPUTED_VALUE"""),"NIÑOS")</f>
        <v>NIÑOS</v>
      </c>
    </row>
    <row r="44" spans="1:13">
      <c r="A44" s="107" t="str">
        <f ca="1">IFERROR(__xludf.DUMMYFUNCTION("""COMPUTED_VALUE"""),"5.1.1.1")</f>
        <v>5.1.1.1</v>
      </c>
      <c r="B44" s="107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44" s="107" t="str">
        <f ca="1">IFERROR(__xludf.DUMMYFUNCTION("""COMPUTED_VALUE"""),"3. Operación")</f>
        <v>3. Operación</v>
      </c>
      <c r="D44" s="107" t="str">
        <f ca="1">IFERROR(__xludf.DUMMYFUNCTION("""COMPUTED_VALUE"""),"Guadalajara bien educada")</f>
        <v>Guadalajara bien educada</v>
      </c>
      <c r="E44" s="107" t="str">
        <f ca="1">IFERROR(__xludf.DUMMYFUNCTION("""COMPUTED_VALUE"""),"Atención en Centros de Desarrollo Infantil")</f>
        <v>Atención en Centros de Desarrollo Infantil</v>
      </c>
      <c r="F44" s="107" t="str">
        <f ca="1">IFERROR(__xludf.DUMMYFUNCTION("""COMPUTED_VALUE"""),"A1C1. Procesos de formación brindados en CDI, CEDI y CAIC de educación inicial y preescolar ")</f>
        <v xml:space="preserve">A1C1. Procesos de formación brindados en CDI, CEDI y CAIC de educación inicial y preescolar </v>
      </c>
      <c r="G44" s="107" t="str">
        <f ca="1">IFERROR(__xludf.DUMMYFUNCTION("""COMPUTED_VALUE"""),"Porcentaje de Niñas y Niños que reciben educación inicial y preescolar en CDI, CEDI y CAIC en 2024")</f>
        <v>Porcentaje de Niñas y Niños que reciben educación inicial y preescolar en CDI, CEDI y CAIC en 2024</v>
      </c>
      <c r="H44" s="107" t="str">
        <f ca="1">IFERROR(__xludf.DUMMYFUNCTION("""COMPUTED_VALUE"""),"AM MARZO")</f>
        <v>AM MARZO</v>
      </c>
      <c r="I44" s="107" t="str">
        <f ca="1">IFERROR(__xludf.DUMMYFUNCTION("""COMPUTED_VALUE"""),"Marzo")</f>
        <v>Marzo</v>
      </c>
      <c r="J44" s="107" t="str">
        <f ca="1">IFERROR(__xludf.DUMMYFUNCTION("""COMPUTED_VALUE"""),"AM")</f>
        <v>AM</v>
      </c>
      <c r="K44" s="40"/>
      <c r="L44" s="107" t="str">
        <f ca="1">IFERROR(__xludf.DUMMYFUNCTION("""COMPUTED_VALUE"""),"TRIMESTRE 1")</f>
        <v>TRIMESTRE 1</v>
      </c>
      <c r="M44" s="107" t="str">
        <f ca="1">IFERROR(__xludf.DUMMYFUNCTION("""COMPUTED_VALUE"""),"ADOLESCENTES MUJERES")</f>
        <v>ADOLESCENTES MUJERES</v>
      </c>
    </row>
    <row r="45" spans="1:13">
      <c r="A45" s="107" t="str">
        <f ca="1">IFERROR(__xludf.DUMMYFUNCTION("""COMPUTED_VALUE"""),"5.1.1.1")</f>
        <v>5.1.1.1</v>
      </c>
      <c r="B45" s="107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45" s="107" t="str">
        <f ca="1">IFERROR(__xludf.DUMMYFUNCTION("""COMPUTED_VALUE"""),"3. Operación")</f>
        <v>3. Operación</v>
      </c>
      <c r="D45" s="107" t="str">
        <f ca="1">IFERROR(__xludf.DUMMYFUNCTION("""COMPUTED_VALUE"""),"Guadalajara bien educada")</f>
        <v>Guadalajara bien educada</v>
      </c>
      <c r="E45" s="107" t="str">
        <f ca="1">IFERROR(__xludf.DUMMYFUNCTION("""COMPUTED_VALUE"""),"Atención en Centros de Desarrollo Infantil")</f>
        <v>Atención en Centros de Desarrollo Infantil</v>
      </c>
      <c r="F45" s="107" t="str">
        <f ca="1">IFERROR(__xludf.DUMMYFUNCTION("""COMPUTED_VALUE"""),"A1C1. Procesos de formación brindados en CDI, CEDI y CAIC de educación inicial y preescolar ")</f>
        <v xml:space="preserve">A1C1. Procesos de formación brindados en CDI, CEDI y CAIC de educación inicial y preescolar </v>
      </c>
      <c r="G45" s="107" t="str">
        <f ca="1">IFERROR(__xludf.DUMMYFUNCTION("""COMPUTED_VALUE"""),"Porcentaje de Niñas y Niños que reciben educación inicial y preescolar en CDI, CEDI y CAIC en 2024")</f>
        <v>Porcentaje de Niñas y Niños que reciben educación inicial y preescolar en CDI, CEDI y CAIC en 2024</v>
      </c>
      <c r="H45" s="107" t="str">
        <f ca="1">IFERROR(__xludf.DUMMYFUNCTION("""COMPUTED_VALUE"""),"AH MARZO")</f>
        <v>AH MARZO</v>
      </c>
      <c r="I45" s="107" t="str">
        <f ca="1">IFERROR(__xludf.DUMMYFUNCTION("""COMPUTED_VALUE"""),"Marzo")</f>
        <v>Marzo</v>
      </c>
      <c r="J45" s="107" t="str">
        <f ca="1">IFERROR(__xludf.DUMMYFUNCTION("""COMPUTED_VALUE"""),"AH")</f>
        <v>AH</v>
      </c>
      <c r="K45" s="40"/>
      <c r="L45" s="107" t="str">
        <f ca="1">IFERROR(__xludf.DUMMYFUNCTION("""COMPUTED_VALUE"""),"TRIMESTRE 1")</f>
        <v>TRIMESTRE 1</v>
      </c>
      <c r="M45" s="107" t="str">
        <f ca="1">IFERROR(__xludf.DUMMYFUNCTION("""COMPUTED_VALUE"""),"ADOLESCENTES HOMBRES")</f>
        <v>ADOLESCENTES HOMBRES</v>
      </c>
    </row>
    <row r="46" spans="1:13">
      <c r="A46" s="107" t="str">
        <f ca="1">IFERROR(__xludf.DUMMYFUNCTION("""COMPUTED_VALUE"""),"5.1.1.1")</f>
        <v>5.1.1.1</v>
      </c>
      <c r="B46" s="107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46" s="107" t="str">
        <f ca="1">IFERROR(__xludf.DUMMYFUNCTION("""COMPUTED_VALUE"""),"3. Operación")</f>
        <v>3. Operación</v>
      </c>
      <c r="D46" s="107" t="str">
        <f ca="1">IFERROR(__xludf.DUMMYFUNCTION("""COMPUTED_VALUE"""),"Guadalajara bien educada")</f>
        <v>Guadalajara bien educada</v>
      </c>
      <c r="E46" s="107" t="str">
        <f ca="1">IFERROR(__xludf.DUMMYFUNCTION("""COMPUTED_VALUE"""),"Atención en Centros de Desarrollo Infantil")</f>
        <v>Atención en Centros de Desarrollo Infantil</v>
      </c>
      <c r="F46" s="107" t="str">
        <f ca="1">IFERROR(__xludf.DUMMYFUNCTION("""COMPUTED_VALUE"""),"A1C1. Procesos de formación brindados en CDI, CEDI y CAIC de educación inicial y preescolar ")</f>
        <v xml:space="preserve">A1C1. Procesos de formación brindados en CDI, CEDI y CAIC de educación inicial y preescolar </v>
      </c>
      <c r="G46" s="107" t="str">
        <f ca="1">IFERROR(__xludf.DUMMYFUNCTION("""COMPUTED_VALUE"""),"Porcentaje de Niñas y Niños que reciben educación inicial y preescolar en CDI, CEDI y CAIC en 2024")</f>
        <v>Porcentaje de Niñas y Niños que reciben educación inicial y preescolar en CDI, CEDI y CAIC en 2024</v>
      </c>
      <c r="H46" s="107" t="str">
        <f ca="1">IFERROR(__xludf.DUMMYFUNCTION("""COMPUTED_VALUE"""),"MUJ MARZO")</f>
        <v>MUJ MARZO</v>
      </c>
      <c r="I46" s="107" t="str">
        <f ca="1">IFERROR(__xludf.DUMMYFUNCTION("""COMPUTED_VALUE"""),"Marzo")</f>
        <v>Marzo</v>
      </c>
      <c r="J46" s="107" t="str">
        <f ca="1">IFERROR(__xludf.DUMMYFUNCTION("""COMPUTED_VALUE"""),"MUJ")</f>
        <v>MUJ</v>
      </c>
      <c r="K46" s="40"/>
      <c r="L46" s="107" t="str">
        <f ca="1">IFERROR(__xludf.DUMMYFUNCTION("""COMPUTED_VALUE"""),"TRIMESTRE 1")</f>
        <v>TRIMESTRE 1</v>
      </c>
      <c r="M46" s="107" t="str">
        <f ca="1">IFERROR(__xludf.DUMMYFUNCTION("""COMPUTED_VALUE"""),"MUJERES ADULTAS")</f>
        <v>MUJERES ADULTAS</v>
      </c>
    </row>
    <row r="47" spans="1:13">
      <c r="A47" s="107" t="str">
        <f ca="1">IFERROR(__xludf.DUMMYFUNCTION("""COMPUTED_VALUE"""),"5.1.1.1")</f>
        <v>5.1.1.1</v>
      </c>
      <c r="B47" s="107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47" s="107" t="str">
        <f ca="1">IFERROR(__xludf.DUMMYFUNCTION("""COMPUTED_VALUE"""),"3. Operación")</f>
        <v>3. Operación</v>
      </c>
      <c r="D47" s="107" t="str">
        <f ca="1">IFERROR(__xludf.DUMMYFUNCTION("""COMPUTED_VALUE"""),"Guadalajara bien educada")</f>
        <v>Guadalajara bien educada</v>
      </c>
      <c r="E47" s="107" t="str">
        <f ca="1">IFERROR(__xludf.DUMMYFUNCTION("""COMPUTED_VALUE"""),"Atención en Centros de Desarrollo Infantil")</f>
        <v>Atención en Centros de Desarrollo Infantil</v>
      </c>
      <c r="F47" s="107" t="str">
        <f ca="1">IFERROR(__xludf.DUMMYFUNCTION("""COMPUTED_VALUE"""),"A1C1. Procesos de formación brindados en CDI, CEDI y CAIC de educación inicial y preescolar ")</f>
        <v xml:space="preserve">A1C1. Procesos de formación brindados en CDI, CEDI y CAIC de educación inicial y preescolar </v>
      </c>
      <c r="G47" s="107" t="str">
        <f ca="1">IFERROR(__xludf.DUMMYFUNCTION("""COMPUTED_VALUE"""),"Porcentaje de Niñas y Niños que reciben educación inicial y preescolar en CDI, CEDI y CAIC en 2024")</f>
        <v>Porcentaje de Niñas y Niños que reciben educación inicial y preescolar en CDI, CEDI y CAIC en 2024</v>
      </c>
      <c r="H47" s="107" t="str">
        <f ca="1">IFERROR(__xludf.DUMMYFUNCTION("""COMPUTED_VALUE"""),"HOM MARZO")</f>
        <v>HOM MARZO</v>
      </c>
      <c r="I47" s="107" t="str">
        <f ca="1">IFERROR(__xludf.DUMMYFUNCTION("""COMPUTED_VALUE"""),"Marzo")</f>
        <v>Marzo</v>
      </c>
      <c r="J47" s="107" t="str">
        <f ca="1">IFERROR(__xludf.DUMMYFUNCTION("""COMPUTED_VALUE"""),"HOM")</f>
        <v>HOM</v>
      </c>
      <c r="K47" s="40"/>
      <c r="L47" s="107" t="str">
        <f ca="1">IFERROR(__xludf.DUMMYFUNCTION("""COMPUTED_VALUE"""),"TRIMESTRE 1")</f>
        <v>TRIMESTRE 1</v>
      </c>
      <c r="M47" s="107" t="str">
        <f ca="1">IFERROR(__xludf.DUMMYFUNCTION("""COMPUTED_VALUE"""),"HOMBRES ADULTOS")</f>
        <v>HOMBRES ADULTOS</v>
      </c>
    </row>
    <row r="48" spans="1:13">
      <c r="A48" s="107" t="str">
        <f ca="1">IFERROR(__xludf.DUMMYFUNCTION("""COMPUTED_VALUE"""),"5.1.1.1")</f>
        <v>5.1.1.1</v>
      </c>
      <c r="B48" s="107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48" s="107" t="str">
        <f ca="1">IFERROR(__xludf.DUMMYFUNCTION("""COMPUTED_VALUE"""),"3. Operación")</f>
        <v>3. Operación</v>
      </c>
      <c r="D48" s="107" t="str">
        <f ca="1">IFERROR(__xludf.DUMMYFUNCTION("""COMPUTED_VALUE"""),"Guadalajara bien educada")</f>
        <v>Guadalajara bien educada</v>
      </c>
      <c r="E48" s="107" t="str">
        <f ca="1">IFERROR(__xludf.DUMMYFUNCTION("""COMPUTED_VALUE"""),"Atención en Centros de Desarrollo Infantil")</f>
        <v>Atención en Centros de Desarrollo Infantil</v>
      </c>
      <c r="F48" s="107" t="str">
        <f ca="1">IFERROR(__xludf.DUMMYFUNCTION("""COMPUTED_VALUE"""),"A1C1. Procesos de formación brindados en CDI, CEDI y CAIC de educación inicial y preescolar ")</f>
        <v xml:space="preserve">A1C1. Procesos de formación brindados en CDI, CEDI y CAIC de educación inicial y preescolar </v>
      </c>
      <c r="G48" s="107" t="str">
        <f ca="1">IFERROR(__xludf.DUMMYFUNCTION("""COMPUTED_VALUE"""),"Porcentaje de Niñas y Niños que reciben educación inicial y preescolar en CDI, CEDI y CAIC en 2024")</f>
        <v>Porcentaje de Niñas y Niños que reciben educación inicial y preescolar en CDI, CEDI y CAIC en 2024</v>
      </c>
      <c r="H48" s="107" t="str">
        <f ca="1">IFERROR(__xludf.DUMMYFUNCTION("""COMPUTED_VALUE"""),"AMM MARZO")</f>
        <v>AMM MARZO</v>
      </c>
      <c r="I48" s="107" t="str">
        <f ca="1">IFERROR(__xludf.DUMMYFUNCTION("""COMPUTED_VALUE"""),"Marzo")</f>
        <v>Marzo</v>
      </c>
      <c r="J48" s="107" t="str">
        <f ca="1">IFERROR(__xludf.DUMMYFUNCTION("""COMPUTED_VALUE"""),"AMM")</f>
        <v>AMM</v>
      </c>
      <c r="K48" s="40"/>
      <c r="L48" s="107" t="str">
        <f ca="1">IFERROR(__xludf.DUMMYFUNCTION("""COMPUTED_VALUE"""),"TRIMESTRE 1")</f>
        <v>TRIMESTRE 1</v>
      </c>
      <c r="M48" s="107" t="str">
        <f ca="1">IFERROR(__xludf.DUMMYFUNCTION("""COMPUTED_VALUE"""),"ADULTA MAYOR MUJER")</f>
        <v>ADULTA MAYOR MUJER</v>
      </c>
    </row>
    <row r="49" spans="1:13">
      <c r="A49" s="107" t="str">
        <f ca="1">IFERROR(__xludf.DUMMYFUNCTION("""COMPUTED_VALUE"""),"5.1.1.1")</f>
        <v>5.1.1.1</v>
      </c>
      <c r="B49" s="107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49" s="107" t="str">
        <f ca="1">IFERROR(__xludf.DUMMYFUNCTION("""COMPUTED_VALUE"""),"3. Operación")</f>
        <v>3. Operación</v>
      </c>
      <c r="D49" s="107" t="str">
        <f ca="1">IFERROR(__xludf.DUMMYFUNCTION("""COMPUTED_VALUE"""),"Guadalajara bien educada")</f>
        <v>Guadalajara bien educada</v>
      </c>
      <c r="E49" s="107" t="str">
        <f ca="1">IFERROR(__xludf.DUMMYFUNCTION("""COMPUTED_VALUE"""),"Atención en Centros de Desarrollo Infantil")</f>
        <v>Atención en Centros de Desarrollo Infantil</v>
      </c>
      <c r="F49" s="107" t="str">
        <f ca="1">IFERROR(__xludf.DUMMYFUNCTION("""COMPUTED_VALUE"""),"A1C1. Procesos de formación brindados en CDI, CEDI y CAIC de educación inicial y preescolar ")</f>
        <v xml:space="preserve">A1C1. Procesos de formación brindados en CDI, CEDI y CAIC de educación inicial y preescolar </v>
      </c>
      <c r="G49" s="107" t="str">
        <f ca="1">IFERROR(__xludf.DUMMYFUNCTION("""COMPUTED_VALUE"""),"Porcentaje de Niñas y Niños que reciben educación inicial y preescolar en CDI, CEDI y CAIC en 2024")</f>
        <v>Porcentaje de Niñas y Niños que reciben educación inicial y preescolar en CDI, CEDI y CAIC en 2024</v>
      </c>
      <c r="H49" s="107" t="str">
        <f ca="1">IFERROR(__xludf.DUMMYFUNCTION("""COMPUTED_VALUE"""),"AMH MARZO")</f>
        <v>AMH MARZO</v>
      </c>
      <c r="I49" s="107" t="str">
        <f ca="1">IFERROR(__xludf.DUMMYFUNCTION("""COMPUTED_VALUE"""),"Marzo")</f>
        <v>Marzo</v>
      </c>
      <c r="J49" s="107" t="str">
        <f ca="1">IFERROR(__xludf.DUMMYFUNCTION("""COMPUTED_VALUE"""),"AMH")</f>
        <v>AMH</v>
      </c>
      <c r="K49" s="40"/>
      <c r="L49" s="107" t="str">
        <f ca="1">IFERROR(__xludf.DUMMYFUNCTION("""COMPUTED_VALUE"""),"TRIMESTRE 1")</f>
        <v>TRIMESTRE 1</v>
      </c>
      <c r="M49" s="107" t="str">
        <f ca="1">IFERROR(__xludf.DUMMYFUNCTION("""COMPUTED_VALUE"""),"ADULTO MAYOR HOMBRE")</f>
        <v>ADULTO MAYOR HOMBRE</v>
      </c>
    </row>
    <row r="50" spans="1:13">
      <c r="A50" s="107" t="str">
        <f ca="1">IFERROR(__xludf.DUMMYFUNCTION("""COMPUTED_VALUE"""),"5.1.1.0")</f>
        <v>5.1.1.0</v>
      </c>
      <c r="B50" s="107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50" s="107" t="str">
        <f ca="1">IFERROR(__xludf.DUMMYFUNCTION("""COMPUTED_VALUE"""),"3. Operación")</f>
        <v>3. Operación</v>
      </c>
      <c r="D50" s="107" t="str">
        <f ca="1">IFERROR(__xludf.DUMMYFUNCTION("""COMPUTED_VALUE"""),"Guadalajara bien educada")</f>
        <v>Guadalajara bien educada</v>
      </c>
      <c r="E50" s="107" t="str">
        <f ca="1">IFERROR(__xludf.DUMMYFUNCTION("""COMPUTED_VALUE"""),"Atención en Centros de Desarrollo Infantil")</f>
        <v>Atención en Centros de Desarrollo Infantil</v>
      </c>
      <c r="F50" s="107" t="str">
        <f ca="1">IFERROR(__xludf.DUMMYFUNCTION("""COMPUTED_VALUE"""),"C1. Servicio de educación inicial y preescolar para niñas y niños en condición de vulnerabilidad económica brindados en CDI, CEDI y CAIC ")</f>
        <v xml:space="preserve">C1. Servicio de educación inicial y preescolar para niñas y niños en condición de vulnerabilidad económica brindados en CDI, CEDI y CAIC </v>
      </c>
      <c r="G50" s="107" t="str">
        <f ca="1">IFERROR(__xludf.DUMMYFUNCTION("""COMPUTED_VALUE"""),"Porcentaje de demanda cubierta sobre servicios de atención educativa y asistencial para niñas y niños en condición de vulnerabilidad económica en 2024")</f>
        <v>Porcentaje de demanda cubierta sobre servicios de atención educativa y asistencial para niñas y niños en condición de vulnerabilidad económica en 2024</v>
      </c>
      <c r="H50" s="107" t="str">
        <f ca="1">IFERROR(__xludf.DUMMYFUNCTION("""COMPUTED_VALUE"""),"NAS ABRIL")</f>
        <v>NAS ABRIL</v>
      </c>
      <c r="I50" s="107" t="str">
        <f ca="1">IFERROR(__xludf.DUMMYFUNCTION("""COMPUTED_VALUE"""),"Abril")</f>
        <v>Abril</v>
      </c>
      <c r="J50" s="107" t="str">
        <f ca="1">IFERROR(__xludf.DUMMYFUNCTION("""COMPUTED_VALUE"""),"NAS")</f>
        <v>NAS</v>
      </c>
      <c r="K50" s="40">
        <f ca="1">IFERROR(__xludf.DUMMYFUNCTION("""COMPUTED_VALUE"""),7)</f>
        <v>7</v>
      </c>
      <c r="L50" s="107" t="str">
        <f ca="1">IFERROR(__xludf.DUMMYFUNCTION("""COMPUTED_VALUE"""),"TRIMESTRE 2")</f>
        <v>TRIMESTRE 2</v>
      </c>
      <c r="M50" s="107" t="str">
        <f ca="1">IFERROR(__xludf.DUMMYFUNCTION("""COMPUTED_VALUE"""),"NIÑAS")</f>
        <v>NIÑAS</v>
      </c>
    </row>
    <row r="51" spans="1:13">
      <c r="A51" s="107" t="str">
        <f ca="1">IFERROR(__xludf.DUMMYFUNCTION("""COMPUTED_VALUE"""),"5.1.1.0")</f>
        <v>5.1.1.0</v>
      </c>
      <c r="B51" s="107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51" s="107" t="str">
        <f ca="1">IFERROR(__xludf.DUMMYFUNCTION("""COMPUTED_VALUE"""),"3. Operación")</f>
        <v>3. Operación</v>
      </c>
      <c r="D51" s="107" t="str">
        <f ca="1">IFERROR(__xludf.DUMMYFUNCTION("""COMPUTED_VALUE"""),"Guadalajara bien educada")</f>
        <v>Guadalajara bien educada</v>
      </c>
      <c r="E51" s="107" t="str">
        <f ca="1">IFERROR(__xludf.DUMMYFUNCTION("""COMPUTED_VALUE"""),"Atención en Centros de Desarrollo Infantil")</f>
        <v>Atención en Centros de Desarrollo Infantil</v>
      </c>
      <c r="F51" s="107" t="str">
        <f ca="1">IFERROR(__xludf.DUMMYFUNCTION("""COMPUTED_VALUE"""),"C1. Servicio de educación inicial y preescolar para niñas y niños en condición de vulnerabilidad económica brindados en CDI, CEDI y CAIC ")</f>
        <v xml:space="preserve">C1. Servicio de educación inicial y preescolar para niñas y niños en condición de vulnerabilidad económica brindados en CDI, CEDI y CAIC </v>
      </c>
      <c r="G51" s="107" t="str">
        <f ca="1">IFERROR(__xludf.DUMMYFUNCTION("""COMPUTED_VALUE"""),"Porcentaje de demanda cubierta sobre servicios de atención educativa y asistencial para niñas y niños en condición de vulnerabilidad económica en 2024")</f>
        <v>Porcentaje de demanda cubierta sobre servicios de atención educativa y asistencial para niñas y niños en condición de vulnerabilidad económica en 2024</v>
      </c>
      <c r="H51" s="107" t="str">
        <f ca="1">IFERROR(__xludf.DUMMYFUNCTION("""COMPUTED_VALUE"""),"NOS ABRIL")</f>
        <v>NOS ABRIL</v>
      </c>
      <c r="I51" s="107" t="str">
        <f ca="1">IFERROR(__xludf.DUMMYFUNCTION("""COMPUTED_VALUE"""),"Abril")</f>
        <v>Abril</v>
      </c>
      <c r="J51" s="107" t="str">
        <f ca="1">IFERROR(__xludf.DUMMYFUNCTION("""COMPUTED_VALUE"""),"NOS")</f>
        <v>NOS</v>
      </c>
      <c r="K51" s="40">
        <f ca="1">IFERROR(__xludf.DUMMYFUNCTION("""COMPUTED_VALUE"""),13)</f>
        <v>13</v>
      </c>
      <c r="L51" s="107" t="str">
        <f ca="1">IFERROR(__xludf.DUMMYFUNCTION("""COMPUTED_VALUE"""),"TRIMESTRE 2")</f>
        <v>TRIMESTRE 2</v>
      </c>
      <c r="M51" s="107" t="str">
        <f ca="1">IFERROR(__xludf.DUMMYFUNCTION("""COMPUTED_VALUE"""),"NIÑOS")</f>
        <v>NIÑOS</v>
      </c>
    </row>
    <row r="52" spans="1:13">
      <c r="A52" s="107" t="str">
        <f ca="1">IFERROR(__xludf.DUMMYFUNCTION("""COMPUTED_VALUE"""),"5.1.1.0")</f>
        <v>5.1.1.0</v>
      </c>
      <c r="B52" s="107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52" s="107" t="str">
        <f ca="1">IFERROR(__xludf.DUMMYFUNCTION("""COMPUTED_VALUE"""),"3. Operación")</f>
        <v>3. Operación</v>
      </c>
      <c r="D52" s="107" t="str">
        <f ca="1">IFERROR(__xludf.DUMMYFUNCTION("""COMPUTED_VALUE"""),"Guadalajara bien educada")</f>
        <v>Guadalajara bien educada</v>
      </c>
      <c r="E52" s="107" t="str">
        <f ca="1">IFERROR(__xludf.DUMMYFUNCTION("""COMPUTED_VALUE"""),"Atención en Centros de Desarrollo Infantil")</f>
        <v>Atención en Centros de Desarrollo Infantil</v>
      </c>
      <c r="F52" s="107" t="str">
        <f ca="1">IFERROR(__xludf.DUMMYFUNCTION("""COMPUTED_VALUE"""),"C1. Servicio de educación inicial y preescolar para niñas y niños en condición de vulnerabilidad económica brindados en CDI, CEDI y CAIC ")</f>
        <v xml:space="preserve">C1. Servicio de educación inicial y preescolar para niñas y niños en condición de vulnerabilidad económica brindados en CDI, CEDI y CAIC </v>
      </c>
      <c r="G52" s="107" t="str">
        <f ca="1">IFERROR(__xludf.DUMMYFUNCTION("""COMPUTED_VALUE"""),"Porcentaje de demanda cubierta sobre servicios de atención educativa y asistencial para niñas y niños en condición de vulnerabilidad económica en 2024")</f>
        <v>Porcentaje de demanda cubierta sobre servicios de atención educativa y asistencial para niñas y niños en condición de vulnerabilidad económica en 2024</v>
      </c>
      <c r="H52" s="107" t="str">
        <f ca="1">IFERROR(__xludf.DUMMYFUNCTION("""COMPUTED_VALUE"""),"AM ABRIL")</f>
        <v>AM ABRIL</v>
      </c>
      <c r="I52" s="107" t="str">
        <f ca="1">IFERROR(__xludf.DUMMYFUNCTION("""COMPUTED_VALUE"""),"Abril")</f>
        <v>Abril</v>
      </c>
      <c r="J52" s="107" t="str">
        <f ca="1">IFERROR(__xludf.DUMMYFUNCTION("""COMPUTED_VALUE"""),"AM")</f>
        <v>AM</v>
      </c>
      <c r="K52" s="40"/>
      <c r="L52" s="107" t="str">
        <f ca="1">IFERROR(__xludf.DUMMYFUNCTION("""COMPUTED_VALUE"""),"TRIMESTRE 2")</f>
        <v>TRIMESTRE 2</v>
      </c>
      <c r="M52" s="107" t="str">
        <f ca="1">IFERROR(__xludf.DUMMYFUNCTION("""COMPUTED_VALUE"""),"ADOLESCENTES MUJERES")</f>
        <v>ADOLESCENTES MUJERES</v>
      </c>
    </row>
    <row r="53" spans="1:13">
      <c r="A53" s="107" t="str">
        <f ca="1">IFERROR(__xludf.DUMMYFUNCTION("""COMPUTED_VALUE"""),"5.1.1.0")</f>
        <v>5.1.1.0</v>
      </c>
      <c r="B53" s="107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53" s="107" t="str">
        <f ca="1">IFERROR(__xludf.DUMMYFUNCTION("""COMPUTED_VALUE"""),"3. Operación")</f>
        <v>3. Operación</v>
      </c>
      <c r="D53" s="107" t="str">
        <f ca="1">IFERROR(__xludf.DUMMYFUNCTION("""COMPUTED_VALUE"""),"Guadalajara bien educada")</f>
        <v>Guadalajara bien educada</v>
      </c>
      <c r="E53" s="107" t="str">
        <f ca="1">IFERROR(__xludf.DUMMYFUNCTION("""COMPUTED_VALUE"""),"Atención en Centros de Desarrollo Infantil")</f>
        <v>Atención en Centros de Desarrollo Infantil</v>
      </c>
      <c r="F53" s="107" t="str">
        <f ca="1">IFERROR(__xludf.DUMMYFUNCTION("""COMPUTED_VALUE"""),"C1. Servicio de educación inicial y preescolar para niñas y niños en condición de vulnerabilidad económica brindados en CDI, CEDI y CAIC ")</f>
        <v xml:space="preserve">C1. Servicio de educación inicial y preescolar para niñas y niños en condición de vulnerabilidad económica brindados en CDI, CEDI y CAIC </v>
      </c>
      <c r="G53" s="107" t="str">
        <f ca="1">IFERROR(__xludf.DUMMYFUNCTION("""COMPUTED_VALUE"""),"Porcentaje de demanda cubierta sobre servicios de atención educativa y asistencial para niñas y niños en condición de vulnerabilidad económica en 2024")</f>
        <v>Porcentaje de demanda cubierta sobre servicios de atención educativa y asistencial para niñas y niños en condición de vulnerabilidad económica en 2024</v>
      </c>
      <c r="H53" s="107" t="str">
        <f ca="1">IFERROR(__xludf.DUMMYFUNCTION("""COMPUTED_VALUE"""),"AH ABRIL")</f>
        <v>AH ABRIL</v>
      </c>
      <c r="I53" s="107" t="str">
        <f ca="1">IFERROR(__xludf.DUMMYFUNCTION("""COMPUTED_VALUE"""),"Abril")</f>
        <v>Abril</v>
      </c>
      <c r="J53" s="107" t="str">
        <f ca="1">IFERROR(__xludf.DUMMYFUNCTION("""COMPUTED_VALUE"""),"AH")</f>
        <v>AH</v>
      </c>
      <c r="K53" s="40"/>
      <c r="L53" s="107" t="str">
        <f ca="1">IFERROR(__xludf.DUMMYFUNCTION("""COMPUTED_VALUE"""),"TRIMESTRE 2")</f>
        <v>TRIMESTRE 2</v>
      </c>
      <c r="M53" s="107" t="str">
        <f ca="1">IFERROR(__xludf.DUMMYFUNCTION("""COMPUTED_VALUE"""),"ADOLESCENTES HOMBRES")</f>
        <v>ADOLESCENTES HOMBRES</v>
      </c>
    </row>
    <row r="54" spans="1:13">
      <c r="A54" s="107" t="str">
        <f ca="1">IFERROR(__xludf.DUMMYFUNCTION("""COMPUTED_VALUE"""),"5.1.1.0")</f>
        <v>5.1.1.0</v>
      </c>
      <c r="B54" s="107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54" s="107" t="str">
        <f ca="1">IFERROR(__xludf.DUMMYFUNCTION("""COMPUTED_VALUE"""),"3. Operación")</f>
        <v>3. Operación</v>
      </c>
      <c r="D54" s="107" t="str">
        <f ca="1">IFERROR(__xludf.DUMMYFUNCTION("""COMPUTED_VALUE"""),"Guadalajara bien educada")</f>
        <v>Guadalajara bien educada</v>
      </c>
      <c r="E54" s="107" t="str">
        <f ca="1">IFERROR(__xludf.DUMMYFUNCTION("""COMPUTED_VALUE"""),"Atención en Centros de Desarrollo Infantil")</f>
        <v>Atención en Centros de Desarrollo Infantil</v>
      </c>
      <c r="F54" s="107" t="str">
        <f ca="1">IFERROR(__xludf.DUMMYFUNCTION("""COMPUTED_VALUE"""),"C1. Servicio de educación inicial y preescolar para niñas y niños en condición de vulnerabilidad económica brindados en CDI, CEDI y CAIC ")</f>
        <v xml:space="preserve">C1. Servicio de educación inicial y preescolar para niñas y niños en condición de vulnerabilidad económica brindados en CDI, CEDI y CAIC </v>
      </c>
      <c r="G54" s="107" t="str">
        <f ca="1">IFERROR(__xludf.DUMMYFUNCTION("""COMPUTED_VALUE"""),"Porcentaje de demanda cubierta sobre servicios de atención educativa y asistencial para niñas y niños en condición de vulnerabilidad económica en 2024")</f>
        <v>Porcentaje de demanda cubierta sobre servicios de atención educativa y asistencial para niñas y niños en condición de vulnerabilidad económica en 2024</v>
      </c>
      <c r="H54" s="107" t="str">
        <f ca="1">IFERROR(__xludf.DUMMYFUNCTION("""COMPUTED_VALUE"""),"MUJ ABRIL")</f>
        <v>MUJ ABRIL</v>
      </c>
      <c r="I54" s="107" t="str">
        <f ca="1">IFERROR(__xludf.DUMMYFUNCTION("""COMPUTED_VALUE"""),"Abril")</f>
        <v>Abril</v>
      </c>
      <c r="J54" s="107" t="str">
        <f ca="1">IFERROR(__xludf.DUMMYFUNCTION("""COMPUTED_VALUE"""),"MUJ")</f>
        <v>MUJ</v>
      </c>
      <c r="K54" s="40"/>
      <c r="L54" s="107" t="str">
        <f ca="1">IFERROR(__xludf.DUMMYFUNCTION("""COMPUTED_VALUE"""),"TRIMESTRE 2")</f>
        <v>TRIMESTRE 2</v>
      </c>
      <c r="M54" s="107" t="str">
        <f ca="1">IFERROR(__xludf.DUMMYFUNCTION("""COMPUTED_VALUE"""),"MUJERES ADULTAS")</f>
        <v>MUJERES ADULTAS</v>
      </c>
    </row>
    <row r="55" spans="1:13">
      <c r="A55" s="107" t="str">
        <f ca="1">IFERROR(__xludf.DUMMYFUNCTION("""COMPUTED_VALUE"""),"5.1.1.0")</f>
        <v>5.1.1.0</v>
      </c>
      <c r="B55" s="107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55" s="107" t="str">
        <f ca="1">IFERROR(__xludf.DUMMYFUNCTION("""COMPUTED_VALUE"""),"3. Operación")</f>
        <v>3. Operación</v>
      </c>
      <c r="D55" s="107" t="str">
        <f ca="1">IFERROR(__xludf.DUMMYFUNCTION("""COMPUTED_VALUE"""),"Guadalajara bien educada")</f>
        <v>Guadalajara bien educada</v>
      </c>
      <c r="E55" s="107" t="str">
        <f ca="1">IFERROR(__xludf.DUMMYFUNCTION("""COMPUTED_VALUE"""),"Atención en Centros de Desarrollo Infantil")</f>
        <v>Atención en Centros de Desarrollo Infantil</v>
      </c>
      <c r="F55" s="107" t="str">
        <f ca="1">IFERROR(__xludf.DUMMYFUNCTION("""COMPUTED_VALUE"""),"C1. Servicio de educación inicial y preescolar para niñas y niños en condición de vulnerabilidad económica brindados en CDI, CEDI y CAIC ")</f>
        <v xml:space="preserve">C1. Servicio de educación inicial y preescolar para niñas y niños en condición de vulnerabilidad económica brindados en CDI, CEDI y CAIC </v>
      </c>
      <c r="G55" s="107" t="str">
        <f ca="1">IFERROR(__xludf.DUMMYFUNCTION("""COMPUTED_VALUE"""),"Porcentaje de demanda cubierta sobre servicios de atención educativa y asistencial para niñas y niños en condición de vulnerabilidad económica en 2024")</f>
        <v>Porcentaje de demanda cubierta sobre servicios de atención educativa y asistencial para niñas y niños en condición de vulnerabilidad económica en 2024</v>
      </c>
      <c r="H55" s="107" t="str">
        <f ca="1">IFERROR(__xludf.DUMMYFUNCTION("""COMPUTED_VALUE"""),"HOM ABRIL")</f>
        <v>HOM ABRIL</v>
      </c>
      <c r="I55" s="107" t="str">
        <f ca="1">IFERROR(__xludf.DUMMYFUNCTION("""COMPUTED_VALUE"""),"Abril")</f>
        <v>Abril</v>
      </c>
      <c r="J55" s="107" t="str">
        <f ca="1">IFERROR(__xludf.DUMMYFUNCTION("""COMPUTED_VALUE"""),"HOM")</f>
        <v>HOM</v>
      </c>
      <c r="K55" s="40"/>
      <c r="L55" s="107" t="str">
        <f ca="1">IFERROR(__xludf.DUMMYFUNCTION("""COMPUTED_VALUE"""),"TRIMESTRE 2")</f>
        <v>TRIMESTRE 2</v>
      </c>
      <c r="M55" s="107" t="str">
        <f ca="1">IFERROR(__xludf.DUMMYFUNCTION("""COMPUTED_VALUE"""),"HOMBRES ADULTOS")</f>
        <v>HOMBRES ADULTOS</v>
      </c>
    </row>
    <row r="56" spans="1:13">
      <c r="A56" s="107" t="str">
        <f ca="1">IFERROR(__xludf.DUMMYFUNCTION("""COMPUTED_VALUE"""),"5.1.1.0")</f>
        <v>5.1.1.0</v>
      </c>
      <c r="B56" s="107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56" s="107" t="str">
        <f ca="1">IFERROR(__xludf.DUMMYFUNCTION("""COMPUTED_VALUE"""),"3. Operación")</f>
        <v>3. Operación</v>
      </c>
      <c r="D56" s="107" t="str">
        <f ca="1">IFERROR(__xludf.DUMMYFUNCTION("""COMPUTED_VALUE"""),"Guadalajara bien educada")</f>
        <v>Guadalajara bien educada</v>
      </c>
      <c r="E56" s="107" t="str">
        <f ca="1">IFERROR(__xludf.DUMMYFUNCTION("""COMPUTED_VALUE"""),"Atención en Centros de Desarrollo Infantil")</f>
        <v>Atención en Centros de Desarrollo Infantil</v>
      </c>
      <c r="F56" s="107" t="str">
        <f ca="1">IFERROR(__xludf.DUMMYFUNCTION("""COMPUTED_VALUE"""),"C1. Servicio de educación inicial y preescolar para niñas y niños en condición de vulnerabilidad económica brindados en CDI, CEDI y CAIC ")</f>
        <v xml:space="preserve">C1. Servicio de educación inicial y preescolar para niñas y niños en condición de vulnerabilidad económica brindados en CDI, CEDI y CAIC </v>
      </c>
      <c r="G56" s="107" t="str">
        <f ca="1">IFERROR(__xludf.DUMMYFUNCTION("""COMPUTED_VALUE"""),"Porcentaje de demanda cubierta sobre servicios de atención educativa y asistencial para niñas y niños en condición de vulnerabilidad económica en 2024")</f>
        <v>Porcentaje de demanda cubierta sobre servicios de atención educativa y asistencial para niñas y niños en condición de vulnerabilidad económica en 2024</v>
      </c>
      <c r="H56" s="107" t="str">
        <f ca="1">IFERROR(__xludf.DUMMYFUNCTION("""COMPUTED_VALUE"""),"AMM ABRIL")</f>
        <v>AMM ABRIL</v>
      </c>
      <c r="I56" s="107" t="str">
        <f ca="1">IFERROR(__xludf.DUMMYFUNCTION("""COMPUTED_VALUE"""),"Abril")</f>
        <v>Abril</v>
      </c>
      <c r="J56" s="107" t="str">
        <f ca="1">IFERROR(__xludf.DUMMYFUNCTION("""COMPUTED_VALUE"""),"AMM")</f>
        <v>AMM</v>
      </c>
      <c r="K56" s="40"/>
      <c r="L56" s="107" t="str">
        <f ca="1">IFERROR(__xludf.DUMMYFUNCTION("""COMPUTED_VALUE"""),"TRIMESTRE 2")</f>
        <v>TRIMESTRE 2</v>
      </c>
      <c r="M56" s="107" t="str">
        <f ca="1">IFERROR(__xludf.DUMMYFUNCTION("""COMPUTED_VALUE"""),"ADULTA MAYOR MUJER")</f>
        <v>ADULTA MAYOR MUJER</v>
      </c>
    </row>
    <row r="57" spans="1:13">
      <c r="A57" s="107" t="str">
        <f ca="1">IFERROR(__xludf.DUMMYFUNCTION("""COMPUTED_VALUE"""),"5.1.1.0")</f>
        <v>5.1.1.0</v>
      </c>
      <c r="B57" s="107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57" s="107" t="str">
        <f ca="1">IFERROR(__xludf.DUMMYFUNCTION("""COMPUTED_VALUE"""),"3. Operación")</f>
        <v>3. Operación</v>
      </c>
      <c r="D57" s="107" t="str">
        <f ca="1">IFERROR(__xludf.DUMMYFUNCTION("""COMPUTED_VALUE"""),"Guadalajara bien educada")</f>
        <v>Guadalajara bien educada</v>
      </c>
      <c r="E57" s="107" t="str">
        <f ca="1">IFERROR(__xludf.DUMMYFUNCTION("""COMPUTED_VALUE"""),"Atención en Centros de Desarrollo Infantil")</f>
        <v>Atención en Centros de Desarrollo Infantil</v>
      </c>
      <c r="F57" s="107" t="str">
        <f ca="1">IFERROR(__xludf.DUMMYFUNCTION("""COMPUTED_VALUE"""),"C1. Servicio de educación inicial y preescolar para niñas y niños en condición de vulnerabilidad económica brindados en CDI, CEDI y CAIC ")</f>
        <v xml:space="preserve">C1. Servicio de educación inicial y preescolar para niñas y niños en condición de vulnerabilidad económica brindados en CDI, CEDI y CAIC </v>
      </c>
      <c r="G57" s="107" t="str">
        <f ca="1">IFERROR(__xludf.DUMMYFUNCTION("""COMPUTED_VALUE"""),"Porcentaje de demanda cubierta sobre servicios de atención educativa y asistencial para niñas y niños en condición de vulnerabilidad económica en 2024")</f>
        <v>Porcentaje de demanda cubierta sobre servicios de atención educativa y asistencial para niñas y niños en condición de vulnerabilidad económica en 2024</v>
      </c>
      <c r="H57" s="107" t="str">
        <f ca="1">IFERROR(__xludf.DUMMYFUNCTION("""COMPUTED_VALUE"""),"AMH ABRIL")</f>
        <v>AMH ABRIL</v>
      </c>
      <c r="I57" s="107" t="str">
        <f ca="1">IFERROR(__xludf.DUMMYFUNCTION("""COMPUTED_VALUE"""),"Abril")</f>
        <v>Abril</v>
      </c>
      <c r="J57" s="107" t="str">
        <f ca="1">IFERROR(__xludf.DUMMYFUNCTION("""COMPUTED_VALUE"""),"AMH")</f>
        <v>AMH</v>
      </c>
      <c r="K57" s="40"/>
      <c r="L57" s="107" t="str">
        <f ca="1">IFERROR(__xludf.DUMMYFUNCTION("""COMPUTED_VALUE"""),"TRIMESTRE 2")</f>
        <v>TRIMESTRE 2</v>
      </c>
      <c r="M57" s="107" t="str">
        <f ca="1">IFERROR(__xludf.DUMMYFUNCTION("""COMPUTED_VALUE"""),"ADULTO MAYOR HOMBRE")</f>
        <v>ADULTO MAYOR HOMBRE</v>
      </c>
    </row>
    <row r="58" spans="1:13">
      <c r="A58" s="107" t="str">
        <f ca="1">IFERROR(__xludf.DUMMYFUNCTION("""COMPUTED_VALUE"""),"5.1.1.1")</f>
        <v>5.1.1.1</v>
      </c>
      <c r="B58" s="107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58" s="107" t="str">
        <f ca="1">IFERROR(__xludf.DUMMYFUNCTION("""COMPUTED_VALUE"""),"3. Operación")</f>
        <v>3. Operación</v>
      </c>
      <c r="D58" s="107" t="str">
        <f ca="1">IFERROR(__xludf.DUMMYFUNCTION("""COMPUTED_VALUE"""),"Guadalajara bien educada")</f>
        <v>Guadalajara bien educada</v>
      </c>
      <c r="E58" s="107" t="str">
        <f ca="1">IFERROR(__xludf.DUMMYFUNCTION("""COMPUTED_VALUE"""),"Atención en Centros de Desarrollo Infantil")</f>
        <v>Atención en Centros de Desarrollo Infantil</v>
      </c>
      <c r="F58" s="107" t="str">
        <f ca="1">IFERROR(__xludf.DUMMYFUNCTION("""COMPUTED_VALUE"""),"A1C1. Procesos de formación brindados en CDI, CEDI y CAIC de educación inicial y preescolar ")</f>
        <v xml:space="preserve">A1C1. Procesos de formación brindados en CDI, CEDI y CAIC de educación inicial y preescolar </v>
      </c>
      <c r="G58" s="107" t="str">
        <f ca="1">IFERROR(__xludf.DUMMYFUNCTION("""COMPUTED_VALUE"""),"Porcentaje de Niñas y Niños que reciben educación inicial y preescolar en CDI, CEDI y CAIC en 2024")</f>
        <v>Porcentaje de Niñas y Niños que reciben educación inicial y preescolar en CDI, CEDI y CAIC en 2024</v>
      </c>
      <c r="H58" s="107" t="str">
        <f ca="1">IFERROR(__xludf.DUMMYFUNCTION("""COMPUTED_VALUE"""),"NAS ABRIL")</f>
        <v>NAS ABRIL</v>
      </c>
      <c r="I58" s="107" t="str">
        <f ca="1">IFERROR(__xludf.DUMMYFUNCTION("""COMPUTED_VALUE"""),"Abril")</f>
        <v>Abril</v>
      </c>
      <c r="J58" s="107" t="str">
        <f ca="1">IFERROR(__xludf.DUMMYFUNCTION("""COMPUTED_VALUE"""),"NAS")</f>
        <v>NAS</v>
      </c>
      <c r="K58" s="40">
        <f ca="1">IFERROR(__xludf.DUMMYFUNCTION("""COMPUTED_VALUE"""),7)</f>
        <v>7</v>
      </c>
      <c r="L58" s="107" t="str">
        <f ca="1">IFERROR(__xludf.DUMMYFUNCTION("""COMPUTED_VALUE"""),"TRIMESTRE 2")</f>
        <v>TRIMESTRE 2</v>
      </c>
      <c r="M58" s="107" t="str">
        <f ca="1">IFERROR(__xludf.DUMMYFUNCTION("""COMPUTED_VALUE"""),"NIÑAS")</f>
        <v>NIÑAS</v>
      </c>
    </row>
    <row r="59" spans="1:13">
      <c r="A59" s="107" t="str">
        <f ca="1">IFERROR(__xludf.DUMMYFUNCTION("""COMPUTED_VALUE"""),"5.1.1.1")</f>
        <v>5.1.1.1</v>
      </c>
      <c r="B59" s="107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59" s="107" t="str">
        <f ca="1">IFERROR(__xludf.DUMMYFUNCTION("""COMPUTED_VALUE"""),"3. Operación")</f>
        <v>3. Operación</v>
      </c>
      <c r="D59" s="107" t="str">
        <f ca="1">IFERROR(__xludf.DUMMYFUNCTION("""COMPUTED_VALUE"""),"Guadalajara bien educada")</f>
        <v>Guadalajara bien educada</v>
      </c>
      <c r="E59" s="107" t="str">
        <f ca="1">IFERROR(__xludf.DUMMYFUNCTION("""COMPUTED_VALUE"""),"Atención en Centros de Desarrollo Infantil")</f>
        <v>Atención en Centros de Desarrollo Infantil</v>
      </c>
      <c r="F59" s="107" t="str">
        <f ca="1">IFERROR(__xludf.DUMMYFUNCTION("""COMPUTED_VALUE"""),"A1C1. Procesos de formación brindados en CDI, CEDI y CAIC de educación inicial y preescolar ")</f>
        <v xml:space="preserve">A1C1. Procesos de formación brindados en CDI, CEDI y CAIC de educación inicial y preescolar </v>
      </c>
      <c r="G59" s="107" t="str">
        <f ca="1">IFERROR(__xludf.DUMMYFUNCTION("""COMPUTED_VALUE"""),"Porcentaje de Niñas y Niños que reciben educación inicial y preescolar en CDI, CEDI y CAIC en 2024")</f>
        <v>Porcentaje de Niñas y Niños que reciben educación inicial y preescolar en CDI, CEDI y CAIC en 2024</v>
      </c>
      <c r="H59" s="107" t="str">
        <f ca="1">IFERROR(__xludf.DUMMYFUNCTION("""COMPUTED_VALUE"""),"NOS ABRIL")</f>
        <v>NOS ABRIL</v>
      </c>
      <c r="I59" s="107" t="str">
        <f ca="1">IFERROR(__xludf.DUMMYFUNCTION("""COMPUTED_VALUE"""),"Abril")</f>
        <v>Abril</v>
      </c>
      <c r="J59" s="107" t="str">
        <f ca="1">IFERROR(__xludf.DUMMYFUNCTION("""COMPUTED_VALUE"""),"NOS")</f>
        <v>NOS</v>
      </c>
      <c r="K59" s="40">
        <f ca="1">IFERROR(__xludf.DUMMYFUNCTION("""COMPUTED_VALUE"""),13)</f>
        <v>13</v>
      </c>
      <c r="L59" s="107" t="str">
        <f ca="1">IFERROR(__xludf.DUMMYFUNCTION("""COMPUTED_VALUE"""),"TRIMESTRE 2")</f>
        <v>TRIMESTRE 2</v>
      </c>
      <c r="M59" s="107" t="str">
        <f ca="1">IFERROR(__xludf.DUMMYFUNCTION("""COMPUTED_VALUE"""),"NIÑOS")</f>
        <v>NIÑOS</v>
      </c>
    </row>
    <row r="60" spans="1:13">
      <c r="A60" s="107" t="str">
        <f ca="1">IFERROR(__xludf.DUMMYFUNCTION("""COMPUTED_VALUE"""),"5.1.1.1")</f>
        <v>5.1.1.1</v>
      </c>
      <c r="B60" s="107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60" s="107" t="str">
        <f ca="1">IFERROR(__xludf.DUMMYFUNCTION("""COMPUTED_VALUE"""),"3. Operación")</f>
        <v>3. Operación</v>
      </c>
      <c r="D60" s="107" t="str">
        <f ca="1">IFERROR(__xludf.DUMMYFUNCTION("""COMPUTED_VALUE"""),"Guadalajara bien educada")</f>
        <v>Guadalajara bien educada</v>
      </c>
      <c r="E60" s="107" t="str">
        <f ca="1">IFERROR(__xludf.DUMMYFUNCTION("""COMPUTED_VALUE"""),"Atención en Centros de Desarrollo Infantil")</f>
        <v>Atención en Centros de Desarrollo Infantil</v>
      </c>
      <c r="F60" s="107" t="str">
        <f ca="1">IFERROR(__xludf.DUMMYFUNCTION("""COMPUTED_VALUE"""),"A1C1. Procesos de formación brindados en CDI, CEDI y CAIC de educación inicial y preescolar ")</f>
        <v xml:space="preserve">A1C1. Procesos de formación brindados en CDI, CEDI y CAIC de educación inicial y preescolar </v>
      </c>
      <c r="G60" s="107" t="str">
        <f ca="1">IFERROR(__xludf.DUMMYFUNCTION("""COMPUTED_VALUE"""),"Porcentaje de Niñas y Niños que reciben educación inicial y preescolar en CDI, CEDI y CAIC en 2024")</f>
        <v>Porcentaje de Niñas y Niños que reciben educación inicial y preescolar en CDI, CEDI y CAIC en 2024</v>
      </c>
      <c r="H60" s="107" t="str">
        <f ca="1">IFERROR(__xludf.DUMMYFUNCTION("""COMPUTED_VALUE"""),"AM ABRIL")</f>
        <v>AM ABRIL</v>
      </c>
      <c r="I60" s="107" t="str">
        <f ca="1">IFERROR(__xludf.DUMMYFUNCTION("""COMPUTED_VALUE"""),"Abril")</f>
        <v>Abril</v>
      </c>
      <c r="J60" s="107" t="str">
        <f ca="1">IFERROR(__xludf.DUMMYFUNCTION("""COMPUTED_VALUE"""),"AM")</f>
        <v>AM</v>
      </c>
      <c r="K60" s="40"/>
      <c r="L60" s="107" t="str">
        <f ca="1">IFERROR(__xludf.DUMMYFUNCTION("""COMPUTED_VALUE"""),"TRIMESTRE 2")</f>
        <v>TRIMESTRE 2</v>
      </c>
      <c r="M60" s="107" t="str">
        <f ca="1">IFERROR(__xludf.DUMMYFUNCTION("""COMPUTED_VALUE"""),"ADOLESCENTES MUJERES")</f>
        <v>ADOLESCENTES MUJERES</v>
      </c>
    </row>
    <row r="61" spans="1:13">
      <c r="A61" s="107" t="str">
        <f ca="1">IFERROR(__xludf.DUMMYFUNCTION("""COMPUTED_VALUE"""),"5.1.1.1")</f>
        <v>5.1.1.1</v>
      </c>
      <c r="B61" s="107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61" s="107" t="str">
        <f ca="1">IFERROR(__xludf.DUMMYFUNCTION("""COMPUTED_VALUE"""),"3. Operación")</f>
        <v>3. Operación</v>
      </c>
      <c r="D61" s="107" t="str">
        <f ca="1">IFERROR(__xludf.DUMMYFUNCTION("""COMPUTED_VALUE"""),"Guadalajara bien educada")</f>
        <v>Guadalajara bien educada</v>
      </c>
      <c r="E61" s="107" t="str">
        <f ca="1">IFERROR(__xludf.DUMMYFUNCTION("""COMPUTED_VALUE"""),"Atención en Centros de Desarrollo Infantil")</f>
        <v>Atención en Centros de Desarrollo Infantil</v>
      </c>
      <c r="F61" s="107" t="str">
        <f ca="1">IFERROR(__xludf.DUMMYFUNCTION("""COMPUTED_VALUE"""),"A1C1. Procesos de formación brindados en CDI, CEDI y CAIC de educación inicial y preescolar ")</f>
        <v xml:space="preserve">A1C1. Procesos de formación brindados en CDI, CEDI y CAIC de educación inicial y preescolar </v>
      </c>
      <c r="G61" s="107" t="str">
        <f ca="1">IFERROR(__xludf.DUMMYFUNCTION("""COMPUTED_VALUE"""),"Porcentaje de Niñas y Niños que reciben educación inicial y preescolar en CDI, CEDI y CAIC en 2024")</f>
        <v>Porcentaje de Niñas y Niños que reciben educación inicial y preescolar en CDI, CEDI y CAIC en 2024</v>
      </c>
      <c r="H61" s="107" t="str">
        <f ca="1">IFERROR(__xludf.DUMMYFUNCTION("""COMPUTED_VALUE"""),"AH ABRIL")</f>
        <v>AH ABRIL</v>
      </c>
      <c r="I61" s="107" t="str">
        <f ca="1">IFERROR(__xludf.DUMMYFUNCTION("""COMPUTED_VALUE"""),"Abril")</f>
        <v>Abril</v>
      </c>
      <c r="J61" s="107" t="str">
        <f ca="1">IFERROR(__xludf.DUMMYFUNCTION("""COMPUTED_VALUE"""),"AH")</f>
        <v>AH</v>
      </c>
      <c r="K61" s="40"/>
      <c r="L61" s="107" t="str">
        <f ca="1">IFERROR(__xludf.DUMMYFUNCTION("""COMPUTED_VALUE"""),"TRIMESTRE 2")</f>
        <v>TRIMESTRE 2</v>
      </c>
      <c r="M61" s="107" t="str">
        <f ca="1">IFERROR(__xludf.DUMMYFUNCTION("""COMPUTED_VALUE"""),"ADOLESCENTES HOMBRES")</f>
        <v>ADOLESCENTES HOMBRES</v>
      </c>
    </row>
    <row r="62" spans="1:13">
      <c r="A62" s="107" t="str">
        <f ca="1">IFERROR(__xludf.DUMMYFUNCTION("""COMPUTED_VALUE"""),"5.1.1.1")</f>
        <v>5.1.1.1</v>
      </c>
      <c r="B62" s="107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62" s="107" t="str">
        <f ca="1">IFERROR(__xludf.DUMMYFUNCTION("""COMPUTED_VALUE"""),"3. Operación")</f>
        <v>3. Operación</v>
      </c>
      <c r="D62" s="107" t="str">
        <f ca="1">IFERROR(__xludf.DUMMYFUNCTION("""COMPUTED_VALUE"""),"Guadalajara bien educada")</f>
        <v>Guadalajara bien educada</v>
      </c>
      <c r="E62" s="107" t="str">
        <f ca="1">IFERROR(__xludf.DUMMYFUNCTION("""COMPUTED_VALUE"""),"Atención en Centros de Desarrollo Infantil")</f>
        <v>Atención en Centros de Desarrollo Infantil</v>
      </c>
      <c r="F62" s="107" t="str">
        <f ca="1">IFERROR(__xludf.DUMMYFUNCTION("""COMPUTED_VALUE"""),"A1C1. Procesos de formación brindados en CDI, CEDI y CAIC de educación inicial y preescolar ")</f>
        <v xml:space="preserve">A1C1. Procesos de formación brindados en CDI, CEDI y CAIC de educación inicial y preescolar </v>
      </c>
      <c r="G62" s="107" t="str">
        <f ca="1">IFERROR(__xludf.DUMMYFUNCTION("""COMPUTED_VALUE"""),"Porcentaje de Niñas y Niños que reciben educación inicial y preescolar en CDI, CEDI y CAIC en 2024")</f>
        <v>Porcentaje de Niñas y Niños que reciben educación inicial y preescolar en CDI, CEDI y CAIC en 2024</v>
      </c>
      <c r="H62" s="107" t="str">
        <f ca="1">IFERROR(__xludf.DUMMYFUNCTION("""COMPUTED_VALUE"""),"MUJ ABRIL")</f>
        <v>MUJ ABRIL</v>
      </c>
      <c r="I62" s="107" t="str">
        <f ca="1">IFERROR(__xludf.DUMMYFUNCTION("""COMPUTED_VALUE"""),"Abril")</f>
        <v>Abril</v>
      </c>
      <c r="J62" s="107" t="str">
        <f ca="1">IFERROR(__xludf.DUMMYFUNCTION("""COMPUTED_VALUE"""),"MUJ")</f>
        <v>MUJ</v>
      </c>
      <c r="K62" s="40"/>
      <c r="L62" s="107" t="str">
        <f ca="1">IFERROR(__xludf.DUMMYFUNCTION("""COMPUTED_VALUE"""),"TRIMESTRE 2")</f>
        <v>TRIMESTRE 2</v>
      </c>
      <c r="M62" s="107" t="str">
        <f ca="1">IFERROR(__xludf.DUMMYFUNCTION("""COMPUTED_VALUE"""),"MUJERES ADULTAS")</f>
        <v>MUJERES ADULTAS</v>
      </c>
    </row>
    <row r="63" spans="1:13">
      <c r="A63" s="107" t="str">
        <f ca="1">IFERROR(__xludf.DUMMYFUNCTION("""COMPUTED_VALUE"""),"5.1.1.1")</f>
        <v>5.1.1.1</v>
      </c>
      <c r="B63" s="107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63" s="107" t="str">
        <f ca="1">IFERROR(__xludf.DUMMYFUNCTION("""COMPUTED_VALUE"""),"3. Operación")</f>
        <v>3. Operación</v>
      </c>
      <c r="D63" s="107" t="str">
        <f ca="1">IFERROR(__xludf.DUMMYFUNCTION("""COMPUTED_VALUE"""),"Guadalajara bien educada")</f>
        <v>Guadalajara bien educada</v>
      </c>
      <c r="E63" s="107" t="str">
        <f ca="1">IFERROR(__xludf.DUMMYFUNCTION("""COMPUTED_VALUE"""),"Atención en Centros de Desarrollo Infantil")</f>
        <v>Atención en Centros de Desarrollo Infantil</v>
      </c>
      <c r="F63" s="107" t="str">
        <f ca="1">IFERROR(__xludf.DUMMYFUNCTION("""COMPUTED_VALUE"""),"A1C1. Procesos de formación brindados en CDI, CEDI y CAIC de educación inicial y preescolar ")</f>
        <v xml:space="preserve">A1C1. Procesos de formación brindados en CDI, CEDI y CAIC de educación inicial y preescolar </v>
      </c>
      <c r="G63" s="107" t="str">
        <f ca="1">IFERROR(__xludf.DUMMYFUNCTION("""COMPUTED_VALUE"""),"Porcentaje de Niñas y Niños que reciben educación inicial y preescolar en CDI, CEDI y CAIC en 2024")</f>
        <v>Porcentaje de Niñas y Niños que reciben educación inicial y preescolar en CDI, CEDI y CAIC en 2024</v>
      </c>
      <c r="H63" s="107" t="str">
        <f ca="1">IFERROR(__xludf.DUMMYFUNCTION("""COMPUTED_VALUE"""),"HOM ABRIL")</f>
        <v>HOM ABRIL</v>
      </c>
      <c r="I63" s="107" t="str">
        <f ca="1">IFERROR(__xludf.DUMMYFUNCTION("""COMPUTED_VALUE"""),"Abril")</f>
        <v>Abril</v>
      </c>
      <c r="J63" s="107" t="str">
        <f ca="1">IFERROR(__xludf.DUMMYFUNCTION("""COMPUTED_VALUE"""),"HOM")</f>
        <v>HOM</v>
      </c>
      <c r="K63" s="40"/>
      <c r="L63" s="107" t="str">
        <f ca="1">IFERROR(__xludf.DUMMYFUNCTION("""COMPUTED_VALUE"""),"TRIMESTRE 2")</f>
        <v>TRIMESTRE 2</v>
      </c>
      <c r="M63" s="107" t="str">
        <f ca="1">IFERROR(__xludf.DUMMYFUNCTION("""COMPUTED_VALUE"""),"HOMBRES ADULTOS")</f>
        <v>HOMBRES ADULTOS</v>
      </c>
    </row>
    <row r="64" spans="1:13">
      <c r="A64" s="107" t="str">
        <f ca="1">IFERROR(__xludf.DUMMYFUNCTION("""COMPUTED_VALUE"""),"5.1.1.1")</f>
        <v>5.1.1.1</v>
      </c>
      <c r="B64" s="107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64" s="107" t="str">
        <f ca="1">IFERROR(__xludf.DUMMYFUNCTION("""COMPUTED_VALUE"""),"3. Operación")</f>
        <v>3. Operación</v>
      </c>
      <c r="D64" s="107" t="str">
        <f ca="1">IFERROR(__xludf.DUMMYFUNCTION("""COMPUTED_VALUE"""),"Guadalajara bien educada")</f>
        <v>Guadalajara bien educada</v>
      </c>
      <c r="E64" s="107" t="str">
        <f ca="1">IFERROR(__xludf.DUMMYFUNCTION("""COMPUTED_VALUE"""),"Atención en Centros de Desarrollo Infantil")</f>
        <v>Atención en Centros de Desarrollo Infantil</v>
      </c>
      <c r="F64" s="107" t="str">
        <f ca="1">IFERROR(__xludf.DUMMYFUNCTION("""COMPUTED_VALUE"""),"A1C1. Procesos de formación brindados en CDI, CEDI y CAIC de educación inicial y preescolar ")</f>
        <v xml:space="preserve">A1C1. Procesos de formación brindados en CDI, CEDI y CAIC de educación inicial y preescolar </v>
      </c>
      <c r="G64" s="107" t="str">
        <f ca="1">IFERROR(__xludf.DUMMYFUNCTION("""COMPUTED_VALUE"""),"Porcentaje de Niñas y Niños que reciben educación inicial y preescolar en CDI, CEDI y CAIC en 2024")</f>
        <v>Porcentaje de Niñas y Niños que reciben educación inicial y preescolar en CDI, CEDI y CAIC en 2024</v>
      </c>
      <c r="H64" s="107" t="str">
        <f ca="1">IFERROR(__xludf.DUMMYFUNCTION("""COMPUTED_VALUE"""),"AMM ABRIL")</f>
        <v>AMM ABRIL</v>
      </c>
      <c r="I64" s="107" t="str">
        <f ca="1">IFERROR(__xludf.DUMMYFUNCTION("""COMPUTED_VALUE"""),"Abril")</f>
        <v>Abril</v>
      </c>
      <c r="J64" s="107" t="str">
        <f ca="1">IFERROR(__xludf.DUMMYFUNCTION("""COMPUTED_VALUE"""),"AMM")</f>
        <v>AMM</v>
      </c>
      <c r="K64" s="40"/>
      <c r="L64" s="107" t="str">
        <f ca="1">IFERROR(__xludf.DUMMYFUNCTION("""COMPUTED_VALUE"""),"TRIMESTRE 2")</f>
        <v>TRIMESTRE 2</v>
      </c>
      <c r="M64" s="107" t="str">
        <f ca="1">IFERROR(__xludf.DUMMYFUNCTION("""COMPUTED_VALUE"""),"ADULTA MAYOR MUJER")</f>
        <v>ADULTA MAYOR MUJER</v>
      </c>
    </row>
    <row r="65" spans="1:13">
      <c r="A65" s="107" t="str">
        <f ca="1">IFERROR(__xludf.DUMMYFUNCTION("""COMPUTED_VALUE"""),"5.1.1.1")</f>
        <v>5.1.1.1</v>
      </c>
      <c r="B65" s="107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65" s="107" t="str">
        <f ca="1">IFERROR(__xludf.DUMMYFUNCTION("""COMPUTED_VALUE"""),"3. Operación")</f>
        <v>3. Operación</v>
      </c>
      <c r="D65" s="107" t="str">
        <f ca="1">IFERROR(__xludf.DUMMYFUNCTION("""COMPUTED_VALUE"""),"Guadalajara bien educada")</f>
        <v>Guadalajara bien educada</v>
      </c>
      <c r="E65" s="107" t="str">
        <f ca="1">IFERROR(__xludf.DUMMYFUNCTION("""COMPUTED_VALUE"""),"Atención en Centros de Desarrollo Infantil")</f>
        <v>Atención en Centros de Desarrollo Infantil</v>
      </c>
      <c r="F65" s="107" t="str">
        <f ca="1">IFERROR(__xludf.DUMMYFUNCTION("""COMPUTED_VALUE"""),"A1C1. Procesos de formación brindados en CDI, CEDI y CAIC de educación inicial y preescolar ")</f>
        <v xml:space="preserve">A1C1. Procesos de formación brindados en CDI, CEDI y CAIC de educación inicial y preescolar </v>
      </c>
      <c r="G65" s="107" t="str">
        <f ca="1">IFERROR(__xludf.DUMMYFUNCTION("""COMPUTED_VALUE"""),"Porcentaje de Niñas y Niños que reciben educación inicial y preescolar en CDI, CEDI y CAIC en 2024")</f>
        <v>Porcentaje de Niñas y Niños que reciben educación inicial y preescolar en CDI, CEDI y CAIC en 2024</v>
      </c>
      <c r="H65" s="107" t="str">
        <f ca="1">IFERROR(__xludf.DUMMYFUNCTION("""COMPUTED_VALUE"""),"AMH ABRIL")</f>
        <v>AMH ABRIL</v>
      </c>
      <c r="I65" s="107" t="str">
        <f ca="1">IFERROR(__xludf.DUMMYFUNCTION("""COMPUTED_VALUE"""),"Abril")</f>
        <v>Abril</v>
      </c>
      <c r="J65" s="107" t="str">
        <f ca="1">IFERROR(__xludf.DUMMYFUNCTION("""COMPUTED_VALUE"""),"AMH")</f>
        <v>AMH</v>
      </c>
      <c r="K65" s="40"/>
      <c r="L65" s="107" t="str">
        <f ca="1">IFERROR(__xludf.DUMMYFUNCTION("""COMPUTED_VALUE"""),"TRIMESTRE 2")</f>
        <v>TRIMESTRE 2</v>
      </c>
      <c r="M65" s="107" t="str">
        <f ca="1">IFERROR(__xludf.DUMMYFUNCTION("""COMPUTED_VALUE"""),"ADULTO MAYOR HOMBRE")</f>
        <v>ADULTO MAYOR HOMBRE</v>
      </c>
    </row>
    <row r="66" spans="1:13">
      <c r="A66" s="107" t="str">
        <f ca="1">IFERROR(__xludf.DUMMYFUNCTION("""COMPUTED_VALUE"""),"5.1.1.0")</f>
        <v>5.1.1.0</v>
      </c>
      <c r="B66" s="107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66" s="107" t="str">
        <f ca="1">IFERROR(__xludf.DUMMYFUNCTION("""COMPUTED_VALUE"""),"3. Operación")</f>
        <v>3. Operación</v>
      </c>
      <c r="D66" s="107" t="str">
        <f ca="1">IFERROR(__xludf.DUMMYFUNCTION("""COMPUTED_VALUE"""),"Guadalajara bien educada")</f>
        <v>Guadalajara bien educada</v>
      </c>
      <c r="E66" s="107" t="str">
        <f ca="1">IFERROR(__xludf.DUMMYFUNCTION("""COMPUTED_VALUE"""),"Atención en Centros de Desarrollo Infantil")</f>
        <v>Atención en Centros de Desarrollo Infantil</v>
      </c>
      <c r="F66" s="107" t="str">
        <f ca="1">IFERROR(__xludf.DUMMYFUNCTION("""COMPUTED_VALUE"""),"C1. Servicio de educación inicial y preescolar para niñas y niños en condición de vulnerabilidad económica brindados en CDI, CEDI y CAIC ")</f>
        <v xml:space="preserve">C1. Servicio de educación inicial y preescolar para niñas y niños en condición de vulnerabilidad económica brindados en CDI, CEDI y CAIC </v>
      </c>
      <c r="G66" s="107" t="str">
        <f ca="1">IFERROR(__xludf.DUMMYFUNCTION("""COMPUTED_VALUE"""),"Porcentaje de demanda cubierta sobre servicios de atención educativa y asistencial para niñas y niños en condición de vulnerabilidad económica en 2024")</f>
        <v>Porcentaje de demanda cubierta sobre servicios de atención educativa y asistencial para niñas y niños en condición de vulnerabilidad económica en 2024</v>
      </c>
      <c r="H66" s="107" t="str">
        <f ca="1">IFERROR(__xludf.DUMMYFUNCTION("""COMPUTED_VALUE"""),"NAS MAYO")</f>
        <v>NAS MAYO</v>
      </c>
      <c r="I66" s="107" t="str">
        <f ca="1">IFERROR(__xludf.DUMMYFUNCTION("""COMPUTED_VALUE"""),"Mayo")</f>
        <v>Mayo</v>
      </c>
      <c r="J66" s="107" t="str">
        <f ca="1">IFERROR(__xludf.DUMMYFUNCTION("""COMPUTED_VALUE"""),"NAS")</f>
        <v>NAS</v>
      </c>
      <c r="K66" s="40">
        <f ca="1">IFERROR(__xludf.DUMMYFUNCTION("""COMPUTED_VALUE"""),8)</f>
        <v>8</v>
      </c>
      <c r="L66" s="107" t="str">
        <f ca="1">IFERROR(__xludf.DUMMYFUNCTION("""COMPUTED_VALUE"""),"TRIMESTRE 2")</f>
        <v>TRIMESTRE 2</v>
      </c>
      <c r="M66" s="107" t="str">
        <f ca="1">IFERROR(__xludf.DUMMYFUNCTION("""COMPUTED_VALUE"""),"NIÑAS")</f>
        <v>NIÑAS</v>
      </c>
    </row>
    <row r="67" spans="1:13">
      <c r="A67" s="107" t="str">
        <f ca="1">IFERROR(__xludf.DUMMYFUNCTION("""COMPUTED_VALUE"""),"5.1.1.0")</f>
        <v>5.1.1.0</v>
      </c>
      <c r="B67" s="107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67" s="107" t="str">
        <f ca="1">IFERROR(__xludf.DUMMYFUNCTION("""COMPUTED_VALUE"""),"3. Operación")</f>
        <v>3. Operación</v>
      </c>
      <c r="D67" s="107" t="str">
        <f ca="1">IFERROR(__xludf.DUMMYFUNCTION("""COMPUTED_VALUE"""),"Guadalajara bien educada")</f>
        <v>Guadalajara bien educada</v>
      </c>
      <c r="E67" s="107" t="str">
        <f ca="1">IFERROR(__xludf.DUMMYFUNCTION("""COMPUTED_VALUE"""),"Atención en Centros de Desarrollo Infantil")</f>
        <v>Atención en Centros de Desarrollo Infantil</v>
      </c>
      <c r="F67" s="107" t="str">
        <f ca="1">IFERROR(__xludf.DUMMYFUNCTION("""COMPUTED_VALUE"""),"C1. Servicio de educación inicial y preescolar para niñas y niños en condición de vulnerabilidad económica brindados en CDI, CEDI y CAIC ")</f>
        <v xml:space="preserve">C1. Servicio de educación inicial y preescolar para niñas y niños en condición de vulnerabilidad económica brindados en CDI, CEDI y CAIC </v>
      </c>
      <c r="G67" s="107" t="str">
        <f ca="1">IFERROR(__xludf.DUMMYFUNCTION("""COMPUTED_VALUE"""),"Porcentaje de demanda cubierta sobre servicios de atención educativa y asistencial para niñas y niños en condición de vulnerabilidad económica en 2024")</f>
        <v>Porcentaje de demanda cubierta sobre servicios de atención educativa y asistencial para niñas y niños en condición de vulnerabilidad económica en 2024</v>
      </c>
      <c r="H67" s="107" t="str">
        <f ca="1">IFERROR(__xludf.DUMMYFUNCTION("""COMPUTED_VALUE"""),"NOS MAYO")</f>
        <v>NOS MAYO</v>
      </c>
      <c r="I67" s="107" t="str">
        <f ca="1">IFERROR(__xludf.DUMMYFUNCTION("""COMPUTED_VALUE"""),"Mayo")</f>
        <v>Mayo</v>
      </c>
      <c r="J67" s="107" t="str">
        <f ca="1">IFERROR(__xludf.DUMMYFUNCTION("""COMPUTED_VALUE"""),"NOS")</f>
        <v>NOS</v>
      </c>
      <c r="K67" s="40">
        <f ca="1">IFERROR(__xludf.DUMMYFUNCTION("""COMPUTED_VALUE"""),9)</f>
        <v>9</v>
      </c>
      <c r="L67" s="107" t="str">
        <f ca="1">IFERROR(__xludf.DUMMYFUNCTION("""COMPUTED_VALUE"""),"TRIMESTRE 2")</f>
        <v>TRIMESTRE 2</v>
      </c>
      <c r="M67" s="107" t="str">
        <f ca="1">IFERROR(__xludf.DUMMYFUNCTION("""COMPUTED_VALUE"""),"NIÑOS")</f>
        <v>NIÑOS</v>
      </c>
    </row>
    <row r="68" spans="1:13">
      <c r="A68" s="107" t="str">
        <f ca="1">IFERROR(__xludf.DUMMYFUNCTION("""COMPUTED_VALUE"""),"5.1.1.0")</f>
        <v>5.1.1.0</v>
      </c>
      <c r="B68" s="107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68" s="107" t="str">
        <f ca="1">IFERROR(__xludf.DUMMYFUNCTION("""COMPUTED_VALUE"""),"3. Operación")</f>
        <v>3. Operación</v>
      </c>
      <c r="D68" s="107" t="str">
        <f ca="1">IFERROR(__xludf.DUMMYFUNCTION("""COMPUTED_VALUE"""),"Guadalajara bien educada")</f>
        <v>Guadalajara bien educada</v>
      </c>
      <c r="E68" s="107" t="str">
        <f ca="1">IFERROR(__xludf.DUMMYFUNCTION("""COMPUTED_VALUE"""),"Atención en Centros de Desarrollo Infantil")</f>
        <v>Atención en Centros de Desarrollo Infantil</v>
      </c>
      <c r="F68" s="107" t="str">
        <f ca="1">IFERROR(__xludf.DUMMYFUNCTION("""COMPUTED_VALUE"""),"C1. Servicio de educación inicial y preescolar para niñas y niños en condición de vulnerabilidad económica brindados en CDI, CEDI y CAIC ")</f>
        <v xml:space="preserve">C1. Servicio de educación inicial y preescolar para niñas y niños en condición de vulnerabilidad económica brindados en CDI, CEDI y CAIC </v>
      </c>
      <c r="G68" s="107" t="str">
        <f ca="1">IFERROR(__xludf.DUMMYFUNCTION("""COMPUTED_VALUE"""),"Porcentaje de demanda cubierta sobre servicios de atención educativa y asistencial para niñas y niños en condición de vulnerabilidad económica en 2024")</f>
        <v>Porcentaje de demanda cubierta sobre servicios de atención educativa y asistencial para niñas y niños en condición de vulnerabilidad económica en 2024</v>
      </c>
      <c r="H68" s="107" t="str">
        <f ca="1">IFERROR(__xludf.DUMMYFUNCTION("""COMPUTED_VALUE"""),"AM MAYO")</f>
        <v>AM MAYO</v>
      </c>
      <c r="I68" s="107" t="str">
        <f ca="1">IFERROR(__xludf.DUMMYFUNCTION("""COMPUTED_VALUE"""),"Mayo")</f>
        <v>Mayo</v>
      </c>
      <c r="J68" s="107" t="str">
        <f ca="1">IFERROR(__xludf.DUMMYFUNCTION("""COMPUTED_VALUE"""),"AM")</f>
        <v>AM</v>
      </c>
      <c r="K68" s="40"/>
      <c r="L68" s="107" t="str">
        <f ca="1">IFERROR(__xludf.DUMMYFUNCTION("""COMPUTED_VALUE"""),"TRIMESTRE 2")</f>
        <v>TRIMESTRE 2</v>
      </c>
      <c r="M68" s="107" t="str">
        <f ca="1">IFERROR(__xludf.DUMMYFUNCTION("""COMPUTED_VALUE"""),"ADOLESCENTES MUJERES")</f>
        <v>ADOLESCENTES MUJERES</v>
      </c>
    </row>
    <row r="69" spans="1:13">
      <c r="A69" s="107" t="str">
        <f ca="1">IFERROR(__xludf.DUMMYFUNCTION("""COMPUTED_VALUE"""),"5.1.1.0")</f>
        <v>5.1.1.0</v>
      </c>
      <c r="B69" s="107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69" s="107" t="str">
        <f ca="1">IFERROR(__xludf.DUMMYFUNCTION("""COMPUTED_VALUE"""),"3. Operación")</f>
        <v>3. Operación</v>
      </c>
      <c r="D69" s="107" t="str">
        <f ca="1">IFERROR(__xludf.DUMMYFUNCTION("""COMPUTED_VALUE"""),"Guadalajara bien educada")</f>
        <v>Guadalajara bien educada</v>
      </c>
      <c r="E69" s="107" t="str">
        <f ca="1">IFERROR(__xludf.DUMMYFUNCTION("""COMPUTED_VALUE"""),"Atención en Centros de Desarrollo Infantil")</f>
        <v>Atención en Centros de Desarrollo Infantil</v>
      </c>
      <c r="F69" s="107" t="str">
        <f ca="1">IFERROR(__xludf.DUMMYFUNCTION("""COMPUTED_VALUE"""),"C1. Servicio de educación inicial y preescolar para niñas y niños en condición de vulnerabilidad económica brindados en CDI, CEDI y CAIC ")</f>
        <v xml:space="preserve">C1. Servicio de educación inicial y preescolar para niñas y niños en condición de vulnerabilidad económica brindados en CDI, CEDI y CAIC </v>
      </c>
      <c r="G69" s="107" t="str">
        <f ca="1">IFERROR(__xludf.DUMMYFUNCTION("""COMPUTED_VALUE"""),"Porcentaje de demanda cubierta sobre servicios de atención educativa y asistencial para niñas y niños en condición de vulnerabilidad económica en 2024")</f>
        <v>Porcentaje de demanda cubierta sobre servicios de atención educativa y asistencial para niñas y niños en condición de vulnerabilidad económica en 2024</v>
      </c>
      <c r="H69" s="107" t="str">
        <f ca="1">IFERROR(__xludf.DUMMYFUNCTION("""COMPUTED_VALUE"""),"AH MAYO")</f>
        <v>AH MAYO</v>
      </c>
      <c r="I69" s="107" t="str">
        <f ca="1">IFERROR(__xludf.DUMMYFUNCTION("""COMPUTED_VALUE"""),"Mayo")</f>
        <v>Mayo</v>
      </c>
      <c r="J69" s="107" t="str">
        <f ca="1">IFERROR(__xludf.DUMMYFUNCTION("""COMPUTED_VALUE"""),"AH")</f>
        <v>AH</v>
      </c>
      <c r="K69" s="40"/>
      <c r="L69" s="107" t="str">
        <f ca="1">IFERROR(__xludf.DUMMYFUNCTION("""COMPUTED_VALUE"""),"TRIMESTRE 2")</f>
        <v>TRIMESTRE 2</v>
      </c>
      <c r="M69" s="107" t="str">
        <f ca="1">IFERROR(__xludf.DUMMYFUNCTION("""COMPUTED_VALUE"""),"ADOLESCENTES HOMBRES")</f>
        <v>ADOLESCENTES HOMBRES</v>
      </c>
    </row>
    <row r="70" spans="1:13">
      <c r="A70" s="107" t="str">
        <f ca="1">IFERROR(__xludf.DUMMYFUNCTION("""COMPUTED_VALUE"""),"5.1.1.0")</f>
        <v>5.1.1.0</v>
      </c>
      <c r="B70" s="107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70" s="107" t="str">
        <f ca="1">IFERROR(__xludf.DUMMYFUNCTION("""COMPUTED_VALUE"""),"3. Operación")</f>
        <v>3. Operación</v>
      </c>
      <c r="D70" s="107" t="str">
        <f ca="1">IFERROR(__xludf.DUMMYFUNCTION("""COMPUTED_VALUE"""),"Guadalajara bien educada")</f>
        <v>Guadalajara bien educada</v>
      </c>
      <c r="E70" s="107" t="str">
        <f ca="1">IFERROR(__xludf.DUMMYFUNCTION("""COMPUTED_VALUE"""),"Atención en Centros de Desarrollo Infantil")</f>
        <v>Atención en Centros de Desarrollo Infantil</v>
      </c>
      <c r="F70" s="107" t="str">
        <f ca="1">IFERROR(__xludf.DUMMYFUNCTION("""COMPUTED_VALUE"""),"C1. Servicio de educación inicial y preescolar para niñas y niños en condición de vulnerabilidad económica brindados en CDI, CEDI y CAIC ")</f>
        <v xml:space="preserve">C1. Servicio de educación inicial y preescolar para niñas y niños en condición de vulnerabilidad económica brindados en CDI, CEDI y CAIC </v>
      </c>
      <c r="G70" s="107" t="str">
        <f ca="1">IFERROR(__xludf.DUMMYFUNCTION("""COMPUTED_VALUE"""),"Porcentaje de demanda cubierta sobre servicios de atención educativa y asistencial para niñas y niños en condición de vulnerabilidad económica en 2024")</f>
        <v>Porcentaje de demanda cubierta sobre servicios de atención educativa y asistencial para niñas y niños en condición de vulnerabilidad económica en 2024</v>
      </c>
      <c r="H70" s="107" t="str">
        <f ca="1">IFERROR(__xludf.DUMMYFUNCTION("""COMPUTED_VALUE"""),"MUJ MAYO")</f>
        <v>MUJ MAYO</v>
      </c>
      <c r="I70" s="107" t="str">
        <f ca="1">IFERROR(__xludf.DUMMYFUNCTION("""COMPUTED_VALUE"""),"Mayo")</f>
        <v>Mayo</v>
      </c>
      <c r="J70" s="107" t="str">
        <f ca="1">IFERROR(__xludf.DUMMYFUNCTION("""COMPUTED_VALUE"""),"MUJ")</f>
        <v>MUJ</v>
      </c>
      <c r="K70" s="40"/>
      <c r="L70" s="107" t="str">
        <f ca="1">IFERROR(__xludf.DUMMYFUNCTION("""COMPUTED_VALUE"""),"TRIMESTRE 2")</f>
        <v>TRIMESTRE 2</v>
      </c>
      <c r="M70" s="107" t="str">
        <f ca="1">IFERROR(__xludf.DUMMYFUNCTION("""COMPUTED_VALUE"""),"MUJERES ADULTAS")</f>
        <v>MUJERES ADULTAS</v>
      </c>
    </row>
    <row r="71" spans="1:13">
      <c r="A71" s="107" t="str">
        <f ca="1">IFERROR(__xludf.DUMMYFUNCTION("""COMPUTED_VALUE"""),"5.1.1.0")</f>
        <v>5.1.1.0</v>
      </c>
      <c r="B71" s="107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71" s="107" t="str">
        <f ca="1">IFERROR(__xludf.DUMMYFUNCTION("""COMPUTED_VALUE"""),"3. Operación")</f>
        <v>3. Operación</v>
      </c>
      <c r="D71" s="107" t="str">
        <f ca="1">IFERROR(__xludf.DUMMYFUNCTION("""COMPUTED_VALUE"""),"Guadalajara bien educada")</f>
        <v>Guadalajara bien educada</v>
      </c>
      <c r="E71" s="107" t="str">
        <f ca="1">IFERROR(__xludf.DUMMYFUNCTION("""COMPUTED_VALUE"""),"Atención en Centros de Desarrollo Infantil")</f>
        <v>Atención en Centros de Desarrollo Infantil</v>
      </c>
      <c r="F71" s="107" t="str">
        <f ca="1">IFERROR(__xludf.DUMMYFUNCTION("""COMPUTED_VALUE"""),"C1. Servicio de educación inicial y preescolar para niñas y niños en condición de vulnerabilidad económica brindados en CDI, CEDI y CAIC ")</f>
        <v xml:space="preserve">C1. Servicio de educación inicial y preescolar para niñas y niños en condición de vulnerabilidad económica brindados en CDI, CEDI y CAIC </v>
      </c>
      <c r="G71" s="107" t="str">
        <f ca="1">IFERROR(__xludf.DUMMYFUNCTION("""COMPUTED_VALUE"""),"Porcentaje de demanda cubierta sobre servicios de atención educativa y asistencial para niñas y niños en condición de vulnerabilidad económica en 2024")</f>
        <v>Porcentaje de demanda cubierta sobre servicios de atención educativa y asistencial para niñas y niños en condición de vulnerabilidad económica en 2024</v>
      </c>
      <c r="H71" s="107" t="str">
        <f ca="1">IFERROR(__xludf.DUMMYFUNCTION("""COMPUTED_VALUE"""),"HOM MAYO")</f>
        <v>HOM MAYO</v>
      </c>
      <c r="I71" s="107" t="str">
        <f ca="1">IFERROR(__xludf.DUMMYFUNCTION("""COMPUTED_VALUE"""),"Mayo")</f>
        <v>Mayo</v>
      </c>
      <c r="J71" s="107" t="str">
        <f ca="1">IFERROR(__xludf.DUMMYFUNCTION("""COMPUTED_VALUE"""),"HOM")</f>
        <v>HOM</v>
      </c>
      <c r="K71" s="40"/>
      <c r="L71" s="107" t="str">
        <f ca="1">IFERROR(__xludf.DUMMYFUNCTION("""COMPUTED_VALUE"""),"TRIMESTRE 2")</f>
        <v>TRIMESTRE 2</v>
      </c>
      <c r="M71" s="107" t="str">
        <f ca="1">IFERROR(__xludf.DUMMYFUNCTION("""COMPUTED_VALUE"""),"HOMBRES ADULTOS")</f>
        <v>HOMBRES ADULTOS</v>
      </c>
    </row>
    <row r="72" spans="1:13">
      <c r="A72" s="107" t="str">
        <f ca="1">IFERROR(__xludf.DUMMYFUNCTION("""COMPUTED_VALUE"""),"5.1.1.0")</f>
        <v>5.1.1.0</v>
      </c>
      <c r="B72" s="107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72" s="107" t="str">
        <f ca="1">IFERROR(__xludf.DUMMYFUNCTION("""COMPUTED_VALUE"""),"3. Operación")</f>
        <v>3. Operación</v>
      </c>
      <c r="D72" s="107" t="str">
        <f ca="1">IFERROR(__xludf.DUMMYFUNCTION("""COMPUTED_VALUE"""),"Guadalajara bien educada")</f>
        <v>Guadalajara bien educada</v>
      </c>
      <c r="E72" s="107" t="str">
        <f ca="1">IFERROR(__xludf.DUMMYFUNCTION("""COMPUTED_VALUE"""),"Atención en Centros de Desarrollo Infantil")</f>
        <v>Atención en Centros de Desarrollo Infantil</v>
      </c>
      <c r="F72" s="107" t="str">
        <f ca="1">IFERROR(__xludf.DUMMYFUNCTION("""COMPUTED_VALUE"""),"C1. Servicio de educación inicial y preescolar para niñas y niños en condición de vulnerabilidad económica brindados en CDI, CEDI y CAIC ")</f>
        <v xml:space="preserve">C1. Servicio de educación inicial y preescolar para niñas y niños en condición de vulnerabilidad económica brindados en CDI, CEDI y CAIC </v>
      </c>
      <c r="G72" s="107" t="str">
        <f ca="1">IFERROR(__xludf.DUMMYFUNCTION("""COMPUTED_VALUE"""),"Porcentaje de demanda cubierta sobre servicios de atención educativa y asistencial para niñas y niños en condición de vulnerabilidad económica en 2024")</f>
        <v>Porcentaje de demanda cubierta sobre servicios de atención educativa y asistencial para niñas y niños en condición de vulnerabilidad económica en 2024</v>
      </c>
      <c r="H72" s="107" t="str">
        <f ca="1">IFERROR(__xludf.DUMMYFUNCTION("""COMPUTED_VALUE"""),"AMM MAYO")</f>
        <v>AMM MAYO</v>
      </c>
      <c r="I72" s="107" t="str">
        <f ca="1">IFERROR(__xludf.DUMMYFUNCTION("""COMPUTED_VALUE"""),"Mayo")</f>
        <v>Mayo</v>
      </c>
      <c r="J72" s="107" t="str">
        <f ca="1">IFERROR(__xludf.DUMMYFUNCTION("""COMPUTED_VALUE"""),"AMM")</f>
        <v>AMM</v>
      </c>
      <c r="K72" s="40"/>
      <c r="L72" s="107" t="str">
        <f ca="1">IFERROR(__xludf.DUMMYFUNCTION("""COMPUTED_VALUE"""),"TRIMESTRE 2")</f>
        <v>TRIMESTRE 2</v>
      </c>
      <c r="M72" s="107" t="str">
        <f ca="1">IFERROR(__xludf.DUMMYFUNCTION("""COMPUTED_VALUE"""),"ADULTA MAYOR MUJER")</f>
        <v>ADULTA MAYOR MUJER</v>
      </c>
    </row>
    <row r="73" spans="1:13">
      <c r="A73" s="107" t="str">
        <f ca="1">IFERROR(__xludf.DUMMYFUNCTION("""COMPUTED_VALUE"""),"5.1.1.0")</f>
        <v>5.1.1.0</v>
      </c>
      <c r="B73" s="107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73" s="107" t="str">
        <f ca="1">IFERROR(__xludf.DUMMYFUNCTION("""COMPUTED_VALUE"""),"3. Operación")</f>
        <v>3. Operación</v>
      </c>
      <c r="D73" s="107" t="str">
        <f ca="1">IFERROR(__xludf.DUMMYFUNCTION("""COMPUTED_VALUE"""),"Guadalajara bien educada")</f>
        <v>Guadalajara bien educada</v>
      </c>
      <c r="E73" s="107" t="str">
        <f ca="1">IFERROR(__xludf.DUMMYFUNCTION("""COMPUTED_VALUE"""),"Atención en Centros de Desarrollo Infantil")</f>
        <v>Atención en Centros de Desarrollo Infantil</v>
      </c>
      <c r="F73" s="107" t="str">
        <f ca="1">IFERROR(__xludf.DUMMYFUNCTION("""COMPUTED_VALUE"""),"C1. Servicio de educación inicial y preescolar para niñas y niños en condición de vulnerabilidad económica brindados en CDI, CEDI y CAIC ")</f>
        <v xml:space="preserve">C1. Servicio de educación inicial y preescolar para niñas y niños en condición de vulnerabilidad económica brindados en CDI, CEDI y CAIC </v>
      </c>
      <c r="G73" s="107" t="str">
        <f ca="1">IFERROR(__xludf.DUMMYFUNCTION("""COMPUTED_VALUE"""),"Porcentaje de demanda cubierta sobre servicios de atención educativa y asistencial para niñas y niños en condición de vulnerabilidad económica en 2024")</f>
        <v>Porcentaje de demanda cubierta sobre servicios de atención educativa y asistencial para niñas y niños en condición de vulnerabilidad económica en 2024</v>
      </c>
      <c r="H73" s="107" t="str">
        <f ca="1">IFERROR(__xludf.DUMMYFUNCTION("""COMPUTED_VALUE"""),"AMH MAYO")</f>
        <v>AMH MAYO</v>
      </c>
      <c r="I73" s="107" t="str">
        <f ca="1">IFERROR(__xludf.DUMMYFUNCTION("""COMPUTED_VALUE"""),"Mayo")</f>
        <v>Mayo</v>
      </c>
      <c r="J73" s="107" t="str">
        <f ca="1">IFERROR(__xludf.DUMMYFUNCTION("""COMPUTED_VALUE"""),"AMH")</f>
        <v>AMH</v>
      </c>
      <c r="K73" s="40"/>
      <c r="L73" s="107" t="str">
        <f ca="1">IFERROR(__xludf.DUMMYFUNCTION("""COMPUTED_VALUE"""),"TRIMESTRE 2")</f>
        <v>TRIMESTRE 2</v>
      </c>
      <c r="M73" s="107" t="str">
        <f ca="1">IFERROR(__xludf.DUMMYFUNCTION("""COMPUTED_VALUE"""),"ADULTO MAYOR HOMBRE")</f>
        <v>ADULTO MAYOR HOMBRE</v>
      </c>
    </row>
    <row r="74" spans="1:13">
      <c r="A74" s="107" t="str">
        <f ca="1">IFERROR(__xludf.DUMMYFUNCTION("""COMPUTED_VALUE"""),"5.1.1.1")</f>
        <v>5.1.1.1</v>
      </c>
      <c r="B74" s="107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74" s="107" t="str">
        <f ca="1">IFERROR(__xludf.DUMMYFUNCTION("""COMPUTED_VALUE"""),"3. Operación")</f>
        <v>3. Operación</v>
      </c>
      <c r="D74" s="107" t="str">
        <f ca="1">IFERROR(__xludf.DUMMYFUNCTION("""COMPUTED_VALUE"""),"Guadalajara bien educada")</f>
        <v>Guadalajara bien educada</v>
      </c>
      <c r="E74" s="107" t="str">
        <f ca="1">IFERROR(__xludf.DUMMYFUNCTION("""COMPUTED_VALUE"""),"Atención en Centros de Desarrollo Infantil")</f>
        <v>Atención en Centros de Desarrollo Infantil</v>
      </c>
      <c r="F74" s="107" t="str">
        <f ca="1">IFERROR(__xludf.DUMMYFUNCTION("""COMPUTED_VALUE"""),"A1C1. Procesos de formación brindados en CDI, CEDI y CAIC de educación inicial y preescolar ")</f>
        <v xml:space="preserve">A1C1. Procesos de formación brindados en CDI, CEDI y CAIC de educación inicial y preescolar </v>
      </c>
      <c r="G74" s="107" t="str">
        <f ca="1">IFERROR(__xludf.DUMMYFUNCTION("""COMPUTED_VALUE"""),"Porcentaje de Niñas y Niños que reciben educación inicial y preescolar en CDI, CEDI y CAIC en 2024")</f>
        <v>Porcentaje de Niñas y Niños que reciben educación inicial y preescolar en CDI, CEDI y CAIC en 2024</v>
      </c>
      <c r="H74" s="107" t="str">
        <f ca="1">IFERROR(__xludf.DUMMYFUNCTION("""COMPUTED_VALUE"""),"NAS MAYO")</f>
        <v>NAS MAYO</v>
      </c>
      <c r="I74" s="107" t="str">
        <f ca="1">IFERROR(__xludf.DUMMYFUNCTION("""COMPUTED_VALUE"""),"Mayo")</f>
        <v>Mayo</v>
      </c>
      <c r="J74" s="107" t="str">
        <f ca="1">IFERROR(__xludf.DUMMYFUNCTION("""COMPUTED_VALUE"""),"NAS")</f>
        <v>NAS</v>
      </c>
      <c r="K74" s="40">
        <f ca="1">IFERROR(__xludf.DUMMYFUNCTION("""COMPUTED_VALUE"""),8)</f>
        <v>8</v>
      </c>
      <c r="L74" s="107" t="str">
        <f ca="1">IFERROR(__xludf.DUMMYFUNCTION("""COMPUTED_VALUE"""),"TRIMESTRE 2")</f>
        <v>TRIMESTRE 2</v>
      </c>
      <c r="M74" s="107" t="str">
        <f ca="1">IFERROR(__xludf.DUMMYFUNCTION("""COMPUTED_VALUE"""),"NIÑAS")</f>
        <v>NIÑAS</v>
      </c>
    </row>
    <row r="75" spans="1:13">
      <c r="A75" s="107" t="str">
        <f ca="1">IFERROR(__xludf.DUMMYFUNCTION("""COMPUTED_VALUE"""),"5.1.1.1")</f>
        <v>5.1.1.1</v>
      </c>
      <c r="B75" s="107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75" s="107" t="str">
        <f ca="1">IFERROR(__xludf.DUMMYFUNCTION("""COMPUTED_VALUE"""),"3. Operación")</f>
        <v>3. Operación</v>
      </c>
      <c r="D75" s="107" t="str">
        <f ca="1">IFERROR(__xludf.DUMMYFUNCTION("""COMPUTED_VALUE"""),"Guadalajara bien educada")</f>
        <v>Guadalajara bien educada</v>
      </c>
      <c r="E75" s="107" t="str">
        <f ca="1">IFERROR(__xludf.DUMMYFUNCTION("""COMPUTED_VALUE"""),"Atención en Centros de Desarrollo Infantil")</f>
        <v>Atención en Centros de Desarrollo Infantil</v>
      </c>
      <c r="F75" s="107" t="str">
        <f ca="1">IFERROR(__xludf.DUMMYFUNCTION("""COMPUTED_VALUE"""),"A1C1. Procesos de formación brindados en CDI, CEDI y CAIC de educación inicial y preescolar ")</f>
        <v xml:space="preserve">A1C1. Procesos de formación brindados en CDI, CEDI y CAIC de educación inicial y preescolar </v>
      </c>
      <c r="G75" s="107" t="str">
        <f ca="1">IFERROR(__xludf.DUMMYFUNCTION("""COMPUTED_VALUE"""),"Porcentaje de Niñas y Niños que reciben educación inicial y preescolar en CDI, CEDI y CAIC en 2024")</f>
        <v>Porcentaje de Niñas y Niños que reciben educación inicial y preescolar en CDI, CEDI y CAIC en 2024</v>
      </c>
      <c r="H75" s="107" t="str">
        <f ca="1">IFERROR(__xludf.DUMMYFUNCTION("""COMPUTED_VALUE"""),"NOS MAYO")</f>
        <v>NOS MAYO</v>
      </c>
      <c r="I75" s="107" t="str">
        <f ca="1">IFERROR(__xludf.DUMMYFUNCTION("""COMPUTED_VALUE"""),"Mayo")</f>
        <v>Mayo</v>
      </c>
      <c r="J75" s="107" t="str">
        <f ca="1">IFERROR(__xludf.DUMMYFUNCTION("""COMPUTED_VALUE"""),"NOS")</f>
        <v>NOS</v>
      </c>
      <c r="K75" s="40">
        <f ca="1">IFERROR(__xludf.DUMMYFUNCTION("""COMPUTED_VALUE"""),9)</f>
        <v>9</v>
      </c>
      <c r="L75" s="107" t="str">
        <f ca="1">IFERROR(__xludf.DUMMYFUNCTION("""COMPUTED_VALUE"""),"TRIMESTRE 2")</f>
        <v>TRIMESTRE 2</v>
      </c>
      <c r="M75" s="107" t="str">
        <f ca="1">IFERROR(__xludf.DUMMYFUNCTION("""COMPUTED_VALUE"""),"NIÑOS")</f>
        <v>NIÑOS</v>
      </c>
    </row>
    <row r="76" spans="1:13">
      <c r="A76" s="107" t="str">
        <f ca="1">IFERROR(__xludf.DUMMYFUNCTION("""COMPUTED_VALUE"""),"5.1.1.1")</f>
        <v>5.1.1.1</v>
      </c>
      <c r="B76" s="107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76" s="107" t="str">
        <f ca="1">IFERROR(__xludf.DUMMYFUNCTION("""COMPUTED_VALUE"""),"3. Operación")</f>
        <v>3. Operación</v>
      </c>
      <c r="D76" s="107" t="str">
        <f ca="1">IFERROR(__xludf.DUMMYFUNCTION("""COMPUTED_VALUE"""),"Guadalajara bien educada")</f>
        <v>Guadalajara bien educada</v>
      </c>
      <c r="E76" s="107" t="str">
        <f ca="1">IFERROR(__xludf.DUMMYFUNCTION("""COMPUTED_VALUE"""),"Atención en Centros de Desarrollo Infantil")</f>
        <v>Atención en Centros de Desarrollo Infantil</v>
      </c>
      <c r="F76" s="107" t="str">
        <f ca="1">IFERROR(__xludf.DUMMYFUNCTION("""COMPUTED_VALUE"""),"A1C1. Procesos de formación brindados en CDI, CEDI y CAIC de educación inicial y preescolar ")</f>
        <v xml:space="preserve">A1C1. Procesos de formación brindados en CDI, CEDI y CAIC de educación inicial y preescolar </v>
      </c>
      <c r="G76" s="107" t="str">
        <f ca="1">IFERROR(__xludf.DUMMYFUNCTION("""COMPUTED_VALUE"""),"Porcentaje de Niñas y Niños que reciben educación inicial y preescolar en CDI, CEDI y CAIC en 2024")</f>
        <v>Porcentaje de Niñas y Niños que reciben educación inicial y preescolar en CDI, CEDI y CAIC en 2024</v>
      </c>
      <c r="H76" s="107" t="str">
        <f ca="1">IFERROR(__xludf.DUMMYFUNCTION("""COMPUTED_VALUE"""),"AM MAYO")</f>
        <v>AM MAYO</v>
      </c>
      <c r="I76" s="107" t="str">
        <f ca="1">IFERROR(__xludf.DUMMYFUNCTION("""COMPUTED_VALUE"""),"Mayo")</f>
        <v>Mayo</v>
      </c>
      <c r="J76" s="107" t="str">
        <f ca="1">IFERROR(__xludf.DUMMYFUNCTION("""COMPUTED_VALUE"""),"AM")</f>
        <v>AM</v>
      </c>
      <c r="K76" s="40"/>
      <c r="L76" s="107" t="str">
        <f ca="1">IFERROR(__xludf.DUMMYFUNCTION("""COMPUTED_VALUE"""),"TRIMESTRE 2")</f>
        <v>TRIMESTRE 2</v>
      </c>
      <c r="M76" s="107" t="str">
        <f ca="1">IFERROR(__xludf.DUMMYFUNCTION("""COMPUTED_VALUE"""),"ADOLESCENTES MUJERES")</f>
        <v>ADOLESCENTES MUJERES</v>
      </c>
    </row>
    <row r="77" spans="1:13">
      <c r="A77" s="107" t="str">
        <f ca="1">IFERROR(__xludf.DUMMYFUNCTION("""COMPUTED_VALUE"""),"5.1.1.1")</f>
        <v>5.1.1.1</v>
      </c>
      <c r="B77" s="107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77" s="107" t="str">
        <f ca="1">IFERROR(__xludf.DUMMYFUNCTION("""COMPUTED_VALUE"""),"3. Operación")</f>
        <v>3. Operación</v>
      </c>
      <c r="D77" s="107" t="str">
        <f ca="1">IFERROR(__xludf.DUMMYFUNCTION("""COMPUTED_VALUE"""),"Guadalajara bien educada")</f>
        <v>Guadalajara bien educada</v>
      </c>
      <c r="E77" s="107" t="str">
        <f ca="1">IFERROR(__xludf.DUMMYFUNCTION("""COMPUTED_VALUE"""),"Atención en Centros de Desarrollo Infantil")</f>
        <v>Atención en Centros de Desarrollo Infantil</v>
      </c>
      <c r="F77" s="107" t="str">
        <f ca="1">IFERROR(__xludf.DUMMYFUNCTION("""COMPUTED_VALUE"""),"A1C1. Procesos de formación brindados en CDI, CEDI y CAIC de educación inicial y preescolar ")</f>
        <v xml:space="preserve">A1C1. Procesos de formación brindados en CDI, CEDI y CAIC de educación inicial y preescolar </v>
      </c>
      <c r="G77" s="107" t="str">
        <f ca="1">IFERROR(__xludf.DUMMYFUNCTION("""COMPUTED_VALUE"""),"Porcentaje de Niñas y Niños que reciben educación inicial y preescolar en CDI, CEDI y CAIC en 2024")</f>
        <v>Porcentaje de Niñas y Niños que reciben educación inicial y preescolar en CDI, CEDI y CAIC en 2024</v>
      </c>
      <c r="H77" s="107" t="str">
        <f ca="1">IFERROR(__xludf.DUMMYFUNCTION("""COMPUTED_VALUE"""),"AH MAYO")</f>
        <v>AH MAYO</v>
      </c>
      <c r="I77" s="107" t="str">
        <f ca="1">IFERROR(__xludf.DUMMYFUNCTION("""COMPUTED_VALUE"""),"Mayo")</f>
        <v>Mayo</v>
      </c>
      <c r="J77" s="107" t="str">
        <f ca="1">IFERROR(__xludf.DUMMYFUNCTION("""COMPUTED_VALUE"""),"AH")</f>
        <v>AH</v>
      </c>
      <c r="K77" s="40"/>
      <c r="L77" s="107" t="str">
        <f ca="1">IFERROR(__xludf.DUMMYFUNCTION("""COMPUTED_VALUE"""),"TRIMESTRE 2")</f>
        <v>TRIMESTRE 2</v>
      </c>
      <c r="M77" s="107" t="str">
        <f ca="1">IFERROR(__xludf.DUMMYFUNCTION("""COMPUTED_VALUE"""),"ADOLESCENTES HOMBRES")</f>
        <v>ADOLESCENTES HOMBRES</v>
      </c>
    </row>
    <row r="78" spans="1:13">
      <c r="A78" s="107" t="str">
        <f ca="1">IFERROR(__xludf.DUMMYFUNCTION("""COMPUTED_VALUE"""),"5.1.1.1")</f>
        <v>5.1.1.1</v>
      </c>
      <c r="B78" s="107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78" s="107" t="str">
        <f ca="1">IFERROR(__xludf.DUMMYFUNCTION("""COMPUTED_VALUE"""),"3. Operación")</f>
        <v>3. Operación</v>
      </c>
      <c r="D78" s="107" t="str">
        <f ca="1">IFERROR(__xludf.DUMMYFUNCTION("""COMPUTED_VALUE"""),"Guadalajara bien educada")</f>
        <v>Guadalajara bien educada</v>
      </c>
      <c r="E78" s="107" t="str">
        <f ca="1">IFERROR(__xludf.DUMMYFUNCTION("""COMPUTED_VALUE"""),"Atención en Centros de Desarrollo Infantil")</f>
        <v>Atención en Centros de Desarrollo Infantil</v>
      </c>
      <c r="F78" s="107" t="str">
        <f ca="1">IFERROR(__xludf.DUMMYFUNCTION("""COMPUTED_VALUE"""),"A1C1. Procesos de formación brindados en CDI, CEDI y CAIC de educación inicial y preescolar ")</f>
        <v xml:space="preserve">A1C1. Procesos de formación brindados en CDI, CEDI y CAIC de educación inicial y preescolar </v>
      </c>
      <c r="G78" s="107" t="str">
        <f ca="1">IFERROR(__xludf.DUMMYFUNCTION("""COMPUTED_VALUE"""),"Porcentaje de Niñas y Niños que reciben educación inicial y preescolar en CDI, CEDI y CAIC en 2024")</f>
        <v>Porcentaje de Niñas y Niños que reciben educación inicial y preescolar en CDI, CEDI y CAIC en 2024</v>
      </c>
      <c r="H78" s="107" t="str">
        <f ca="1">IFERROR(__xludf.DUMMYFUNCTION("""COMPUTED_VALUE"""),"MUJ MAYO")</f>
        <v>MUJ MAYO</v>
      </c>
      <c r="I78" s="107" t="str">
        <f ca="1">IFERROR(__xludf.DUMMYFUNCTION("""COMPUTED_VALUE"""),"Mayo")</f>
        <v>Mayo</v>
      </c>
      <c r="J78" s="107" t="str">
        <f ca="1">IFERROR(__xludf.DUMMYFUNCTION("""COMPUTED_VALUE"""),"MUJ")</f>
        <v>MUJ</v>
      </c>
      <c r="K78" s="40"/>
      <c r="L78" s="107" t="str">
        <f ca="1">IFERROR(__xludf.DUMMYFUNCTION("""COMPUTED_VALUE"""),"TRIMESTRE 2")</f>
        <v>TRIMESTRE 2</v>
      </c>
      <c r="M78" s="107" t="str">
        <f ca="1">IFERROR(__xludf.DUMMYFUNCTION("""COMPUTED_VALUE"""),"MUJERES ADULTAS")</f>
        <v>MUJERES ADULTAS</v>
      </c>
    </row>
    <row r="79" spans="1:13">
      <c r="A79" s="107" t="str">
        <f ca="1">IFERROR(__xludf.DUMMYFUNCTION("""COMPUTED_VALUE"""),"5.1.1.1")</f>
        <v>5.1.1.1</v>
      </c>
      <c r="B79" s="107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79" s="107" t="str">
        <f ca="1">IFERROR(__xludf.DUMMYFUNCTION("""COMPUTED_VALUE"""),"3. Operación")</f>
        <v>3. Operación</v>
      </c>
      <c r="D79" s="107" t="str">
        <f ca="1">IFERROR(__xludf.DUMMYFUNCTION("""COMPUTED_VALUE"""),"Guadalajara bien educada")</f>
        <v>Guadalajara bien educada</v>
      </c>
      <c r="E79" s="107" t="str">
        <f ca="1">IFERROR(__xludf.DUMMYFUNCTION("""COMPUTED_VALUE"""),"Atención en Centros de Desarrollo Infantil")</f>
        <v>Atención en Centros de Desarrollo Infantil</v>
      </c>
      <c r="F79" s="107" t="str">
        <f ca="1">IFERROR(__xludf.DUMMYFUNCTION("""COMPUTED_VALUE"""),"A1C1. Procesos de formación brindados en CDI, CEDI y CAIC de educación inicial y preescolar ")</f>
        <v xml:space="preserve">A1C1. Procesos de formación brindados en CDI, CEDI y CAIC de educación inicial y preescolar </v>
      </c>
      <c r="G79" s="107" t="str">
        <f ca="1">IFERROR(__xludf.DUMMYFUNCTION("""COMPUTED_VALUE"""),"Porcentaje de Niñas y Niños que reciben educación inicial y preescolar en CDI, CEDI y CAIC en 2024")</f>
        <v>Porcentaje de Niñas y Niños que reciben educación inicial y preescolar en CDI, CEDI y CAIC en 2024</v>
      </c>
      <c r="H79" s="107" t="str">
        <f ca="1">IFERROR(__xludf.DUMMYFUNCTION("""COMPUTED_VALUE"""),"HOM MAYO")</f>
        <v>HOM MAYO</v>
      </c>
      <c r="I79" s="107" t="str">
        <f ca="1">IFERROR(__xludf.DUMMYFUNCTION("""COMPUTED_VALUE"""),"Mayo")</f>
        <v>Mayo</v>
      </c>
      <c r="J79" s="107" t="str">
        <f ca="1">IFERROR(__xludf.DUMMYFUNCTION("""COMPUTED_VALUE"""),"HOM")</f>
        <v>HOM</v>
      </c>
      <c r="K79" s="40"/>
      <c r="L79" s="107" t="str">
        <f ca="1">IFERROR(__xludf.DUMMYFUNCTION("""COMPUTED_VALUE"""),"TRIMESTRE 2")</f>
        <v>TRIMESTRE 2</v>
      </c>
      <c r="M79" s="107" t="str">
        <f ca="1">IFERROR(__xludf.DUMMYFUNCTION("""COMPUTED_VALUE"""),"HOMBRES ADULTOS")</f>
        <v>HOMBRES ADULTOS</v>
      </c>
    </row>
    <row r="80" spans="1:13">
      <c r="A80" s="107" t="str">
        <f ca="1">IFERROR(__xludf.DUMMYFUNCTION("""COMPUTED_VALUE"""),"5.1.1.1")</f>
        <v>5.1.1.1</v>
      </c>
      <c r="B80" s="107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80" s="107" t="str">
        <f ca="1">IFERROR(__xludf.DUMMYFUNCTION("""COMPUTED_VALUE"""),"3. Operación")</f>
        <v>3. Operación</v>
      </c>
      <c r="D80" s="107" t="str">
        <f ca="1">IFERROR(__xludf.DUMMYFUNCTION("""COMPUTED_VALUE"""),"Guadalajara bien educada")</f>
        <v>Guadalajara bien educada</v>
      </c>
      <c r="E80" s="107" t="str">
        <f ca="1">IFERROR(__xludf.DUMMYFUNCTION("""COMPUTED_VALUE"""),"Atención en Centros de Desarrollo Infantil")</f>
        <v>Atención en Centros de Desarrollo Infantil</v>
      </c>
      <c r="F80" s="107" t="str">
        <f ca="1">IFERROR(__xludf.DUMMYFUNCTION("""COMPUTED_VALUE"""),"A1C1. Procesos de formación brindados en CDI, CEDI y CAIC de educación inicial y preescolar ")</f>
        <v xml:space="preserve">A1C1. Procesos de formación brindados en CDI, CEDI y CAIC de educación inicial y preescolar </v>
      </c>
      <c r="G80" s="107" t="str">
        <f ca="1">IFERROR(__xludf.DUMMYFUNCTION("""COMPUTED_VALUE"""),"Porcentaje de Niñas y Niños que reciben educación inicial y preescolar en CDI, CEDI y CAIC en 2024")</f>
        <v>Porcentaje de Niñas y Niños que reciben educación inicial y preescolar en CDI, CEDI y CAIC en 2024</v>
      </c>
      <c r="H80" s="107" t="str">
        <f ca="1">IFERROR(__xludf.DUMMYFUNCTION("""COMPUTED_VALUE"""),"AMM MAYO")</f>
        <v>AMM MAYO</v>
      </c>
      <c r="I80" s="107" t="str">
        <f ca="1">IFERROR(__xludf.DUMMYFUNCTION("""COMPUTED_VALUE"""),"Mayo")</f>
        <v>Mayo</v>
      </c>
      <c r="J80" s="107" t="str">
        <f ca="1">IFERROR(__xludf.DUMMYFUNCTION("""COMPUTED_VALUE"""),"AMM")</f>
        <v>AMM</v>
      </c>
      <c r="K80" s="40"/>
      <c r="L80" s="107" t="str">
        <f ca="1">IFERROR(__xludf.DUMMYFUNCTION("""COMPUTED_VALUE"""),"TRIMESTRE 2")</f>
        <v>TRIMESTRE 2</v>
      </c>
      <c r="M80" s="107" t="str">
        <f ca="1">IFERROR(__xludf.DUMMYFUNCTION("""COMPUTED_VALUE"""),"ADULTA MAYOR MUJER")</f>
        <v>ADULTA MAYOR MUJER</v>
      </c>
    </row>
    <row r="81" spans="1:13">
      <c r="A81" s="107" t="str">
        <f ca="1">IFERROR(__xludf.DUMMYFUNCTION("""COMPUTED_VALUE"""),"5.1.1.1")</f>
        <v>5.1.1.1</v>
      </c>
      <c r="B81" s="107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81" s="107" t="str">
        <f ca="1">IFERROR(__xludf.DUMMYFUNCTION("""COMPUTED_VALUE"""),"3. Operación")</f>
        <v>3. Operación</v>
      </c>
      <c r="D81" s="107" t="str">
        <f ca="1">IFERROR(__xludf.DUMMYFUNCTION("""COMPUTED_VALUE"""),"Guadalajara bien educada")</f>
        <v>Guadalajara bien educada</v>
      </c>
      <c r="E81" s="107" t="str">
        <f ca="1">IFERROR(__xludf.DUMMYFUNCTION("""COMPUTED_VALUE"""),"Atención en Centros de Desarrollo Infantil")</f>
        <v>Atención en Centros de Desarrollo Infantil</v>
      </c>
      <c r="F81" s="107" t="str">
        <f ca="1">IFERROR(__xludf.DUMMYFUNCTION("""COMPUTED_VALUE"""),"A1C1. Procesos de formación brindados en CDI, CEDI y CAIC de educación inicial y preescolar ")</f>
        <v xml:space="preserve">A1C1. Procesos de formación brindados en CDI, CEDI y CAIC de educación inicial y preescolar </v>
      </c>
      <c r="G81" s="107" t="str">
        <f ca="1">IFERROR(__xludf.DUMMYFUNCTION("""COMPUTED_VALUE"""),"Porcentaje de Niñas y Niños que reciben educación inicial y preescolar en CDI, CEDI y CAIC en 2024")</f>
        <v>Porcentaje de Niñas y Niños que reciben educación inicial y preescolar en CDI, CEDI y CAIC en 2024</v>
      </c>
      <c r="H81" s="107" t="str">
        <f ca="1">IFERROR(__xludf.DUMMYFUNCTION("""COMPUTED_VALUE"""),"AMH MAYO")</f>
        <v>AMH MAYO</v>
      </c>
      <c r="I81" s="107" t="str">
        <f ca="1">IFERROR(__xludf.DUMMYFUNCTION("""COMPUTED_VALUE"""),"Mayo")</f>
        <v>Mayo</v>
      </c>
      <c r="J81" s="107" t="str">
        <f ca="1">IFERROR(__xludf.DUMMYFUNCTION("""COMPUTED_VALUE"""),"AMH")</f>
        <v>AMH</v>
      </c>
      <c r="K81" s="40"/>
      <c r="L81" s="107" t="str">
        <f ca="1">IFERROR(__xludf.DUMMYFUNCTION("""COMPUTED_VALUE"""),"TRIMESTRE 2")</f>
        <v>TRIMESTRE 2</v>
      </c>
      <c r="M81" s="107" t="str">
        <f ca="1">IFERROR(__xludf.DUMMYFUNCTION("""COMPUTED_VALUE"""),"ADULTO MAYOR HOMBRE")</f>
        <v>ADULTO MAYOR HOMBRE</v>
      </c>
    </row>
    <row r="82" spans="1:13">
      <c r="A82" s="107" t="str">
        <f ca="1">IFERROR(__xludf.DUMMYFUNCTION("""COMPUTED_VALUE"""),"5.1.1.0")</f>
        <v>5.1.1.0</v>
      </c>
      <c r="B82" s="107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82" s="107" t="str">
        <f ca="1">IFERROR(__xludf.DUMMYFUNCTION("""COMPUTED_VALUE"""),"3. Operación")</f>
        <v>3. Operación</v>
      </c>
      <c r="D82" s="107" t="str">
        <f ca="1">IFERROR(__xludf.DUMMYFUNCTION("""COMPUTED_VALUE"""),"Guadalajara bien educada")</f>
        <v>Guadalajara bien educada</v>
      </c>
      <c r="E82" s="107" t="str">
        <f ca="1">IFERROR(__xludf.DUMMYFUNCTION("""COMPUTED_VALUE"""),"Atención en Centros de Desarrollo Infantil")</f>
        <v>Atención en Centros de Desarrollo Infantil</v>
      </c>
      <c r="F82" s="107" t="str">
        <f ca="1">IFERROR(__xludf.DUMMYFUNCTION("""COMPUTED_VALUE"""),"C1. Servicio de educación inicial y preescolar para niñas y niños en condición de vulnerabilidad económica brindados en CDI, CEDI y CAIC ")</f>
        <v xml:space="preserve">C1. Servicio de educación inicial y preescolar para niñas y niños en condición de vulnerabilidad económica brindados en CDI, CEDI y CAIC </v>
      </c>
      <c r="G82" s="107" t="str">
        <f ca="1">IFERROR(__xludf.DUMMYFUNCTION("""COMPUTED_VALUE"""),"Porcentaje de demanda cubierta sobre servicios de atención educativa y asistencial para niñas y niños en condición de vulnerabilidad económica en 2024")</f>
        <v>Porcentaje de demanda cubierta sobre servicios de atención educativa y asistencial para niñas y niños en condición de vulnerabilidad económica en 2024</v>
      </c>
      <c r="H82" s="107" t="str">
        <f ca="1">IFERROR(__xludf.DUMMYFUNCTION("""COMPUTED_VALUE"""),"NAS JUNIO")</f>
        <v>NAS JUNIO</v>
      </c>
      <c r="I82" s="107" t="str">
        <f ca="1">IFERROR(__xludf.DUMMYFUNCTION("""COMPUTED_VALUE"""),"Junio")</f>
        <v>Junio</v>
      </c>
      <c r="J82" s="107" t="str">
        <f ca="1">IFERROR(__xludf.DUMMYFUNCTION("""COMPUTED_VALUE"""),"NAS")</f>
        <v>NAS</v>
      </c>
      <c r="K82" s="40">
        <f ca="1">IFERROR(__xludf.DUMMYFUNCTION("""COMPUTED_VALUE"""),7)</f>
        <v>7</v>
      </c>
      <c r="L82" s="107" t="str">
        <f ca="1">IFERROR(__xludf.DUMMYFUNCTION("""COMPUTED_VALUE"""),"TRIMESTRE 2")</f>
        <v>TRIMESTRE 2</v>
      </c>
      <c r="M82" s="107" t="str">
        <f ca="1">IFERROR(__xludf.DUMMYFUNCTION("""COMPUTED_VALUE"""),"NIÑAS")</f>
        <v>NIÑAS</v>
      </c>
    </row>
    <row r="83" spans="1:13">
      <c r="A83" s="107" t="str">
        <f ca="1">IFERROR(__xludf.DUMMYFUNCTION("""COMPUTED_VALUE"""),"5.1.1.0")</f>
        <v>5.1.1.0</v>
      </c>
      <c r="B83" s="107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83" s="107" t="str">
        <f ca="1">IFERROR(__xludf.DUMMYFUNCTION("""COMPUTED_VALUE"""),"3. Operación")</f>
        <v>3. Operación</v>
      </c>
      <c r="D83" s="107" t="str">
        <f ca="1">IFERROR(__xludf.DUMMYFUNCTION("""COMPUTED_VALUE"""),"Guadalajara bien educada")</f>
        <v>Guadalajara bien educada</v>
      </c>
      <c r="E83" s="107" t="str">
        <f ca="1">IFERROR(__xludf.DUMMYFUNCTION("""COMPUTED_VALUE"""),"Atención en Centros de Desarrollo Infantil")</f>
        <v>Atención en Centros de Desarrollo Infantil</v>
      </c>
      <c r="F83" s="107" t="str">
        <f ca="1">IFERROR(__xludf.DUMMYFUNCTION("""COMPUTED_VALUE"""),"C1. Servicio de educación inicial y preescolar para niñas y niños en condición de vulnerabilidad económica brindados en CDI, CEDI y CAIC ")</f>
        <v xml:space="preserve">C1. Servicio de educación inicial y preescolar para niñas y niños en condición de vulnerabilidad económica brindados en CDI, CEDI y CAIC </v>
      </c>
      <c r="G83" s="107" t="str">
        <f ca="1">IFERROR(__xludf.DUMMYFUNCTION("""COMPUTED_VALUE"""),"Porcentaje de demanda cubierta sobre servicios de atención educativa y asistencial para niñas y niños en condición de vulnerabilidad económica en 2024")</f>
        <v>Porcentaje de demanda cubierta sobre servicios de atención educativa y asistencial para niñas y niños en condición de vulnerabilidad económica en 2024</v>
      </c>
      <c r="H83" s="107" t="str">
        <f ca="1">IFERROR(__xludf.DUMMYFUNCTION("""COMPUTED_VALUE"""),"NOS JUNIO")</f>
        <v>NOS JUNIO</v>
      </c>
      <c r="I83" s="107" t="str">
        <f ca="1">IFERROR(__xludf.DUMMYFUNCTION("""COMPUTED_VALUE"""),"Junio")</f>
        <v>Junio</v>
      </c>
      <c r="J83" s="107" t="str">
        <f ca="1">IFERROR(__xludf.DUMMYFUNCTION("""COMPUTED_VALUE"""),"NOS")</f>
        <v>NOS</v>
      </c>
      <c r="K83" s="40">
        <f ca="1">IFERROR(__xludf.DUMMYFUNCTION("""COMPUTED_VALUE"""),11)</f>
        <v>11</v>
      </c>
      <c r="L83" s="107" t="str">
        <f ca="1">IFERROR(__xludf.DUMMYFUNCTION("""COMPUTED_VALUE"""),"TRIMESTRE 2")</f>
        <v>TRIMESTRE 2</v>
      </c>
      <c r="M83" s="107" t="str">
        <f ca="1">IFERROR(__xludf.DUMMYFUNCTION("""COMPUTED_VALUE"""),"NIÑOS")</f>
        <v>NIÑOS</v>
      </c>
    </row>
    <row r="84" spans="1:13">
      <c r="A84" s="107" t="str">
        <f ca="1">IFERROR(__xludf.DUMMYFUNCTION("""COMPUTED_VALUE"""),"5.1.1.0")</f>
        <v>5.1.1.0</v>
      </c>
      <c r="B84" s="107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84" s="107" t="str">
        <f ca="1">IFERROR(__xludf.DUMMYFUNCTION("""COMPUTED_VALUE"""),"3. Operación")</f>
        <v>3. Operación</v>
      </c>
      <c r="D84" s="107" t="str">
        <f ca="1">IFERROR(__xludf.DUMMYFUNCTION("""COMPUTED_VALUE"""),"Guadalajara bien educada")</f>
        <v>Guadalajara bien educada</v>
      </c>
      <c r="E84" s="107" t="str">
        <f ca="1">IFERROR(__xludf.DUMMYFUNCTION("""COMPUTED_VALUE"""),"Atención en Centros de Desarrollo Infantil")</f>
        <v>Atención en Centros de Desarrollo Infantil</v>
      </c>
      <c r="F84" s="107" t="str">
        <f ca="1">IFERROR(__xludf.DUMMYFUNCTION("""COMPUTED_VALUE"""),"C1. Servicio de educación inicial y preescolar para niñas y niños en condición de vulnerabilidad económica brindados en CDI, CEDI y CAIC ")</f>
        <v xml:space="preserve">C1. Servicio de educación inicial y preescolar para niñas y niños en condición de vulnerabilidad económica brindados en CDI, CEDI y CAIC </v>
      </c>
      <c r="G84" s="107" t="str">
        <f ca="1">IFERROR(__xludf.DUMMYFUNCTION("""COMPUTED_VALUE"""),"Porcentaje de demanda cubierta sobre servicios de atención educativa y asistencial para niñas y niños en condición de vulnerabilidad económica en 2024")</f>
        <v>Porcentaje de demanda cubierta sobre servicios de atención educativa y asistencial para niñas y niños en condición de vulnerabilidad económica en 2024</v>
      </c>
      <c r="H84" s="107" t="str">
        <f ca="1">IFERROR(__xludf.DUMMYFUNCTION("""COMPUTED_VALUE"""),"AM JUNIO")</f>
        <v>AM JUNIO</v>
      </c>
      <c r="I84" s="107" t="str">
        <f ca="1">IFERROR(__xludf.DUMMYFUNCTION("""COMPUTED_VALUE"""),"Junio")</f>
        <v>Junio</v>
      </c>
      <c r="J84" s="107" t="str">
        <f ca="1">IFERROR(__xludf.DUMMYFUNCTION("""COMPUTED_VALUE"""),"AM")</f>
        <v>AM</v>
      </c>
      <c r="K84" s="40"/>
      <c r="L84" s="107" t="str">
        <f ca="1">IFERROR(__xludf.DUMMYFUNCTION("""COMPUTED_VALUE"""),"TRIMESTRE 2")</f>
        <v>TRIMESTRE 2</v>
      </c>
      <c r="M84" s="107" t="str">
        <f ca="1">IFERROR(__xludf.DUMMYFUNCTION("""COMPUTED_VALUE"""),"ADOLESCENTES MUJERES")</f>
        <v>ADOLESCENTES MUJERES</v>
      </c>
    </row>
    <row r="85" spans="1:13">
      <c r="A85" s="107" t="str">
        <f ca="1">IFERROR(__xludf.DUMMYFUNCTION("""COMPUTED_VALUE"""),"5.1.1.0")</f>
        <v>5.1.1.0</v>
      </c>
      <c r="B85" s="107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85" s="107" t="str">
        <f ca="1">IFERROR(__xludf.DUMMYFUNCTION("""COMPUTED_VALUE"""),"3. Operación")</f>
        <v>3. Operación</v>
      </c>
      <c r="D85" s="107" t="str">
        <f ca="1">IFERROR(__xludf.DUMMYFUNCTION("""COMPUTED_VALUE"""),"Guadalajara bien educada")</f>
        <v>Guadalajara bien educada</v>
      </c>
      <c r="E85" s="107" t="str">
        <f ca="1">IFERROR(__xludf.DUMMYFUNCTION("""COMPUTED_VALUE"""),"Atención en Centros de Desarrollo Infantil")</f>
        <v>Atención en Centros de Desarrollo Infantil</v>
      </c>
      <c r="F85" s="107" t="str">
        <f ca="1">IFERROR(__xludf.DUMMYFUNCTION("""COMPUTED_VALUE"""),"C1. Servicio de educación inicial y preescolar para niñas y niños en condición de vulnerabilidad económica brindados en CDI, CEDI y CAIC ")</f>
        <v xml:space="preserve">C1. Servicio de educación inicial y preescolar para niñas y niños en condición de vulnerabilidad económica brindados en CDI, CEDI y CAIC </v>
      </c>
      <c r="G85" s="107" t="str">
        <f ca="1">IFERROR(__xludf.DUMMYFUNCTION("""COMPUTED_VALUE"""),"Porcentaje de demanda cubierta sobre servicios de atención educativa y asistencial para niñas y niños en condición de vulnerabilidad económica en 2024")</f>
        <v>Porcentaje de demanda cubierta sobre servicios de atención educativa y asistencial para niñas y niños en condición de vulnerabilidad económica en 2024</v>
      </c>
      <c r="H85" s="107" t="str">
        <f ca="1">IFERROR(__xludf.DUMMYFUNCTION("""COMPUTED_VALUE"""),"AH JUNIO")</f>
        <v>AH JUNIO</v>
      </c>
      <c r="I85" s="107" t="str">
        <f ca="1">IFERROR(__xludf.DUMMYFUNCTION("""COMPUTED_VALUE"""),"Junio")</f>
        <v>Junio</v>
      </c>
      <c r="J85" s="107" t="str">
        <f ca="1">IFERROR(__xludf.DUMMYFUNCTION("""COMPUTED_VALUE"""),"AH")</f>
        <v>AH</v>
      </c>
      <c r="K85" s="40"/>
      <c r="L85" s="107" t="str">
        <f ca="1">IFERROR(__xludf.DUMMYFUNCTION("""COMPUTED_VALUE"""),"TRIMESTRE 2")</f>
        <v>TRIMESTRE 2</v>
      </c>
      <c r="M85" s="107" t="str">
        <f ca="1">IFERROR(__xludf.DUMMYFUNCTION("""COMPUTED_VALUE"""),"ADOLESCENTES HOMBRES")</f>
        <v>ADOLESCENTES HOMBRES</v>
      </c>
    </row>
    <row r="86" spans="1:13">
      <c r="A86" s="107" t="str">
        <f ca="1">IFERROR(__xludf.DUMMYFUNCTION("""COMPUTED_VALUE"""),"5.1.1.0")</f>
        <v>5.1.1.0</v>
      </c>
      <c r="B86" s="107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86" s="107" t="str">
        <f ca="1">IFERROR(__xludf.DUMMYFUNCTION("""COMPUTED_VALUE"""),"3. Operación")</f>
        <v>3. Operación</v>
      </c>
      <c r="D86" s="107" t="str">
        <f ca="1">IFERROR(__xludf.DUMMYFUNCTION("""COMPUTED_VALUE"""),"Guadalajara bien educada")</f>
        <v>Guadalajara bien educada</v>
      </c>
      <c r="E86" s="107" t="str">
        <f ca="1">IFERROR(__xludf.DUMMYFUNCTION("""COMPUTED_VALUE"""),"Atención en Centros de Desarrollo Infantil")</f>
        <v>Atención en Centros de Desarrollo Infantil</v>
      </c>
      <c r="F86" s="107" t="str">
        <f ca="1">IFERROR(__xludf.DUMMYFUNCTION("""COMPUTED_VALUE"""),"C1. Servicio de educación inicial y preescolar para niñas y niños en condición de vulnerabilidad económica brindados en CDI, CEDI y CAIC ")</f>
        <v xml:space="preserve">C1. Servicio de educación inicial y preescolar para niñas y niños en condición de vulnerabilidad económica brindados en CDI, CEDI y CAIC </v>
      </c>
      <c r="G86" s="107" t="str">
        <f ca="1">IFERROR(__xludf.DUMMYFUNCTION("""COMPUTED_VALUE"""),"Porcentaje de demanda cubierta sobre servicios de atención educativa y asistencial para niñas y niños en condición de vulnerabilidad económica en 2024")</f>
        <v>Porcentaje de demanda cubierta sobre servicios de atención educativa y asistencial para niñas y niños en condición de vulnerabilidad económica en 2024</v>
      </c>
      <c r="H86" s="107" t="str">
        <f ca="1">IFERROR(__xludf.DUMMYFUNCTION("""COMPUTED_VALUE"""),"MUJ JUNIO")</f>
        <v>MUJ JUNIO</v>
      </c>
      <c r="I86" s="107" t="str">
        <f ca="1">IFERROR(__xludf.DUMMYFUNCTION("""COMPUTED_VALUE"""),"Junio")</f>
        <v>Junio</v>
      </c>
      <c r="J86" s="107" t="str">
        <f ca="1">IFERROR(__xludf.DUMMYFUNCTION("""COMPUTED_VALUE"""),"MUJ")</f>
        <v>MUJ</v>
      </c>
      <c r="K86" s="40"/>
      <c r="L86" s="107" t="str">
        <f ca="1">IFERROR(__xludf.DUMMYFUNCTION("""COMPUTED_VALUE"""),"TRIMESTRE 2")</f>
        <v>TRIMESTRE 2</v>
      </c>
      <c r="M86" s="107" t="str">
        <f ca="1">IFERROR(__xludf.DUMMYFUNCTION("""COMPUTED_VALUE"""),"MUJERES ADULTAS")</f>
        <v>MUJERES ADULTAS</v>
      </c>
    </row>
    <row r="87" spans="1:13">
      <c r="A87" s="107" t="str">
        <f ca="1">IFERROR(__xludf.DUMMYFUNCTION("""COMPUTED_VALUE"""),"5.1.1.0")</f>
        <v>5.1.1.0</v>
      </c>
      <c r="B87" s="107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87" s="107" t="str">
        <f ca="1">IFERROR(__xludf.DUMMYFUNCTION("""COMPUTED_VALUE"""),"3. Operación")</f>
        <v>3. Operación</v>
      </c>
      <c r="D87" s="107" t="str">
        <f ca="1">IFERROR(__xludf.DUMMYFUNCTION("""COMPUTED_VALUE"""),"Guadalajara bien educada")</f>
        <v>Guadalajara bien educada</v>
      </c>
      <c r="E87" s="107" t="str">
        <f ca="1">IFERROR(__xludf.DUMMYFUNCTION("""COMPUTED_VALUE"""),"Atención en Centros de Desarrollo Infantil")</f>
        <v>Atención en Centros de Desarrollo Infantil</v>
      </c>
      <c r="F87" s="107" t="str">
        <f ca="1">IFERROR(__xludf.DUMMYFUNCTION("""COMPUTED_VALUE"""),"C1. Servicio de educación inicial y preescolar para niñas y niños en condición de vulnerabilidad económica brindados en CDI, CEDI y CAIC ")</f>
        <v xml:space="preserve">C1. Servicio de educación inicial y preescolar para niñas y niños en condición de vulnerabilidad económica brindados en CDI, CEDI y CAIC </v>
      </c>
      <c r="G87" s="107" t="str">
        <f ca="1">IFERROR(__xludf.DUMMYFUNCTION("""COMPUTED_VALUE"""),"Porcentaje de demanda cubierta sobre servicios de atención educativa y asistencial para niñas y niños en condición de vulnerabilidad económica en 2024")</f>
        <v>Porcentaje de demanda cubierta sobre servicios de atención educativa y asistencial para niñas y niños en condición de vulnerabilidad económica en 2024</v>
      </c>
      <c r="H87" s="107" t="str">
        <f ca="1">IFERROR(__xludf.DUMMYFUNCTION("""COMPUTED_VALUE"""),"HOM JUNIO")</f>
        <v>HOM JUNIO</v>
      </c>
      <c r="I87" s="107" t="str">
        <f ca="1">IFERROR(__xludf.DUMMYFUNCTION("""COMPUTED_VALUE"""),"Junio")</f>
        <v>Junio</v>
      </c>
      <c r="J87" s="107" t="str">
        <f ca="1">IFERROR(__xludf.DUMMYFUNCTION("""COMPUTED_VALUE"""),"HOM")</f>
        <v>HOM</v>
      </c>
      <c r="K87" s="40"/>
      <c r="L87" s="107" t="str">
        <f ca="1">IFERROR(__xludf.DUMMYFUNCTION("""COMPUTED_VALUE"""),"TRIMESTRE 2")</f>
        <v>TRIMESTRE 2</v>
      </c>
      <c r="M87" s="107" t="str">
        <f ca="1">IFERROR(__xludf.DUMMYFUNCTION("""COMPUTED_VALUE"""),"HOMBRES ADULTOS")</f>
        <v>HOMBRES ADULTOS</v>
      </c>
    </row>
    <row r="88" spans="1:13">
      <c r="A88" s="107" t="str">
        <f ca="1">IFERROR(__xludf.DUMMYFUNCTION("""COMPUTED_VALUE"""),"5.1.1.0")</f>
        <v>5.1.1.0</v>
      </c>
      <c r="B88" s="107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88" s="107" t="str">
        <f ca="1">IFERROR(__xludf.DUMMYFUNCTION("""COMPUTED_VALUE"""),"3. Operación")</f>
        <v>3. Operación</v>
      </c>
      <c r="D88" s="107" t="str">
        <f ca="1">IFERROR(__xludf.DUMMYFUNCTION("""COMPUTED_VALUE"""),"Guadalajara bien educada")</f>
        <v>Guadalajara bien educada</v>
      </c>
      <c r="E88" s="107" t="str">
        <f ca="1">IFERROR(__xludf.DUMMYFUNCTION("""COMPUTED_VALUE"""),"Atención en Centros de Desarrollo Infantil")</f>
        <v>Atención en Centros de Desarrollo Infantil</v>
      </c>
      <c r="F88" s="107" t="str">
        <f ca="1">IFERROR(__xludf.DUMMYFUNCTION("""COMPUTED_VALUE"""),"C1. Servicio de educación inicial y preescolar para niñas y niños en condición de vulnerabilidad económica brindados en CDI, CEDI y CAIC ")</f>
        <v xml:space="preserve">C1. Servicio de educación inicial y preescolar para niñas y niños en condición de vulnerabilidad económica brindados en CDI, CEDI y CAIC </v>
      </c>
      <c r="G88" s="107" t="str">
        <f ca="1">IFERROR(__xludf.DUMMYFUNCTION("""COMPUTED_VALUE"""),"Porcentaje de demanda cubierta sobre servicios de atención educativa y asistencial para niñas y niños en condición de vulnerabilidad económica en 2024")</f>
        <v>Porcentaje de demanda cubierta sobre servicios de atención educativa y asistencial para niñas y niños en condición de vulnerabilidad económica en 2024</v>
      </c>
      <c r="H88" s="107" t="str">
        <f ca="1">IFERROR(__xludf.DUMMYFUNCTION("""COMPUTED_VALUE"""),"AMM JUNIO")</f>
        <v>AMM JUNIO</v>
      </c>
      <c r="I88" s="107" t="str">
        <f ca="1">IFERROR(__xludf.DUMMYFUNCTION("""COMPUTED_VALUE"""),"Junio")</f>
        <v>Junio</v>
      </c>
      <c r="J88" s="107" t="str">
        <f ca="1">IFERROR(__xludf.DUMMYFUNCTION("""COMPUTED_VALUE"""),"AMM")</f>
        <v>AMM</v>
      </c>
      <c r="K88" s="40"/>
      <c r="L88" s="107" t="str">
        <f ca="1">IFERROR(__xludf.DUMMYFUNCTION("""COMPUTED_VALUE"""),"TRIMESTRE 2")</f>
        <v>TRIMESTRE 2</v>
      </c>
      <c r="M88" s="107" t="str">
        <f ca="1">IFERROR(__xludf.DUMMYFUNCTION("""COMPUTED_VALUE"""),"ADULTA MAYOR MUJER")</f>
        <v>ADULTA MAYOR MUJER</v>
      </c>
    </row>
    <row r="89" spans="1:13">
      <c r="A89" s="107" t="str">
        <f ca="1">IFERROR(__xludf.DUMMYFUNCTION("""COMPUTED_VALUE"""),"5.1.1.0")</f>
        <v>5.1.1.0</v>
      </c>
      <c r="B89" s="107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89" s="107" t="str">
        <f ca="1">IFERROR(__xludf.DUMMYFUNCTION("""COMPUTED_VALUE"""),"3. Operación")</f>
        <v>3. Operación</v>
      </c>
      <c r="D89" s="107" t="str">
        <f ca="1">IFERROR(__xludf.DUMMYFUNCTION("""COMPUTED_VALUE"""),"Guadalajara bien educada")</f>
        <v>Guadalajara bien educada</v>
      </c>
      <c r="E89" s="107" t="str">
        <f ca="1">IFERROR(__xludf.DUMMYFUNCTION("""COMPUTED_VALUE"""),"Atención en Centros de Desarrollo Infantil")</f>
        <v>Atención en Centros de Desarrollo Infantil</v>
      </c>
      <c r="F89" s="107" t="str">
        <f ca="1">IFERROR(__xludf.DUMMYFUNCTION("""COMPUTED_VALUE"""),"C1. Servicio de educación inicial y preescolar para niñas y niños en condición de vulnerabilidad económica brindados en CDI, CEDI y CAIC ")</f>
        <v xml:space="preserve">C1. Servicio de educación inicial y preescolar para niñas y niños en condición de vulnerabilidad económica brindados en CDI, CEDI y CAIC </v>
      </c>
      <c r="G89" s="107" t="str">
        <f ca="1">IFERROR(__xludf.DUMMYFUNCTION("""COMPUTED_VALUE"""),"Porcentaje de demanda cubierta sobre servicios de atención educativa y asistencial para niñas y niños en condición de vulnerabilidad económica en 2024")</f>
        <v>Porcentaje de demanda cubierta sobre servicios de atención educativa y asistencial para niñas y niños en condición de vulnerabilidad económica en 2024</v>
      </c>
      <c r="H89" s="107" t="str">
        <f ca="1">IFERROR(__xludf.DUMMYFUNCTION("""COMPUTED_VALUE"""),"AMH JUNIO")</f>
        <v>AMH JUNIO</v>
      </c>
      <c r="I89" s="107" t="str">
        <f ca="1">IFERROR(__xludf.DUMMYFUNCTION("""COMPUTED_VALUE"""),"Junio")</f>
        <v>Junio</v>
      </c>
      <c r="J89" s="107" t="str">
        <f ca="1">IFERROR(__xludf.DUMMYFUNCTION("""COMPUTED_VALUE"""),"AMH")</f>
        <v>AMH</v>
      </c>
      <c r="K89" s="40"/>
      <c r="L89" s="107" t="str">
        <f ca="1">IFERROR(__xludf.DUMMYFUNCTION("""COMPUTED_VALUE"""),"TRIMESTRE 2")</f>
        <v>TRIMESTRE 2</v>
      </c>
      <c r="M89" s="107" t="str">
        <f ca="1">IFERROR(__xludf.DUMMYFUNCTION("""COMPUTED_VALUE"""),"ADULTO MAYOR HOMBRE")</f>
        <v>ADULTO MAYOR HOMBRE</v>
      </c>
    </row>
    <row r="90" spans="1:13">
      <c r="A90" s="107" t="str">
        <f ca="1">IFERROR(__xludf.DUMMYFUNCTION("""COMPUTED_VALUE"""),"5.1.1.1")</f>
        <v>5.1.1.1</v>
      </c>
      <c r="B90" s="107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90" s="107" t="str">
        <f ca="1">IFERROR(__xludf.DUMMYFUNCTION("""COMPUTED_VALUE"""),"3. Operación")</f>
        <v>3. Operación</v>
      </c>
      <c r="D90" s="107" t="str">
        <f ca="1">IFERROR(__xludf.DUMMYFUNCTION("""COMPUTED_VALUE"""),"Guadalajara bien educada")</f>
        <v>Guadalajara bien educada</v>
      </c>
      <c r="E90" s="107" t="str">
        <f ca="1">IFERROR(__xludf.DUMMYFUNCTION("""COMPUTED_VALUE"""),"Atención en Centros de Desarrollo Infantil")</f>
        <v>Atención en Centros de Desarrollo Infantil</v>
      </c>
      <c r="F90" s="107" t="str">
        <f ca="1">IFERROR(__xludf.DUMMYFUNCTION("""COMPUTED_VALUE"""),"A1C1. Procesos de formación brindados en CDI, CEDI y CAIC de educación inicial y preescolar ")</f>
        <v xml:space="preserve">A1C1. Procesos de formación brindados en CDI, CEDI y CAIC de educación inicial y preescolar </v>
      </c>
      <c r="G90" s="107" t="str">
        <f ca="1">IFERROR(__xludf.DUMMYFUNCTION("""COMPUTED_VALUE"""),"Porcentaje de Niñas y Niños que reciben educación inicial y preescolar en CDI, CEDI y CAIC en 2024")</f>
        <v>Porcentaje de Niñas y Niños que reciben educación inicial y preescolar en CDI, CEDI y CAIC en 2024</v>
      </c>
      <c r="H90" s="107" t="str">
        <f ca="1">IFERROR(__xludf.DUMMYFUNCTION("""COMPUTED_VALUE"""),"NAS JUNIO")</f>
        <v>NAS JUNIO</v>
      </c>
      <c r="I90" s="107" t="str">
        <f ca="1">IFERROR(__xludf.DUMMYFUNCTION("""COMPUTED_VALUE"""),"Junio")</f>
        <v>Junio</v>
      </c>
      <c r="J90" s="107" t="str">
        <f ca="1">IFERROR(__xludf.DUMMYFUNCTION("""COMPUTED_VALUE"""),"NAS")</f>
        <v>NAS</v>
      </c>
      <c r="K90" s="40">
        <f ca="1">IFERROR(__xludf.DUMMYFUNCTION("""COMPUTED_VALUE"""),7)</f>
        <v>7</v>
      </c>
      <c r="L90" s="107" t="str">
        <f ca="1">IFERROR(__xludf.DUMMYFUNCTION("""COMPUTED_VALUE"""),"TRIMESTRE 2")</f>
        <v>TRIMESTRE 2</v>
      </c>
      <c r="M90" s="107" t="str">
        <f ca="1">IFERROR(__xludf.DUMMYFUNCTION("""COMPUTED_VALUE"""),"NIÑAS")</f>
        <v>NIÑAS</v>
      </c>
    </row>
    <row r="91" spans="1:13">
      <c r="A91" s="107" t="str">
        <f ca="1">IFERROR(__xludf.DUMMYFUNCTION("""COMPUTED_VALUE"""),"5.1.1.1")</f>
        <v>5.1.1.1</v>
      </c>
      <c r="B91" s="107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91" s="107" t="str">
        <f ca="1">IFERROR(__xludf.DUMMYFUNCTION("""COMPUTED_VALUE"""),"3. Operación")</f>
        <v>3. Operación</v>
      </c>
      <c r="D91" s="107" t="str">
        <f ca="1">IFERROR(__xludf.DUMMYFUNCTION("""COMPUTED_VALUE"""),"Guadalajara bien educada")</f>
        <v>Guadalajara bien educada</v>
      </c>
      <c r="E91" s="107" t="str">
        <f ca="1">IFERROR(__xludf.DUMMYFUNCTION("""COMPUTED_VALUE"""),"Atención en Centros de Desarrollo Infantil")</f>
        <v>Atención en Centros de Desarrollo Infantil</v>
      </c>
      <c r="F91" s="107" t="str">
        <f ca="1">IFERROR(__xludf.DUMMYFUNCTION("""COMPUTED_VALUE"""),"A1C1. Procesos de formación brindados en CDI, CEDI y CAIC de educación inicial y preescolar ")</f>
        <v xml:space="preserve">A1C1. Procesos de formación brindados en CDI, CEDI y CAIC de educación inicial y preescolar </v>
      </c>
      <c r="G91" s="107" t="str">
        <f ca="1">IFERROR(__xludf.DUMMYFUNCTION("""COMPUTED_VALUE"""),"Porcentaje de Niñas y Niños que reciben educación inicial y preescolar en CDI, CEDI y CAIC en 2024")</f>
        <v>Porcentaje de Niñas y Niños que reciben educación inicial y preescolar en CDI, CEDI y CAIC en 2024</v>
      </c>
      <c r="H91" s="107" t="str">
        <f ca="1">IFERROR(__xludf.DUMMYFUNCTION("""COMPUTED_VALUE"""),"NOS JUNIO")</f>
        <v>NOS JUNIO</v>
      </c>
      <c r="I91" s="107" t="str">
        <f ca="1">IFERROR(__xludf.DUMMYFUNCTION("""COMPUTED_VALUE"""),"Junio")</f>
        <v>Junio</v>
      </c>
      <c r="J91" s="107" t="str">
        <f ca="1">IFERROR(__xludf.DUMMYFUNCTION("""COMPUTED_VALUE"""),"NOS")</f>
        <v>NOS</v>
      </c>
      <c r="K91" s="40">
        <f ca="1">IFERROR(__xludf.DUMMYFUNCTION("""COMPUTED_VALUE"""),11)</f>
        <v>11</v>
      </c>
      <c r="L91" s="107" t="str">
        <f ca="1">IFERROR(__xludf.DUMMYFUNCTION("""COMPUTED_VALUE"""),"TRIMESTRE 2")</f>
        <v>TRIMESTRE 2</v>
      </c>
      <c r="M91" s="107" t="str">
        <f ca="1">IFERROR(__xludf.DUMMYFUNCTION("""COMPUTED_VALUE"""),"NIÑOS")</f>
        <v>NIÑOS</v>
      </c>
    </row>
    <row r="92" spans="1:13">
      <c r="A92" s="107" t="str">
        <f ca="1">IFERROR(__xludf.DUMMYFUNCTION("""COMPUTED_VALUE"""),"5.1.1.1")</f>
        <v>5.1.1.1</v>
      </c>
      <c r="B92" s="107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92" s="107" t="str">
        <f ca="1">IFERROR(__xludf.DUMMYFUNCTION("""COMPUTED_VALUE"""),"3. Operación")</f>
        <v>3. Operación</v>
      </c>
      <c r="D92" s="107" t="str">
        <f ca="1">IFERROR(__xludf.DUMMYFUNCTION("""COMPUTED_VALUE"""),"Guadalajara bien educada")</f>
        <v>Guadalajara bien educada</v>
      </c>
      <c r="E92" s="107" t="str">
        <f ca="1">IFERROR(__xludf.DUMMYFUNCTION("""COMPUTED_VALUE"""),"Atención en Centros de Desarrollo Infantil")</f>
        <v>Atención en Centros de Desarrollo Infantil</v>
      </c>
      <c r="F92" s="107" t="str">
        <f ca="1">IFERROR(__xludf.DUMMYFUNCTION("""COMPUTED_VALUE"""),"A1C1. Procesos de formación brindados en CDI, CEDI y CAIC de educación inicial y preescolar ")</f>
        <v xml:space="preserve">A1C1. Procesos de formación brindados en CDI, CEDI y CAIC de educación inicial y preescolar </v>
      </c>
      <c r="G92" s="107" t="str">
        <f ca="1">IFERROR(__xludf.DUMMYFUNCTION("""COMPUTED_VALUE"""),"Porcentaje de Niñas y Niños que reciben educación inicial y preescolar en CDI, CEDI y CAIC en 2024")</f>
        <v>Porcentaje de Niñas y Niños que reciben educación inicial y preescolar en CDI, CEDI y CAIC en 2024</v>
      </c>
      <c r="H92" s="107" t="str">
        <f ca="1">IFERROR(__xludf.DUMMYFUNCTION("""COMPUTED_VALUE"""),"AM JUNIO")</f>
        <v>AM JUNIO</v>
      </c>
      <c r="I92" s="107" t="str">
        <f ca="1">IFERROR(__xludf.DUMMYFUNCTION("""COMPUTED_VALUE"""),"Junio")</f>
        <v>Junio</v>
      </c>
      <c r="J92" s="107" t="str">
        <f ca="1">IFERROR(__xludf.DUMMYFUNCTION("""COMPUTED_VALUE"""),"AM")</f>
        <v>AM</v>
      </c>
      <c r="K92" s="40"/>
      <c r="L92" s="107" t="str">
        <f ca="1">IFERROR(__xludf.DUMMYFUNCTION("""COMPUTED_VALUE"""),"TRIMESTRE 2")</f>
        <v>TRIMESTRE 2</v>
      </c>
      <c r="M92" s="107" t="str">
        <f ca="1">IFERROR(__xludf.DUMMYFUNCTION("""COMPUTED_VALUE"""),"ADOLESCENTES MUJERES")</f>
        <v>ADOLESCENTES MUJERES</v>
      </c>
    </row>
    <row r="93" spans="1:13">
      <c r="A93" s="107" t="str">
        <f ca="1">IFERROR(__xludf.DUMMYFUNCTION("""COMPUTED_VALUE"""),"5.1.1.1")</f>
        <v>5.1.1.1</v>
      </c>
      <c r="B93" s="107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93" s="107" t="str">
        <f ca="1">IFERROR(__xludf.DUMMYFUNCTION("""COMPUTED_VALUE"""),"3. Operación")</f>
        <v>3. Operación</v>
      </c>
      <c r="D93" s="107" t="str">
        <f ca="1">IFERROR(__xludf.DUMMYFUNCTION("""COMPUTED_VALUE"""),"Guadalajara bien educada")</f>
        <v>Guadalajara bien educada</v>
      </c>
      <c r="E93" s="107" t="str">
        <f ca="1">IFERROR(__xludf.DUMMYFUNCTION("""COMPUTED_VALUE"""),"Atención en Centros de Desarrollo Infantil")</f>
        <v>Atención en Centros de Desarrollo Infantil</v>
      </c>
      <c r="F93" s="107" t="str">
        <f ca="1">IFERROR(__xludf.DUMMYFUNCTION("""COMPUTED_VALUE"""),"A1C1. Procesos de formación brindados en CDI, CEDI y CAIC de educación inicial y preescolar ")</f>
        <v xml:space="preserve">A1C1. Procesos de formación brindados en CDI, CEDI y CAIC de educación inicial y preescolar </v>
      </c>
      <c r="G93" s="107" t="str">
        <f ca="1">IFERROR(__xludf.DUMMYFUNCTION("""COMPUTED_VALUE"""),"Porcentaje de Niñas y Niños que reciben educación inicial y preescolar en CDI, CEDI y CAIC en 2024")</f>
        <v>Porcentaje de Niñas y Niños que reciben educación inicial y preescolar en CDI, CEDI y CAIC en 2024</v>
      </c>
      <c r="H93" s="107" t="str">
        <f ca="1">IFERROR(__xludf.DUMMYFUNCTION("""COMPUTED_VALUE"""),"AH JUNIO")</f>
        <v>AH JUNIO</v>
      </c>
      <c r="I93" s="107" t="str">
        <f ca="1">IFERROR(__xludf.DUMMYFUNCTION("""COMPUTED_VALUE"""),"Junio")</f>
        <v>Junio</v>
      </c>
      <c r="J93" s="107" t="str">
        <f ca="1">IFERROR(__xludf.DUMMYFUNCTION("""COMPUTED_VALUE"""),"AH")</f>
        <v>AH</v>
      </c>
      <c r="K93" s="40"/>
      <c r="L93" s="107" t="str">
        <f ca="1">IFERROR(__xludf.DUMMYFUNCTION("""COMPUTED_VALUE"""),"TRIMESTRE 2")</f>
        <v>TRIMESTRE 2</v>
      </c>
      <c r="M93" s="107" t="str">
        <f ca="1">IFERROR(__xludf.DUMMYFUNCTION("""COMPUTED_VALUE"""),"ADOLESCENTES HOMBRES")</f>
        <v>ADOLESCENTES HOMBRES</v>
      </c>
    </row>
    <row r="94" spans="1:13">
      <c r="A94" s="107" t="str">
        <f ca="1">IFERROR(__xludf.DUMMYFUNCTION("""COMPUTED_VALUE"""),"5.1.1.1")</f>
        <v>5.1.1.1</v>
      </c>
      <c r="B94" s="107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94" s="107" t="str">
        <f ca="1">IFERROR(__xludf.DUMMYFUNCTION("""COMPUTED_VALUE"""),"3. Operación")</f>
        <v>3. Operación</v>
      </c>
      <c r="D94" s="107" t="str">
        <f ca="1">IFERROR(__xludf.DUMMYFUNCTION("""COMPUTED_VALUE"""),"Guadalajara bien educada")</f>
        <v>Guadalajara bien educada</v>
      </c>
      <c r="E94" s="107" t="str">
        <f ca="1">IFERROR(__xludf.DUMMYFUNCTION("""COMPUTED_VALUE"""),"Atención en Centros de Desarrollo Infantil")</f>
        <v>Atención en Centros de Desarrollo Infantil</v>
      </c>
      <c r="F94" s="107" t="str">
        <f ca="1">IFERROR(__xludf.DUMMYFUNCTION("""COMPUTED_VALUE"""),"A1C1. Procesos de formación brindados en CDI, CEDI y CAIC de educación inicial y preescolar ")</f>
        <v xml:space="preserve">A1C1. Procesos de formación brindados en CDI, CEDI y CAIC de educación inicial y preescolar </v>
      </c>
      <c r="G94" s="107" t="str">
        <f ca="1">IFERROR(__xludf.DUMMYFUNCTION("""COMPUTED_VALUE"""),"Porcentaje de Niñas y Niños que reciben educación inicial y preescolar en CDI, CEDI y CAIC en 2024")</f>
        <v>Porcentaje de Niñas y Niños que reciben educación inicial y preescolar en CDI, CEDI y CAIC en 2024</v>
      </c>
      <c r="H94" s="107" t="str">
        <f ca="1">IFERROR(__xludf.DUMMYFUNCTION("""COMPUTED_VALUE"""),"MUJ JUNIO")</f>
        <v>MUJ JUNIO</v>
      </c>
      <c r="I94" s="107" t="str">
        <f ca="1">IFERROR(__xludf.DUMMYFUNCTION("""COMPUTED_VALUE"""),"Junio")</f>
        <v>Junio</v>
      </c>
      <c r="J94" s="107" t="str">
        <f ca="1">IFERROR(__xludf.DUMMYFUNCTION("""COMPUTED_VALUE"""),"MUJ")</f>
        <v>MUJ</v>
      </c>
      <c r="K94" s="40"/>
      <c r="L94" s="107" t="str">
        <f ca="1">IFERROR(__xludf.DUMMYFUNCTION("""COMPUTED_VALUE"""),"TRIMESTRE 2")</f>
        <v>TRIMESTRE 2</v>
      </c>
      <c r="M94" s="107" t="str">
        <f ca="1">IFERROR(__xludf.DUMMYFUNCTION("""COMPUTED_VALUE"""),"MUJERES ADULTAS")</f>
        <v>MUJERES ADULTAS</v>
      </c>
    </row>
    <row r="95" spans="1:13">
      <c r="A95" s="107" t="str">
        <f ca="1">IFERROR(__xludf.DUMMYFUNCTION("""COMPUTED_VALUE"""),"5.1.1.1")</f>
        <v>5.1.1.1</v>
      </c>
      <c r="B95" s="107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95" s="107" t="str">
        <f ca="1">IFERROR(__xludf.DUMMYFUNCTION("""COMPUTED_VALUE"""),"3. Operación")</f>
        <v>3. Operación</v>
      </c>
      <c r="D95" s="107" t="str">
        <f ca="1">IFERROR(__xludf.DUMMYFUNCTION("""COMPUTED_VALUE"""),"Guadalajara bien educada")</f>
        <v>Guadalajara bien educada</v>
      </c>
      <c r="E95" s="107" t="str">
        <f ca="1">IFERROR(__xludf.DUMMYFUNCTION("""COMPUTED_VALUE"""),"Atención en Centros de Desarrollo Infantil")</f>
        <v>Atención en Centros de Desarrollo Infantil</v>
      </c>
      <c r="F95" s="107" t="str">
        <f ca="1">IFERROR(__xludf.DUMMYFUNCTION("""COMPUTED_VALUE"""),"A1C1. Procesos de formación brindados en CDI, CEDI y CAIC de educación inicial y preescolar ")</f>
        <v xml:space="preserve">A1C1. Procesos de formación brindados en CDI, CEDI y CAIC de educación inicial y preescolar </v>
      </c>
      <c r="G95" s="107" t="str">
        <f ca="1">IFERROR(__xludf.DUMMYFUNCTION("""COMPUTED_VALUE"""),"Porcentaje de Niñas y Niños que reciben educación inicial y preescolar en CDI, CEDI y CAIC en 2024")</f>
        <v>Porcentaje de Niñas y Niños que reciben educación inicial y preescolar en CDI, CEDI y CAIC en 2024</v>
      </c>
      <c r="H95" s="107" t="str">
        <f ca="1">IFERROR(__xludf.DUMMYFUNCTION("""COMPUTED_VALUE"""),"HOM JUNIO")</f>
        <v>HOM JUNIO</v>
      </c>
      <c r="I95" s="107" t="str">
        <f ca="1">IFERROR(__xludf.DUMMYFUNCTION("""COMPUTED_VALUE"""),"Junio")</f>
        <v>Junio</v>
      </c>
      <c r="J95" s="107" t="str">
        <f ca="1">IFERROR(__xludf.DUMMYFUNCTION("""COMPUTED_VALUE"""),"HOM")</f>
        <v>HOM</v>
      </c>
      <c r="K95" s="40"/>
      <c r="L95" s="107" t="str">
        <f ca="1">IFERROR(__xludf.DUMMYFUNCTION("""COMPUTED_VALUE"""),"TRIMESTRE 2")</f>
        <v>TRIMESTRE 2</v>
      </c>
      <c r="M95" s="107" t="str">
        <f ca="1">IFERROR(__xludf.DUMMYFUNCTION("""COMPUTED_VALUE"""),"HOMBRES ADULTOS")</f>
        <v>HOMBRES ADULTOS</v>
      </c>
    </row>
    <row r="96" spans="1:13">
      <c r="A96" s="107" t="str">
        <f ca="1">IFERROR(__xludf.DUMMYFUNCTION("""COMPUTED_VALUE"""),"5.1.1.1")</f>
        <v>5.1.1.1</v>
      </c>
      <c r="B96" s="107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96" s="107" t="str">
        <f ca="1">IFERROR(__xludf.DUMMYFUNCTION("""COMPUTED_VALUE"""),"3. Operación")</f>
        <v>3. Operación</v>
      </c>
      <c r="D96" s="107" t="str">
        <f ca="1">IFERROR(__xludf.DUMMYFUNCTION("""COMPUTED_VALUE"""),"Guadalajara bien educada")</f>
        <v>Guadalajara bien educada</v>
      </c>
      <c r="E96" s="107" t="str">
        <f ca="1">IFERROR(__xludf.DUMMYFUNCTION("""COMPUTED_VALUE"""),"Atención en Centros de Desarrollo Infantil")</f>
        <v>Atención en Centros de Desarrollo Infantil</v>
      </c>
      <c r="F96" s="107" t="str">
        <f ca="1">IFERROR(__xludf.DUMMYFUNCTION("""COMPUTED_VALUE"""),"A1C1. Procesos de formación brindados en CDI, CEDI y CAIC de educación inicial y preescolar ")</f>
        <v xml:space="preserve">A1C1. Procesos de formación brindados en CDI, CEDI y CAIC de educación inicial y preescolar </v>
      </c>
      <c r="G96" s="107" t="str">
        <f ca="1">IFERROR(__xludf.DUMMYFUNCTION("""COMPUTED_VALUE"""),"Porcentaje de Niñas y Niños que reciben educación inicial y preescolar en CDI, CEDI y CAIC en 2024")</f>
        <v>Porcentaje de Niñas y Niños que reciben educación inicial y preescolar en CDI, CEDI y CAIC en 2024</v>
      </c>
      <c r="H96" s="107" t="str">
        <f ca="1">IFERROR(__xludf.DUMMYFUNCTION("""COMPUTED_VALUE"""),"AMM JUNIO")</f>
        <v>AMM JUNIO</v>
      </c>
      <c r="I96" s="107" t="str">
        <f ca="1">IFERROR(__xludf.DUMMYFUNCTION("""COMPUTED_VALUE"""),"Junio")</f>
        <v>Junio</v>
      </c>
      <c r="J96" s="107" t="str">
        <f ca="1">IFERROR(__xludf.DUMMYFUNCTION("""COMPUTED_VALUE"""),"AMM")</f>
        <v>AMM</v>
      </c>
      <c r="K96" s="40"/>
      <c r="L96" s="107" t="str">
        <f ca="1">IFERROR(__xludf.DUMMYFUNCTION("""COMPUTED_VALUE"""),"TRIMESTRE 2")</f>
        <v>TRIMESTRE 2</v>
      </c>
      <c r="M96" s="107" t="str">
        <f ca="1">IFERROR(__xludf.DUMMYFUNCTION("""COMPUTED_VALUE"""),"ADULTA MAYOR MUJER")</f>
        <v>ADULTA MAYOR MUJER</v>
      </c>
    </row>
    <row r="97" spans="1:13">
      <c r="A97" s="107" t="str">
        <f ca="1">IFERROR(__xludf.DUMMYFUNCTION("""COMPUTED_VALUE"""),"5.1.1.1")</f>
        <v>5.1.1.1</v>
      </c>
      <c r="B97" s="107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97" s="107" t="str">
        <f ca="1">IFERROR(__xludf.DUMMYFUNCTION("""COMPUTED_VALUE"""),"3. Operación")</f>
        <v>3. Operación</v>
      </c>
      <c r="D97" s="107" t="str">
        <f ca="1">IFERROR(__xludf.DUMMYFUNCTION("""COMPUTED_VALUE"""),"Guadalajara bien educada")</f>
        <v>Guadalajara bien educada</v>
      </c>
      <c r="E97" s="107" t="str">
        <f ca="1">IFERROR(__xludf.DUMMYFUNCTION("""COMPUTED_VALUE"""),"Atención en Centros de Desarrollo Infantil")</f>
        <v>Atención en Centros de Desarrollo Infantil</v>
      </c>
      <c r="F97" s="107" t="str">
        <f ca="1">IFERROR(__xludf.DUMMYFUNCTION("""COMPUTED_VALUE"""),"A1C1. Procesos de formación brindados en CDI, CEDI y CAIC de educación inicial y preescolar ")</f>
        <v xml:space="preserve">A1C1. Procesos de formación brindados en CDI, CEDI y CAIC de educación inicial y preescolar </v>
      </c>
      <c r="G97" s="107" t="str">
        <f ca="1">IFERROR(__xludf.DUMMYFUNCTION("""COMPUTED_VALUE"""),"Porcentaje de Niñas y Niños que reciben educación inicial y preescolar en CDI, CEDI y CAIC en 2024")</f>
        <v>Porcentaje de Niñas y Niños que reciben educación inicial y preescolar en CDI, CEDI y CAIC en 2024</v>
      </c>
      <c r="H97" s="107" t="str">
        <f ca="1">IFERROR(__xludf.DUMMYFUNCTION("""COMPUTED_VALUE"""),"AMH JUNIO")</f>
        <v>AMH JUNIO</v>
      </c>
      <c r="I97" s="107" t="str">
        <f ca="1">IFERROR(__xludf.DUMMYFUNCTION("""COMPUTED_VALUE"""),"Junio")</f>
        <v>Junio</v>
      </c>
      <c r="J97" s="107" t="str">
        <f ca="1">IFERROR(__xludf.DUMMYFUNCTION("""COMPUTED_VALUE"""),"AMH")</f>
        <v>AMH</v>
      </c>
      <c r="K97" s="40"/>
      <c r="L97" s="107" t="str">
        <f ca="1">IFERROR(__xludf.DUMMYFUNCTION("""COMPUTED_VALUE"""),"TRIMESTRE 2")</f>
        <v>TRIMESTRE 2</v>
      </c>
      <c r="M97" s="107" t="str">
        <f ca="1">IFERROR(__xludf.DUMMYFUNCTION("""COMPUTED_VALUE"""),"ADULTO MAYOR HOMBRE")</f>
        <v>ADULTO MAYOR HOMBRE</v>
      </c>
    </row>
    <row r="98" spans="1:13">
      <c r="A98" s="107" t="str">
        <f ca="1">IFERROR(__xludf.DUMMYFUNCTION("""COMPUTED_VALUE"""),"5.1.1.0")</f>
        <v>5.1.1.0</v>
      </c>
      <c r="B98" s="107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98" s="107" t="str">
        <f ca="1">IFERROR(__xludf.DUMMYFUNCTION("""COMPUTED_VALUE"""),"3. Operación")</f>
        <v>3. Operación</v>
      </c>
      <c r="D98" s="107" t="str">
        <f ca="1">IFERROR(__xludf.DUMMYFUNCTION("""COMPUTED_VALUE"""),"Guadalajara bien educada")</f>
        <v>Guadalajara bien educada</v>
      </c>
      <c r="E98" s="107" t="str">
        <f ca="1">IFERROR(__xludf.DUMMYFUNCTION("""COMPUTED_VALUE"""),"Atención en Centros de Desarrollo Infantil")</f>
        <v>Atención en Centros de Desarrollo Infantil</v>
      </c>
      <c r="F98" s="107" t="str">
        <f ca="1">IFERROR(__xludf.DUMMYFUNCTION("""COMPUTED_VALUE"""),"C1. Servicio de educación inicial y preescolar para niñas y niños en condición de vulnerabilidad económica brindados en CDI, CEDI y CAIC ")</f>
        <v xml:space="preserve">C1. Servicio de educación inicial y preescolar para niñas y niños en condición de vulnerabilidad económica brindados en CDI, CEDI y CAIC </v>
      </c>
      <c r="G98" s="107" t="str">
        <f ca="1">IFERROR(__xludf.DUMMYFUNCTION("""COMPUTED_VALUE"""),"Porcentaje de demanda cubierta sobre servicios de atención educativa y asistencial para niñas y niños en condición de vulnerabilidad económica en 2024")</f>
        <v>Porcentaje de demanda cubierta sobre servicios de atención educativa y asistencial para niñas y niños en condición de vulnerabilidad económica en 2024</v>
      </c>
      <c r="H98" s="107" t="str">
        <f ca="1">IFERROR(__xludf.DUMMYFUNCTION("""COMPUTED_VALUE"""),"NAS JULIO")</f>
        <v>NAS JULIO</v>
      </c>
      <c r="I98" s="107" t="str">
        <f ca="1">IFERROR(__xludf.DUMMYFUNCTION("""COMPUTED_VALUE"""),"Julio")</f>
        <v>Julio</v>
      </c>
      <c r="J98" s="107" t="str">
        <f ca="1">IFERROR(__xludf.DUMMYFUNCTION("""COMPUTED_VALUE"""),"NAS")</f>
        <v>NAS</v>
      </c>
      <c r="K98" s="40">
        <f ca="1">IFERROR(__xludf.DUMMYFUNCTION("""COMPUTED_VALUE"""),4)</f>
        <v>4</v>
      </c>
      <c r="L98" s="107" t="str">
        <f ca="1">IFERROR(__xludf.DUMMYFUNCTION("""COMPUTED_VALUE"""),"TRIMESTRE 3")</f>
        <v>TRIMESTRE 3</v>
      </c>
      <c r="M98" s="107" t="str">
        <f ca="1">IFERROR(__xludf.DUMMYFUNCTION("""COMPUTED_VALUE"""),"NIÑAS")</f>
        <v>NIÑAS</v>
      </c>
    </row>
    <row r="99" spans="1:13">
      <c r="A99" s="107" t="str">
        <f ca="1">IFERROR(__xludf.DUMMYFUNCTION("""COMPUTED_VALUE"""),"5.1.1.0")</f>
        <v>5.1.1.0</v>
      </c>
      <c r="B99" s="107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99" s="107" t="str">
        <f ca="1">IFERROR(__xludf.DUMMYFUNCTION("""COMPUTED_VALUE"""),"3. Operación")</f>
        <v>3. Operación</v>
      </c>
      <c r="D99" s="107" t="str">
        <f ca="1">IFERROR(__xludf.DUMMYFUNCTION("""COMPUTED_VALUE"""),"Guadalajara bien educada")</f>
        <v>Guadalajara bien educada</v>
      </c>
      <c r="E99" s="107" t="str">
        <f ca="1">IFERROR(__xludf.DUMMYFUNCTION("""COMPUTED_VALUE"""),"Atención en Centros de Desarrollo Infantil")</f>
        <v>Atención en Centros de Desarrollo Infantil</v>
      </c>
      <c r="F99" s="107" t="str">
        <f ca="1">IFERROR(__xludf.DUMMYFUNCTION("""COMPUTED_VALUE"""),"C1. Servicio de educación inicial y preescolar para niñas y niños en condición de vulnerabilidad económica brindados en CDI, CEDI y CAIC ")</f>
        <v xml:space="preserve">C1. Servicio de educación inicial y preescolar para niñas y niños en condición de vulnerabilidad económica brindados en CDI, CEDI y CAIC </v>
      </c>
      <c r="G99" s="107" t="str">
        <f ca="1">IFERROR(__xludf.DUMMYFUNCTION("""COMPUTED_VALUE"""),"Porcentaje de demanda cubierta sobre servicios de atención educativa y asistencial para niñas y niños en condición de vulnerabilidad económica en 2024")</f>
        <v>Porcentaje de demanda cubierta sobre servicios de atención educativa y asistencial para niñas y niños en condición de vulnerabilidad económica en 2024</v>
      </c>
      <c r="H99" s="107" t="str">
        <f ca="1">IFERROR(__xludf.DUMMYFUNCTION("""COMPUTED_VALUE"""),"NOS JULIO")</f>
        <v>NOS JULIO</v>
      </c>
      <c r="I99" s="107" t="str">
        <f ca="1">IFERROR(__xludf.DUMMYFUNCTION("""COMPUTED_VALUE"""),"Julio")</f>
        <v>Julio</v>
      </c>
      <c r="J99" s="107" t="str">
        <f ca="1">IFERROR(__xludf.DUMMYFUNCTION("""COMPUTED_VALUE"""),"NOS")</f>
        <v>NOS</v>
      </c>
      <c r="K99" s="40">
        <f ca="1">IFERROR(__xludf.DUMMYFUNCTION("""COMPUTED_VALUE"""),7)</f>
        <v>7</v>
      </c>
      <c r="L99" s="107" t="str">
        <f ca="1">IFERROR(__xludf.DUMMYFUNCTION("""COMPUTED_VALUE"""),"TRIMESTRE 3")</f>
        <v>TRIMESTRE 3</v>
      </c>
      <c r="M99" s="107" t="str">
        <f ca="1">IFERROR(__xludf.DUMMYFUNCTION("""COMPUTED_VALUE"""),"NIÑOS")</f>
        <v>NIÑOS</v>
      </c>
    </row>
    <row r="100" spans="1:13">
      <c r="A100" s="107" t="str">
        <f ca="1">IFERROR(__xludf.DUMMYFUNCTION("""COMPUTED_VALUE"""),"5.1.1.0")</f>
        <v>5.1.1.0</v>
      </c>
      <c r="B100" s="107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100" s="107" t="str">
        <f ca="1">IFERROR(__xludf.DUMMYFUNCTION("""COMPUTED_VALUE"""),"3. Operación")</f>
        <v>3. Operación</v>
      </c>
      <c r="D100" s="107" t="str">
        <f ca="1">IFERROR(__xludf.DUMMYFUNCTION("""COMPUTED_VALUE"""),"Guadalajara bien educada")</f>
        <v>Guadalajara bien educada</v>
      </c>
      <c r="E100" s="107" t="str">
        <f ca="1">IFERROR(__xludf.DUMMYFUNCTION("""COMPUTED_VALUE"""),"Atención en Centros de Desarrollo Infantil")</f>
        <v>Atención en Centros de Desarrollo Infantil</v>
      </c>
      <c r="F100" s="107" t="str">
        <f ca="1">IFERROR(__xludf.DUMMYFUNCTION("""COMPUTED_VALUE"""),"C1. Servicio de educación inicial y preescolar para niñas y niños en condición de vulnerabilidad económica brindados en CDI, CEDI y CAIC ")</f>
        <v xml:space="preserve">C1. Servicio de educación inicial y preescolar para niñas y niños en condición de vulnerabilidad económica brindados en CDI, CEDI y CAIC </v>
      </c>
      <c r="G100" s="107" t="str">
        <f ca="1">IFERROR(__xludf.DUMMYFUNCTION("""COMPUTED_VALUE"""),"Porcentaje de demanda cubierta sobre servicios de atención educativa y asistencial para niñas y niños en condición de vulnerabilidad económica en 2024")</f>
        <v>Porcentaje de demanda cubierta sobre servicios de atención educativa y asistencial para niñas y niños en condición de vulnerabilidad económica en 2024</v>
      </c>
      <c r="H100" s="107" t="str">
        <f ca="1">IFERROR(__xludf.DUMMYFUNCTION("""COMPUTED_VALUE"""),"AM JULIO")</f>
        <v>AM JULIO</v>
      </c>
      <c r="I100" s="107" t="str">
        <f ca="1">IFERROR(__xludf.DUMMYFUNCTION("""COMPUTED_VALUE"""),"Julio")</f>
        <v>Julio</v>
      </c>
      <c r="J100" s="107" t="str">
        <f ca="1">IFERROR(__xludf.DUMMYFUNCTION("""COMPUTED_VALUE"""),"AM")</f>
        <v>AM</v>
      </c>
      <c r="K100" s="40"/>
      <c r="L100" s="107" t="str">
        <f ca="1">IFERROR(__xludf.DUMMYFUNCTION("""COMPUTED_VALUE"""),"TRIMESTRE 3")</f>
        <v>TRIMESTRE 3</v>
      </c>
      <c r="M100" s="107" t="str">
        <f ca="1">IFERROR(__xludf.DUMMYFUNCTION("""COMPUTED_VALUE"""),"ADOLESCENTES MUJERES")</f>
        <v>ADOLESCENTES MUJERES</v>
      </c>
    </row>
    <row r="101" spans="1:13">
      <c r="A101" s="107" t="str">
        <f ca="1">IFERROR(__xludf.DUMMYFUNCTION("""COMPUTED_VALUE"""),"5.1.1.0")</f>
        <v>5.1.1.0</v>
      </c>
      <c r="B101" s="107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101" s="107" t="str">
        <f ca="1">IFERROR(__xludf.DUMMYFUNCTION("""COMPUTED_VALUE"""),"3. Operación")</f>
        <v>3. Operación</v>
      </c>
      <c r="D101" s="107" t="str">
        <f ca="1">IFERROR(__xludf.DUMMYFUNCTION("""COMPUTED_VALUE"""),"Guadalajara bien educada")</f>
        <v>Guadalajara bien educada</v>
      </c>
      <c r="E101" s="107" t="str">
        <f ca="1">IFERROR(__xludf.DUMMYFUNCTION("""COMPUTED_VALUE"""),"Atención en Centros de Desarrollo Infantil")</f>
        <v>Atención en Centros de Desarrollo Infantil</v>
      </c>
      <c r="F101" s="107" t="str">
        <f ca="1">IFERROR(__xludf.DUMMYFUNCTION("""COMPUTED_VALUE"""),"C1. Servicio de educación inicial y preescolar para niñas y niños en condición de vulnerabilidad económica brindados en CDI, CEDI y CAIC ")</f>
        <v xml:space="preserve">C1. Servicio de educación inicial y preescolar para niñas y niños en condición de vulnerabilidad económica brindados en CDI, CEDI y CAIC </v>
      </c>
      <c r="G101" s="107" t="str">
        <f ca="1">IFERROR(__xludf.DUMMYFUNCTION("""COMPUTED_VALUE"""),"Porcentaje de demanda cubierta sobre servicios de atención educativa y asistencial para niñas y niños en condición de vulnerabilidad económica en 2024")</f>
        <v>Porcentaje de demanda cubierta sobre servicios de atención educativa y asistencial para niñas y niños en condición de vulnerabilidad económica en 2024</v>
      </c>
      <c r="H101" s="107" t="str">
        <f ca="1">IFERROR(__xludf.DUMMYFUNCTION("""COMPUTED_VALUE"""),"AH JULIO")</f>
        <v>AH JULIO</v>
      </c>
      <c r="I101" s="107" t="str">
        <f ca="1">IFERROR(__xludf.DUMMYFUNCTION("""COMPUTED_VALUE"""),"Julio")</f>
        <v>Julio</v>
      </c>
      <c r="J101" s="107" t="str">
        <f ca="1">IFERROR(__xludf.DUMMYFUNCTION("""COMPUTED_VALUE"""),"AH")</f>
        <v>AH</v>
      </c>
      <c r="K101" s="40"/>
      <c r="L101" s="107" t="str">
        <f ca="1">IFERROR(__xludf.DUMMYFUNCTION("""COMPUTED_VALUE"""),"TRIMESTRE 3")</f>
        <v>TRIMESTRE 3</v>
      </c>
      <c r="M101" s="107" t="str">
        <f ca="1">IFERROR(__xludf.DUMMYFUNCTION("""COMPUTED_VALUE"""),"ADOLESCENTES HOMBRES")</f>
        <v>ADOLESCENTES HOMBRES</v>
      </c>
    </row>
    <row r="102" spans="1:13">
      <c r="A102" s="107" t="str">
        <f ca="1">IFERROR(__xludf.DUMMYFUNCTION("""COMPUTED_VALUE"""),"5.1.1.0")</f>
        <v>5.1.1.0</v>
      </c>
      <c r="B102" s="107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102" s="107" t="str">
        <f ca="1">IFERROR(__xludf.DUMMYFUNCTION("""COMPUTED_VALUE"""),"3. Operación")</f>
        <v>3. Operación</v>
      </c>
      <c r="D102" s="107" t="str">
        <f ca="1">IFERROR(__xludf.DUMMYFUNCTION("""COMPUTED_VALUE"""),"Guadalajara bien educada")</f>
        <v>Guadalajara bien educada</v>
      </c>
      <c r="E102" s="107" t="str">
        <f ca="1">IFERROR(__xludf.DUMMYFUNCTION("""COMPUTED_VALUE"""),"Atención en Centros de Desarrollo Infantil")</f>
        <v>Atención en Centros de Desarrollo Infantil</v>
      </c>
      <c r="F102" s="107" t="str">
        <f ca="1">IFERROR(__xludf.DUMMYFUNCTION("""COMPUTED_VALUE"""),"C1. Servicio de educación inicial y preescolar para niñas y niños en condición de vulnerabilidad económica brindados en CDI, CEDI y CAIC ")</f>
        <v xml:space="preserve">C1. Servicio de educación inicial y preescolar para niñas y niños en condición de vulnerabilidad económica brindados en CDI, CEDI y CAIC </v>
      </c>
      <c r="G102" s="107" t="str">
        <f ca="1">IFERROR(__xludf.DUMMYFUNCTION("""COMPUTED_VALUE"""),"Porcentaje de demanda cubierta sobre servicios de atención educativa y asistencial para niñas y niños en condición de vulnerabilidad económica en 2024")</f>
        <v>Porcentaje de demanda cubierta sobre servicios de atención educativa y asistencial para niñas y niños en condición de vulnerabilidad económica en 2024</v>
      </c>
      <c r="H102" s="107" t="str">
        <f ca="1">IFERROR(__xludf.DUMMYFUNCTION("""COMPUTED_VALUE"""),"MUJ JULIO")</f>
        <v>MUJ JULIO</v>
      </c>
      <c r="I102" s="107" t="str">
        <f ca="1">IFERROR(__xludf.DUMMYFUNCTION("""COMPUTED_VALUE"""),"Julio")</f>
        <v>Julio</v>
      </c>
      <c r="J102" s="107" t="str">
        <f ca="1">IFERROR(__xludf.DUMMYFUNCTION("""COMPUTED_VALUE"""),"MUJ")</f>
        <v>MUJ</v>
      </c>
      <c r="K102" s="40"/>
      <c r="L102" s="107" t="str">
        <f ca="1">IFERROR(__xludf.DUMMYFUNCTION("""COMPUTED_VALUE"""),"TRIMESTRE 3")</f>
        <v>TRIMESTRE 3</v>
      </c>
      <c r="M102" s="107" t="str">
        <f ca="1">IFERROR(__xludf.DUMMYFUNCTION("""COMPUTED_VALUE"""),"MUJERES ADULTAS")</f>
        <v>MUJERES ADULTAS</v>
      </c>
    </row>
    <row r="103" spans="1:13">
      <c r="A103" s="107" t="str">
        <f ca="1">IFERROR(__xludf.DUMMYFUNCTION("""COMPUTED_VALUE"""),"5.1.1.0")</f>
        <v>5.1.1.0</v>
      </c>
      <c r="B103" s="107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103" s="107" t="str">
        <f ca="1">IFERROR(__xludf.DUMMYFUNCTION("""COMPUTED_VALUE"""),"3. Operación")</f>
        <v>3. Operación</v>
      </c>
      <c r="D103" s="107" t="str">
        <f ca="1">IFERROR(__xludf.DUMMYFUNCTION("""COMPUTED_VALUE"""),"Guadalajara bien educada")</f>
        <v>Guadalajara bien educada</v>
      </c>
      <c r="E103" s="107" t="str">
        <f ca="1">IFERROR(__xludf.DUMMYFUNCTION("""COMPUTED_VALUE"""),"Atención en Centros de Desarrollo Infantil")</f>
        <v>Atención en Centros de Desarrollo Infantil</v>
      </c>
      <c r="F103" s="107" t="str">
        <f ca="1">IFERROR(__xludf.DUMMYFUNCTION("""COMPUTED_VALUE"""),"C1. Servicio de educación inicial y preescolar para niñas y niños en condición de vulnerabilidad económica brindados en CDI, CEDI y CAIC ")</f>
        <v xml:space="preserve">C1. Servicio de educación inicial y preescolar para niñas y niños en condición de vulnerabilidad económica brindados en CDI, CEDI y CAIC </v>
      </c>
      <c r="G103" s="107" t="str">
        <f ca="1">IFERROR(__xludf.DUMMYFUNCTION("""COMPUTED_VALUE"""),"Porcentaje de demanda cubierta sobre servicios de atención educativa y asistencial para niñas y niños en condición de vulnerabilidad económica en 2024")</f>
        <v>Porcentaje de demanda cubierta sobre servicios de atención educativa y asistencial para niñas y niños en condición de vulnerabilidad económica en 2024</v>
      </c>
      <c r="H103" s="107" t="str">
        <f ca="1">IFERROR(__xludf.DUMMYFUNCTION("""COMPUTED_VALUE"""),"HOM JULIO")</f>
        <v>HOM JULIO</v>
      </c>
      <c r="I103" s="107" t="str">
        <f ca="1">IFERROR(__xludf.DUMMYFUNCTION("""COMPUTED_VALUE"""),"Julio")</f>
        <v>Julio</v>
      </c>
      <c r="J103" s="107" t="str">
        <f ca="1">IFERROR(__xludf.DUMMYFUNCTION("""COMPUTED_VALUE"""),"HOM")</f>
        <v>HOM</v>
      </c>
      <c r="K103" s="40"/>
      <c r="L103" s="107" t="str">
        <f ca="1">IFERROR(__xludf.DUMMYFUNCTION("""COMPUTED_VALUE"""),"TRIMESTRE 3")</f>
        <v>TRIMESTRE 3</v>
      </c>
      <c r="M103" s="107" t="str">
        <f ca="1">IFERROR(__xludf.DUMMYFUNCTION("""COMPUTED_VALUE"""),"HOMBRES ADULTOS")</f>
        <v>HOMBRES ADULTOS</v>
      </c>
    </row>
    <row r="104" spans="1:13">
      <c r="A104" s="107" t="str">
        <f ca="1">IFERROR(__xludf.DUMMYFUNCTION("""COMPUTED_VALUE"""),"5.1.1.0")</f>
        <v>5.1.1.0</v>
      </c>
      <c r="B104" s="107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104" s="107" t="str">
        <f ca="1">IFERROR(__xludf.DUMMYFUNCTION("""COMPUTED_VALUE"""),"3. Operación")</f>
        <v>3. Operación</v>
      </c>
      <c r="D104" s="107" t="str">
        <f ca="1">IFERROR(__xludf.DUMMYFUNCTION("""COMPUTED_VALUE"""),"Guadalajara bien educada")</f>
        <v>Guadalajara bien educada</v>
      </c>
      <c r="E104" s="107" t="str">
        <f ca="1">IFERROR(__xludf.DUMMYFUNCTION("""COMPUTED_VALUE"""),"Atención en Centros de Desarrollo Infantil")</f>
        <v>Atención en Centros de Desarrollo Infantil</v>
      </c>
      <c r="F104" s="107" t="str">
        <f ca="1">IFERROR(__xludf.DUMMYFUNCTION("""COMPUTED_VALUE"""),"C1. Servicio de educación inicial y preescolar para niñas y niños en condición de vulnerabilidad económica brindados en CDI, CEDI y CAIC ")</f>
        <v xml:space="preserve">C1. Servicio de educación inicial y preescolar para niñas y niños en condición de vulnerabilidad económica brindados en CDI, CEDI y CAIC </v>
      </c>
      <c r="G104" s="107" t="str">
        <f ca="1">IFERROR(__xludf.DUMMYFUNCTION("""COMPUTED_VALUE"""),"Porcentaje de demanda cubierta sobre servicios de atención educativa y asistencial para niñas y niños en condición de vulnerabilidad económica en 2024")</f>
        <v>Porcentaje de demanda cubierta sobre servicios de atención educativa y asistencial para niñas y niños en condición de vulnerabilidad económica en 2024</v>
      </c>
      <c r="H104" s="107" t="str">
        <f ca="1">IFERROR(__xludf.DUMMYFUNCTION("""COMPUTED_VALUE"""),"AMM JULIO")</f>
        <v>AMM JULIO</v>
      </c>
      <c r="I104" s="107" t="str">
        <f ca="1">IFERROR(__xludf.DUMMYFUNCTION("""COMPUTED_VALUE"""),"Julio")</f>
        <v>Julio</v>
      </c>
      <c r="J104" s="107" t="str">
        <f ca="1">IFERROR(__xludf.DUMMYFUNCTION("""COMPUTED_VALUE"""),"AMM")</f>
        <v>AMM</v>
      </c>
      <c r="K104" s="40"/>
      <c r="L104" s="107" t="str">
        <f ca="1">IFERROR(__xludf.DUMMYFUNCTION("""COMPUTED_VALUE"""),"TRIMESTRE 3")</f>
        <v>TRIMESTRE 3</v>
      </c>
      <c r="M104" s="107" t="str">
        <f ca="1">IFERROR(__xludf.DUMMYFUNCTION("""COMPUTED_VALUE"""),"ADULTA MAYOR MUJER")</f>
        <v>ADULTA MAYOR MUJER</v>
      </c>
    </row>
    <row r="105" spans="1:13">
      <c r="A105" s="107" t="str">
        <f ca="1">IFERROR(__xludf.DUMMYFUNCTION("""COMPUTED_VALUE"""),"5.1.1.0")</f>
        <v>5.1.1.0</v>
      </c>
      <c r="B105" s="107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105" s="107" t="str">
        <f ca="1">IFERROR(__xludf.DUMMYFUNCTION("""COMPUTED_VALUE"""),"3. Operación")</f>
        <v>3. Operación</v>
      </c>
      <c r="D105" s="107" t="str">
        <f ca="1">IFERROR(__xludf.DUMMYFUNCTION("""COMPUTED_VALUE"""),"Guadalajara bien educada")</f>
        <v>Guadalajara bien educada</v>
      </c>
      <c r="E105" s="107" t="str">
        <f ca="1">IFERROR(__xludf.DUMMYFUNCTION("""COMPUTED_VALUE"""),"Atención en Centros de Desarrollo Infantil")</f>
        <v>Atención en Centros de Desarrollo Infantil</v>
      </c>
      <c r="F105" s="107" t="str">
        <f ca="1">IFERROR(__xludf.DUMMYFUNCTION("""COMPUTED_VALUE"""),"C1. Servicio de educación inicial y preescolar para niñas y niños en condición de vulnerabilidad económica brindados en CDI, CEDI y CAIC ")</f>
        <v xml:space="preserve">C1. Servicio de educación inicial y preescolar para niñas y niños en condición de vulnerabilidad económica brindados en CDI, CEDI y CAIC </v>
      </c>
      <c r="G105" s="107" t="str">
        <f ca="1">IFERROR(__xludf.DUMMYFUNCTION("""COMPUTED_VALUE"""),"Porcentaje de demanda cubierta sobre servicios de atención educativa y asistencial para niñas y niños en condición de vulnerabilidad económica en 2024")</f>
        <v>Porcentaje de demanda cubierta sobre servicios de atención educativa y asistencial para niñas y niños en condición de vulnerabilidad económica en 2024</v>
      </c>
      <c r="H105" s="107" t="str">
        <f ca="1">IFERROR(__xludf.DUMMYFUNCTION("""COMPUTED_VALUE"""),"AMH JULIO")</f>
        <v>AMH JULIO</v>
      </c>
      <c r="I105" s="107" t="str">
        <f ca="1">IFERROR(__xludf.DUMMYFUNCTION("""COMPUTED_VALUE"""),"Julio")</f>
        <v>Julio</v>
      </c>
      <c r="J105" s="107" t="str">
        <f ca="1">IFERROR(__xludf.DUMMYFUNCTION("""COMPUTED_VALUE"""),"AMH")</f>
        <v>AMH</v>
      </c>
      <c r="K105" s="40"/>
      <c r="L105" s="107" t="str">
        <f ca="1">IFERROR(__xludf.DUMMYFUNCTION("""COMPUTED_VALUE"""),"TRIMESTRE 3")</f>
        <v>TRIMESTRE 3</v>
      </c>
      <c r="M105" s="107" t="str">
        <f ca="1">IFERROR(__xludf.DUMMYFUNCTION("""COMPUTED_VALUE"""),"ADULTO MAYOR HOMBRE")</f>
        <v>ADULTO MAYOR HOMBRE</v>
      </c>
    </row>
    <row r="106" spans="1:13">
      <c r="A106" s="107" t="str">
        <f ca="1">IFERROR(__xludf.DUMMYFUNCTION("""COMPUTED_VALUE"""),"5.1.1.1")</f>
        <v>5.1.1.1</v>
      </c>
      <c r="B106" s="107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106" s="107" t="str">
        <f ca="1">IFERROR(__xludf.DUMMYFUNCTION("""COMPUTED_VALUE"""),"3. Operación")</f>
        <v>3. Operación</v>
      </c>
      <c r="D106" s="107" t="str">
        <f ca="1">IFERROR(__xludf.DUMMYFUNCTION("""COMPUTED_VALUE"""),"Guadalajara bien educada")</f>
        <v>Guadalajara bien educada</v>
      </c>
      <c r="E106" s="107" t="str">
        <f ca="1">IFERROR(__xludf.DUMMYFUNCTION("""COMPUTED_VALUE"""),"Atención en Centros de Desarrollo Infantil")</f>
        <v>Atención en Centros de Desarrollo Infantil</v>
      </c>
      <c r="F106" s="107" t="str">
        <f ca="1">IFERROR(__xludf.DUMMYFUNCTION("""COMPUTED_VALUE"""),"A1C1. Procesos de formación brindados en CDI, CEDI y CAIC de educación inicial y preescolar ")</f>
        <v xml:space="preserve">A1C1. Procesos de formación brindados en CDI, CEDI y CAIC de educación inicial y preescolar </v>
      </c>
      <c r="G106" s="107" t="str">
        <f ca="1">IFERROR(__xludf.DUMMYFUNCTION("""COMPUTED_VALUE"""),"Porcentaje de Niñas y Niños que reciben educación inicial y preescolar en CDI, CEDI y CAIC en 2024")</f>
        <v>Porcentaje de Niñas y Niños que reciben educación inicial y preescolar en CDI, CEDI y CAIC en 2024</v>
      </c>
      <c r="H106" s="107" t="str">
        <f ca="1">IFERROR(__xludf.DUMMYFUNCTION("""COMPUTED_VALUE"""),"NAS JULIO")</f>
        <v>NAS JULIO</v>
      </c>
      <c r="I106" s="107" t="str">
        <f ca="1">IFERROR(__xludf.DUMMYFUNCTION("""COMPUTED_VALUE"""),"Julio")</f>
        <v>Julio</v>
      </c>
      <c r="J106" s="107" t="str">
        <f ca="1">IFERROR(__xludf.DUMMYFUNCTION("""COMPUTED_VALUE"""),"NAS")</f>
        <v>NAS</v>
      </c>
      <c r="K106" s="40">
        <f ca="1">IFERROR(__xludf.DUMMYFUNCTION("""COMPUTED_VALUE"""),4)</f>
        <v>4</v>
      </c>
      <c r="L106" s="107" t="str">
        <f ca="1">IFERROR(__xludf.DUMMYFUNCTION("""COMPUTED_VALUE"""),"TRIMESTRE 3")</f>
        <v>TRIMESTRE 3</v>
      </c>
      <c r="M106" s="107" t="str">
        <f ca="1">IFERROR(__xludf.DUMMYFUNCTION("""COMPUTED_VALUE"""),"NIÑAS")</f>
        <v>NIÑAS</v>
      </c>
    </row>
    <row r="107" spans="1:13">
      <c r="A107" s="107" t="str">
        <f ca="1">IFERROR(__xludf.DUMMYFUNCTION("""COMPUTED_VALUE"""),"5.1.1.1")</f>
        <v>5.1.1.1</v>
      </c>
      <c r="B107" s="107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107" s="107" t="str">
        <f ca="1">IFERROR(__xludf.DUMMYFUNCTION("""COMPUTED_VALUE"""),"3. Operación")</f>
        <v>3. Operación</v>
      </c>
      <c r="D107" s="107" t="str">
        <f ca="1">IFERROR(__xludf.DUMMYFUNCTION("""COMPUTED_VALUE"""),"Guadalajara bien educada")</f>
        <v>Guadalajara bien educada</v>
      </c>
      <c r="E107" s="107" t="str">
        <f ca="1">IFERROR(__xludf.DUMMYFUNCTION("""COMPUTED_VALUE"""),"Atención en Centros de Desarrollo Infantil")</f>
        <v>Atención en Centros de Desarrollo Infantil</v>
      </c>
      <c r="F107" s="107" t="str">
        <f ca="1">IFERROR(__xludf.DUMMYFUNCTION("""COMPUTED_VALUE"""),"A1C1. Procesos de formación brindados en CDI, CEDI y CAIC de educación inicial y preescolar ")</f>
        <v xml:space="preserve">A1C1. Procesos de formación brindados en CDI, CEDI y CAIC de educación inicial y preescolar </v>
      </c>
      <c r="G107" s="107" t="str">
        <f ca="1">IFERROR(__xludf.DUMMYFUNCTION("""COMPUTED_VALUE"""),"Porcentaje de Niñas y Niños que reciben educación inicial y preescolar en CDI, CEDI y CAIC en 2024")</f>
        <v>Porcentaje de Niñas y Niños que reciben educación inicial y preescolar en CDI, CEDI y CAIC en 2024</v>
      </c>
      <c r="H107" s="107" t="str">
        <f ca="1">IFERROR(__xludf.DUMMYFUNCTION("""COMPUTED_VALUE"""),"NOS JULIO")</f>
        <v>NOS JULIO</v>
      </c>
      <c r="I107" s="107" t="str">
        <f ca="1">IFERROR(__xludf.DUMMYFUNCTION("""COMPUTED_VALUE"""),"Julio")</f>
        <v>Julio</v>
      </c>
      <c r="J107" s="107" t="str">
        <f ca="1">IFERROR(__xludf.DUMMYFUNCTION("""COMPUTED_VALUE"""),"NOS")</f>
        <v>NOS</v>
      </c>
      <c r="K107" s="40">
        <f ca="1">IFERROR(__xludf.DUMMYFUNCTION("""COMPUTED_VALUE"""),7)</f>
        <v>7</v>
      </c>
      <c r="L107" s="107" t="str">
        <f ca="1">IFERROR(__xludf.DUMMYFUNCTION("""COMPUTED_VALUE"""),"TRIMESTRE 3")</f>
        <v>TRIMESTRE 3</v>
      </c>
      <c r="M107" s="107" t="str">
        <f ca="1">IFERROR(__xludf.DUMMYFUNCTION("""COMPUTED_VALUE"""),"NIÑOS")</f>
        <v>NIÑOS</v>
      </c>
    </row>
    <row r="108" spans="1:13">
      <c r="A108" s="107" t="str">
        <f ca="1">IFERROR(__xludf.DUMMYFUNCTION("""COMPUTED_VALUE"""),"5.1.1.1")</f>
        <v>5.1.1.1</v>
      </c>
      <c r="B108" s="107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108" s="107" t="str">
        <f ca="1">IFERROR(__xludf.DUMMYFUNCTION("""COMPUTED_VALUE"""),"3. Operación")</f>
        <v>3. Operación</v>
      </c>
      <c r="D108" s="107" t="str">
        <f ca="1">IFERROR(__xludf.DUMMYFUNCTION("""COMPUTED_VALUE"""),"Guadalajara bien educada")</f>
        <v>Guadalajara bien educada</v>
      </c>
      <c r="E108" s="107" t="str">
        <f ca="1">IFERROR(__xludf.DUMMYFUNCTION("""COMPUTED_VALUE"""),"Atención en Centros de Desarrollo Infantil")</f>
        <v>Atención en Centros de Desarrollo Infantil</v>
      </c>
      <c r="F108" s="107" t="str">
        <f ca="1">IFERROR(__xludf.DUMMYFUNCTION("""COMPUTED_VALUE"""),"A1C1. Procesos de formación brindados en CDI, CEDI y CAIC de educación inicial y preescolar ")</f>
        <v xml:space="preserve">A1C1. Procesos de formación brindados en CDI, CEDI y CAIC de educación inicial y preescolar </v>
      </c>
      <c r="G108" s="107" t="str">
        <f ca="1">IFERROR(__xludf.DUMMYFUNCTION("""COMPUTED_VALUE"""),"Porcentaje de Niñas y Niños que reciben educación inicial y preescolar en CDI, CEDI y CAIC en 2024")</f>
        <v>Porcentaje de Niñas y Niños que reciben educación inicial y preescolar en CDI, CEDI y CAIC en 2024</v>
      </c>
      <c r="H108" s="107" t="str">
        <f ca="1">IFERROR(__xludf.DUMMYFUNCTION("""COMPUTED_VALUE"""),"AM JULIO")</f>
        <v>AM JULIO</v>
      </c>
      <c r="I108" s="107" t="str">
        <f ca="1">IFERROR(__xludf.DUMMYFUNCTION("""COMPUTED_VALUE"""),"Julio")</f>
        <v>Julio</v>
      </c>
      <c r="J108" s="107" t="str">
        <f ca="1">IFERROR(__xludf.DUMMYFUNCTION("""COMPUTED_VALUE"""),"AM")</f>
        <v>AM</v>
      </c>
      <c r="K108" s="40"/>
      <c r="L108" s="107" t="str">
        <f ca="1">IFERROR(__xludf.DUMMYFUNCTION("""COMPUTED_VALUE"""),"TRIMESTRE 3")</f>
        <v>TRIMESTRE 3</v>
      </c>
      <c r="M108" s="107" t="str">
        <f ca="1">IFERROR(__xludf.DUMMYFUNCTION("""COMPUTED_VALUE"""),"ADOLESCENTES MUJERES")</f>
        <v>ADOLESCENTES MUJERES</v>
      </c>
    </row>
    <row r="109" spans="1:13">
      <c r="A109" s="107" t="str">
        <f ca="1">IFERROR(__xludf.DUMMYFUNCTION("""COMPUTED_VALUE"""),"5.1.1.1")</f>
        <v>5.1.1.1</v>
      </c>
      <c r="B109" s="107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109" s="107" t="str">
        <f ca="1">IFERROR(__xludf.DUMMYFUNCTION("""COMPUTED_VALUE"""),"3. Operación")</f>
        <v>3. Operación</v>
      </c>
      <c r="D109" s="107" t="str">
        <f ca="1">IFERROR(__xludf.DUMMYFUNCTION("""COMPUTED_VALUE"""),"Guadalajara bien educada")</f>
        <v>Guadalajara bien educada</v>
      </c>
      <c r="E109" s="107" t="str">
        <f ca="1">IFERROR(__xludf.DUMMYFUNCTION("""COMPUTED_VALUE"""),"Atención en Centros de Desarrollo Infantil")</f>
        <v>Atención en Centros de Desarrollo Infantil</v>
      </c>
      <c r="F109" s="107" t="str">
        <f ca="1">IFERROR(__xludf.DUMMYFUNCTION("""COMPUTED_VALUE"""),"A1C1. Procesos de formación brindados en CDI, CEDI y CAIC de educación inicial y preescolar ")</f>
        <v xml:space="preserve">A1C1. Procesos de formación brindados en CDI, CEDI y CAIC de educación inicial y preescolar </v>
      </c>
      <c r="G109" s="107" t="str">
        <f ca="1">IFERROR(__xludf.DUMMYFUNCTION("""COMPUTED_VALUE"""),"Porcentaje de Niñas y Niños que reciben educación inicial y preescolar en CDI, CEDI y CAIC en 2024")</f>
        <v>Porcentaje de Niñas y Niños que reciben educación inicial y preescolar en CDI, CEDI y CAIC en 2024</v>
      </c>
      <c r="H109" s="107" t="str">
        <f ca="1">IFERROR(__xludf.DUMMYFUNCTION("""COMPUTED_VALUE"""),"AH JULIO")</f>
        <v>AH JULIO</v>
      </c>
      <c r="I109" s="107" t="str">
        <f ca="1">IFERROR(__xludf.DUMMYFUNCTION("""COMPUTED_VALUE"""),"Julio")</f>
        <v>Julio</v>
      </c>
      <c r="J109" s="107" t="str">
        <f ca="1">IFERROR(__xludf.DUMMYFUNCTION("""COMPUTED_VALUE"""),"AH")</f>
        <v>AH</v>
      </c>
      <c r="K109" s="40"/>
      <c r="L109" s="107" t="str">
        <f ca="1">IFERROR(__xludf.DUMMYFUNCTION("""COMPUTED_VALUE"""),"TRIMESTRE 3")</f>
        <v>TRIMESTRE 3</v>
      </c>
      <c r="M109" s="107" t="str">
        <f ca="1">IFERROR(__xludf.DUMMYFUNCTION("""COMPUTED_VALUE"""),"ADOLESCENTES HOMBRES")</f>
        <v>ADOLESCENTES HOMBRES</v>
      </c>
    </row>
    <row r="110" spans="1:13">
      <c r="A110" s="107" t="str">
        <f ca="1">IFERROR(__xludf.DUMMYFUNCTION("""COMPUTED_VALUE"""),"5.1.1.1")</f>
        <v>5.1.1.1</v>
      </c>
      <c r="B110" s="107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110" s="107" t="str">
        <f ca="1">IFERROR(__xludf.DUMMYFUNCTION("""COMPUTED_VALUE"""),"3. Operación")</f>
        <v>3. Operación</v>
      </c>
      <c r="D110" s="107" t="str">
        <f ca="1">IFERROR(__xludf.DUMMYFUNCTION("""COMPUTED_VALUE"""),"Guadalajara bien educada")</f>
        <v>Guadalajara bien educada</v>
      </c>
      <c r="E110" s="107" t="str">
        <f ca="1">IFERROR(__xludf.DUMMYFUNCTION("""COMPUTED_VALUE"""),"Atención en Centros de Desarrollo Infantil")</f>
        <v>Atención en Centros de Desarrollo Infantil</v>
      </c>
      <c r="F110" s="107" t="str">
        <f ca="1">IFERROR(__xludf.DUMMYFUNCTION("""COMPUTED_VALUE"""),"A1C1. Procesos de formación brindados en CDI, CEDI y CAIC de educación inicial y preescolar ")</f>
        <v xml:space="preserve">A1C1. Procesos de formación brindados en CDI, CEDI y CAIC de educación inicial y preescolar </v>
      </c>
      <c r="G110" s="107" t="str">
        <f ca="1">IFERROR(__xludf.DUMMYFUNCTION("""COMPUTED_VALUE"""),"Porcentaje de Niñas y Niños que reciben educación inicial y preescolar en CDI, CEDI y CAIC en 2024")</f>
        <v>Porcentaje de Niñas y Niños que reciben educación inicial y preescolar en CDI, CEDI y CAIC en 2024</v>
      </c>
      <c r="H110" s="107" t="str">
        <f ca="1">IFERROR(__xludf.DUMMYFUNCTION("""COMPUTED_VALUE"""),"MUJ JULIO")</f>
        <v>MUJ JULIO</v>
      </c>
      <c r="I110" s="107" t="str">
        <f ca="1">IFERROR(__xludf.DUMMYFUNCTION("""COMPUTED_VALUE"""),"Julio")</f>
        <v>Julio</v>
      </c>
      <c r="J110" s="107" t="str">
        <f ca="1">IFERROR(__xludf.DUMMYFUNCTION("""COMPUTED_VALUE"""),"MUJ")</f>
        <v>MUJ</v>
      </c>
      <c r="K110" s="40"/>
      <c r="L110" s="107" t="str">
        <f ca="1">IFERROR(__xludf.DUMMYFUNCTION("""COMPUTED_VALUE"""),"TRIMESTRE 3")</f>
        <v>TRIMESTRE 3</v>
      </c>
      <c r="M110" s="107" t="str">
        <f ca="1">IFERROR(__xludf.DUMMYFUNCTION("""COMPUTED_VALUE"""),"MUJERES ADULTAS")</f>
        <v>MUJERES ADULTAS</v>
      </c>
    </row>
    <row r="111" spans="1:13">
      <c r="A111" s="107" t="str">
        <f ca="1">IFERROR(__xludf.DUMMYFUNCTION("""COMPUTED_VALUE"""),"5.1.1.1")</f>
        <v>5.1.1.1</v>
      </c>
      <c r="B111" s="107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111" s="107" t="str">
        <f ca="1">IFERROR(__xludf.DUMMYFUNCTION("""COMPUTED_VALUE"""),"3. Operación")</f>
        <v>3. Operación</v>
      </c>
      <c r="D111" s="107" t="str">
        <f ca="1">IFERROR(__xludf.DUMMYFUNCTION("""COMPUTED_VALUE"""),"Guadalajara bien educada")</f>
        <v>Guadalajara bien educada</v>
      </c>
      <c r="E111" s="107" t="str">
        <f ca="1">IFERROR(__xludf.DUMMYFUNCTION("""COMPUTED_VALUE"""),"Atención en Centros de Desarrollo Infantil")</f>
        <v>Atención en Centros de Desarrollo Infantil</v>
      </c>
      <c r="F111" s="107" t="str">
        <f ca="1">IFERROR(__xludf.DUMMYFUNCTION("""COMPUTED_VALUE"""),"A1C1. Procesos de formación brindados en CDI, CEDI y CAIC de educación inicial y preescolar ")</f>
        <v xml:space="preserve">A1C1. Procesos de formación brindados en CDI, CEDI y CAIC de educación inicial y preescolar </v>
      </c>
      <c r="G111" s="107" t="str">
        <f ca="1">IFERROR(__xludf.DUMMYFUNCTION("""COMPUTED_VALUE"""),"Porcentaje de Niñas y Niños que reciben educación inicial y preescolar en CDI, CEDI y CAIC en 2024")</f>
        <v>Porcentaje de Niñas y Niños que reciben educación inicial y preescolar en CDI, CEDI y CAIC en 2024</v>
      </c>
      <c r="H111" s="107" t="str">
        <f ca="1">IFERROR(__xludf.DUMMYFUNCTION("""COMPUTED_VALUE"""),"HOM JULIO")</f>
        <v>HOM JULIO</v>
      </c>
      <c r="I111" s="107" t="str">
        <f ca="1">IFERROR(__xludf.DUMMYFUNCTION("""COMPUTED_VALUE"""),"Julio")</f>
        <v>Julio</v>
      </c>
      <c r="J111" s="107" t="str">
        <f ca="1">IFERROR(__xludf.DUMMYFUNCTION("""COMPUTED_VALUE"""),"HOM")</f>
        <v>HOM</v>
      </c>
      <c r="K111" s="40"/>
      <c r="L111" s="107" t="str">
        <f ca="1">IFERROR(__xludf.DUMMYFUNCTION("""COMPUTED_VALUE"""),"TRIMESTRE 3")</f>
        <v>TRIMESTRE 3</v>
      </c>
      <c r="M111" s="107" t="str">
        <f ca="1">IFERROR(__xludf.DUMMYFUNCTION("""COMPUTED_VALUE"""),"HOMBRES ADULTOS")</f>
        <v>HOMBRES ADULTOS</v>
      </c>
    </row>
    <row r="112" spans="1:13">
      <c r="A112" s="107" t="str">
        <f ca="1">IFERROR(__xludf.DUMMYFUNCTION("""COMPUTED_VALUE"""),"5.1.1.1")</f>
        <v>5.1.1.1</v>
      </c>
      <c r="B112" s="107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112" s="107" t="str">
        <f ca="1">IFERROR(__xludf.DUMMYFUNCTION("""COMPUTED_VALUE"""),"3. Operación")</f>
        <v>3. Operación</v>
      </c>
      <c r="D112" s="107" t="str">
        <f ca="1">IFERROR(__xludf.DUMMYFUNCTION("""COMPUTED_VALUE"""),"Guadalajara bien educada")</f>
        <v>Guadalajara bien educada</v>
      </c>
      <c r="E112" s="107" t="str">
        <f ca="1">IFERROR(__xludf.DUMMYFUNCTION("""COMPUTED_VALUE"""),"Atención en Centros de Desarrollo Infantil")</f>
        <v>Atención en Centros de Desarrollo Infantil</v>
      </c>
      <c r="F112" s="107" t="str">
        <f ca="1">IFERROR(__xludf.DUMMYFUNCTION("""COMPUTED_VALUE"""),"A1C1. Procesos de formación brindados en CDI, CEDI y CAIC de educación inicial y preescolar ")</f>
        <v xml:space="preserve">A1C1. Procesos de formación brindados en CDI, CEDI y CAIC de educación inicial y preescolar </v>
      </c>
      <c r="G112" s="107" t="str">
        <f ca="1">IFERROR(__xludf.DUMMYFUNCTION("""COMPUTED_VALUE"""),"Porcentaje de Niñas y Niños que reciben educación inicial y preescolar en CDI, CEDI y CAIC en 2024")</f>
        <v>Porcentaje de Niñas y Niños que reciben educación inicial y preescolar en CDI, CEDI y CAIC en 2024</v>
      </c>
      <c r="H112" s="107" t="str">
        <f ca="1">IFERROR(__xludf.DUMMYFUNCTION("""COMPUTED_VALUE"""),"AMM JULIO")</f>
        <v>AMM JULIO</v>
      </c>
      <c r="I112" s="107" t="str">
        <f ca="1">IFERROR(__xludf.DUMMYFUNCTION("""COMPUTED_VALUE"""),"Julio")</f>
        <v>Julio</v>
      </c>
      <c r="J112" s="107" t="str">
        <f ca="1">IFERROR(__xludf.DUMMYFUNCTION("""COMPUTED_VALUE"""),"AMM")</f>
        <v>AMM</v>
      </c>
      <c r="K112" s="40"/>
      <c r="L112" s="107" t="str">
        <f ca="1">IFERROR(__xludf.DUMMYFUNCTION("""COMPUTED_VALUE"""),"TRIMESTRE 3")</f>
        <v>TRIMESTRE 3</v>
      </c>
      <c r="M112" s="107" t="str">
        <f ca="1">IFERROR(__xludf.DUMMYFUNCTION("""COMPUTED_VALUE"""),"ADULTA MAYOR MUJER")</f>
        <v>ADULTA MAYOR MUJER</v>
      </c>
    </row>
    <row r="113" spans="1:13">
      <c r="A113" s="107" t="str">
        <f ca="1">IFERROR(__xludf.DUMMYFUNCTION("""COMPUTED_VALUE"""),"5.1.1.1")</f>
        <v>5.1.1.1</v>
      </c>
      <c r="B113" s="107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113" s="107" t="str">
        <f ca="1">IFERROR(__xludf.DUMMYFUNCTION("""COMPUTED_VALUE"""),"3. Operación")</f>
        <v>3. Operación</v>
      </c>
      <c r="D113" s="107" t="str">
        <f ca="1">IFERROR(__xludf.DUMMYFUNCTION("""COMPUTED_VALUE"""),"Guadalajara bien educada")</f>
        <v>Guadalajara bien educada</v>
      </c>
      <c r="E113" s="107" t="str">
        <f ca="1">IFERROR(__xludf.DUMMYFUNCTION("""COMPUTED_VALUE"""),"Atención en Centros de Desarrollo Infantil")</f>
        <v>Atención en Centros de Desarrollo Infantil</v>
      </c>
      <c r="F113" s="107" t="str">
        <f ca="1">IFERROR(__xludf.DUMMYFUNCTION("""COMPUTED_VALUE"""),"A1C1. Procesos de formación brindados en CDI, CEDI y CAIC de educación inicial y preescolar ")</f>
        <v xml:space="preserve">A1C1. Procesos de formación brindados en CDI, CEDI y CAIC de educación inicial y preescolar </v>
      </c>
      <c r="G113" s="107" t="str">
        <f ca="1">IFERROR(__xludf.DUMMYFUNCTION("""COMPUTED_VALUE"""),"Porcentaje de Niñas y Niños que reciben educación inicial y preescolar en CDI, CEDI y CAIC en 2024")</f>
        <v>Porcentaje de Niñas y Niños que reciben educación inicial y preescolar en CDI, CEDI y CAIC en 2024</v>
      </c>
      <c r="H113" s="107" t="str">
        <f ca="1">IFERROR(__xludf.DUMMYFUNCTION("""COMPUTED_VALUE"""),"AMH JULIO")</f>
        <v>AMH JULIO</v>
      </c>
      <c r="I113" s="107" t="str">
        <f ca="1">IFERROR(__xludf.DUMMYFUNCTION("""COMPUTED_VALUE"""),"Julio")</f>
        <v>Julio</v>
      </c>
      <c r="J113" s="107" t="str">
        <f ca="1">IFERROR(__xludf.DUMMYFUNCTION("""COMPUTED_VALUE"""),"AMH")</f>
        <v>AMH</v>
      </c>
      <c r="K113" s="40"/>
      <c r="L113" s="107" t="str">
        <f ca="1">IFERROR(__xludf.DUMMYFUNCTION("""COMPUTED_VALUE"""),"TRIMESTRE 3")</f>
        <v>TRIMESTRE 3</v>
      </c>
      <c r="M113" s="107" t="str">
        <f ca="1">IFERROR(__xludf.DUMMYFUNCTION("""COMPUTED_VALUE"""),"ADULTO MAYOR HOMBRE")</f>
        <v>ADULTO MAYOR HOMBRE</v>
      </c>
    </row>
    <row r="114" spans="1:13">
      <c r="A114" s="107" t="str">
        <f ca="1">IFERROR(__xludf.DUMMYFUNCTION("""COMPUTED_VALUE"""),"5.1.1.0")</f>
        <v>5.1.1.0</v>
      </c>
      <c r="B114" s="107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114" s="107" t="str">
        <f ca="1">IFERROR(__xludf.DUMMYFUNCTION("""COMPUTED_VALUE"""),"3. Operación")</f>
        <v>3. Operación</v>
      </c>
      <c r="D114" s="107" t="str">
        <f ca="1">IFERROR(__xludf.DUMMYFUNCTION("""COMPUTED_VALUE"""),"Guadalajara bien educada")</f>
        <v>Guadalajara bien educada</v>
      </c>
      <c r="E114" s="107" t="str">
        <f ca="1">IFERROR(__xludf.DUMMYFUNCTION("""COMPUTED_VALUE"""),"Atención en Centros de Desarrollo Infantil")</f>
        <v>Atención en Centros de Desarrollo Infantil</v>
      </c>
      <c r="F114" s="107" t="str">
        <f ca="1">IFERROR(__xludf.DUMMYFUNCTION("""COMPUTED_VALUE"""),"C1. Servicio de educación inicial y preescolar para niñas y niños en condición de vulnerabilidad económica brindados en CDI, CEDI y CAIC ")</f>
        <v xml:space="preserve">C1. Servicio de educación inicial y preescolar para niñas y niños en condición de vulnerabilidad económica brindados en CDI, CEDI y CAIC </v>
      </c>
      <c r="G114" s="107" t="str">
        <f ca="1">IFERROR(__xludf.DUMMYFUNCTION("""COMPUTED_VALUE"""),"Porcentaje de demanda cubierta sobre servicios de atención educativa y asistencial para niñas y niños en condición de vulnerabilidad económica en 2024")</f>
        <v>Porcentaje de demanda cubierta sobre servicios de atención educativa y asistencial para niñas y niños en condición de vulnerabilidad económica en 2024</v>
      </c>
      <c r="H114" s="107" t="str">
        <f ca="1">IFERROR(__xludf.DUMMYFUNCTION("""COMPUTED_VALUE"""),"NAS AGOSTO")</f>
        <v>NAS AGOSTO</v>
      </c>
      <c r="I114" s="107" t="str">
        <f ca="1">IFERROR(__xludf.DUMMYFUNCTION("""COMPUTED_VALUE"""),"Agosto")</f>
        <v>Agosto</v>
      </c>
      <c r="J114" s="107" t="str">
        <f ca="1">IFERROR(__xludf.DUMMYFUNCTION("""COMPUTED_VALUE"""),"NAS")</f>
        <v>NAS</v>
      </c>
      <c r="K114" s="40">
        <f ca="1">IFERROR(__xludf.DUMMYFUNCTION("""COMPUTED_VALUE"""),79)</f>
        <v>79</v>
      </c>
      <c r="L114" s="107" t="str">
        <f ca="1">IFERROR(__xludf.DUMMYFUNCTION("""COMPUTED_VALUE"""),"TRIMESTRE 3")</f>
        <v>TRIMESTRE 3</v>
      </c>
      <c r="M114" s="107" t="str">
        <f ca="1">IFERROR(__xludf.DUMMYFUNCTION("""COMPUTED_VALUE"""),"NIÑAS")</f>
        <v>NIÑAS</v>
      </c>
    </row>
    <row r="115" spans="1:13">
      <c r="A115" s="107" t="str">
        <f ca="1">IFERROR(__xludf.DUMMYFUNCTION("""COMPUTED_VALUE"""),"5.1.1.0")</f>
        <v>5.1.1.0</v>
      </c>
      <c r="B115" s="107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115" s="107" t="str">
        <f ca="1">IFERROR(__xludf.DUMMYFUNCTION("""COMPUTED_VALUE"""),"3. Operación")</f>
        <v>3. Operación</v>
      </c>
      <c r="D115" s="107" t="str">
        <f ca="1">IFERROR(__xludf.DUMMYFUNCTION("""COMPUTED_VALUE"""),"Guadalajara bien educada")</f>
        <v>Guadalajara bien educada</v>
      </c>
      <c r="E115" s="107" t="str">
        <f ca="1">IFERROR(__xludf.DUMMYFUNCTION("""COMPUTED_VALUE"""),"Atención en Centros de Desarrollo Infantil")</f>
        <v>Atención en Centros de Desarrollo Infantil</v>
      </c>
      <c r="F115" s="107" t="str">
        <f ca="1">IFERROR(__xludf.DUMMYFUNCTION("""COMPUTED_VALUE"""),"C1. Servicio de educación inicial y preescolar para niñas y niños en condición de vulnerabilidad económica brindados en CDI, CEDI y CAIC ")</f>
        <v xml:space="preserve">C1. Servicio de educación inicial y preescolar para niñas y niños en condición de vulnerabilidad económica brindados en CDI, CEDI y CAIC </v>
      </c>
      <c r="G115" s="107" t="str">
        <f ca="1">IFERROR(__xludf.DUMMYFUNCTION("""COMPUTED_VALUE"""),"Porcentaje de demanda cubierta sobre servicios de atención educativa y asistencial para niñas y niños en condición de vulnerabilidad económica en 2024")</f>
        <v>Porcentaje de demanda cubierta sobre servicios de atención educativa y asistencial para niñas y niños en condición de vulnerabilidad económica en 2024</v>
      </c>
      <c r="H115" s="107" t="str">
        <f ca="1">IFERROR(__xludf.DUMMYFUNCTION("""COMPUTED_VALUE"""),"NOS AGOSTO")</f>
        <v>NOS AGOSTO</v>
      </c>
      <c r="I115" s="107" t="str">
        <f ca="1">IFERROR(__xludf.DUMMYFUNCTION("""COMPUTED_VALUE"""),"Agosto")</f>
        <v>Agosto</v>
      </c>
      <c r="J115" s="107" t="str">
        <f ca="1">IFERROR(__xludf.DUMMYFUNCTION("""COMPUTED_VALUE"""),"NOS")</f>
        <v>NOS</v>
      </c>
      <c r="K115" s="40">
        <f ca="1">IFERROR(__xludf.DUMMYFUNCTION("""COMPUTED_VALUE"""),109)</f>
        <v>109</v>
      </c>
      <c r="L115" s="107" t="str">
        <f ca="1">IFERROR(__xludf.DUMMYFUNCTION("""COMPUTED_VALUE"""),"TRIMESTRE 3")</f>
        <v>TRIMESTRE 3</v>
      </c>
      <c r="M115" s="107" t="str">
        <f ca="1">IFERROR(__xludf.DUMMYFUNCTION("""COMPUTED_VALUE"""),"NIÑOS")</f>
        <v>NIÑOS</v>
      </c>
    </row>
    <row r="116" spans="1:13">
      <c r="A116" s="107" t="str">
        <f ca="1">IFERROR(__xludf.DUMMYFUNCTION("""COMPUTED_VALUE"""),"5.1.1.0")</f>
        <v>5.1.1.0</v>
      </c>
      <c r="B116" s="107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116" s="107" t="str">
        <f ca="1">IFERROR(__xludf.DUMMYFUNCTION("""COMPUTED_VALUE"""),"3. Operación")</f>
        <v>3. Operación</v>
      </c>
      <c r="D116" s="107" t="str">
        <f ca="1">IFERROR(__xludf.DUMMYFUNCTION("""COMPUTED_VALUE"""),"Guadalajara bien educada")</f>
        <v>Guadalajara bien educada</v>
      </c>
      <c r="E116" s="107" t="str">
        <f ca="1">IFERROR(__xludf.DUMMYFUNCTION("""COMPUTED_VALUE"""),"Atención en Centros de Desarrollo Infantil")</f>
        <v>Atención en Centros de Desarrollo Infantil</v>
      </c>
      <c r="F116" s="107" t="str">
        <f ca="1">IFERROR(__xludf.DUMMYFUNCTION("""COMPUTED_VALUE"""),"C1. Servicio de educación inicial y preescolar para niñas y niños en condición de vulnerabilidad económica brindados en CDI, CEDI y CAIC ")</f>
        <v xml:space="preserve">C1. Servicio de educación inicial y preescolar para niñas y niños en condición de vulnerabilidad económica brindados en CDI, CEDI y CAIC </v>
      </c>
      <c r="G116" s="107" t="str">
        <f ca="1">IFERROR(__xludf.DUMMYFUNCTION("""COMPUTED_VALUE"""),"Porcentaje de demanda cubierta sobre servicios de atención educativa y asistencial para niñas y niños en condición de vulnerabilidad económica en 2024")</f>
        <v>Porcentaje de demanda cubierta sobre servicios de atención educativa y asistencial para niñas y niños en condición de vulnerabilidad económica en 2024</v>
      </c>
      <c r="H116" s="107" t="str">
        <f ca="1">IFERROR(__xludf.DUMMYFUNCTION("""COMPUTED_VALUE"""),"AM AGOSTO")</f>
        <v>AM AGOSTO</v>
      </c>
      <c r="I116" s="107" t="str">
        <f ca="1">IFERROR(__xludf.DUMMYFUNCTION("""COMPUTED_VALUE"""),"Agosto")</f>
        <v>Agosto</v>
      </c>
      <c r="J116" s="107" t="str">
        <f ca="1">IFERROR(__xludf.DUMMYFUNCTION("""COMPUTED_VALUE"""),"AM")</f>
        <v>AM</v>
      </c>
      <c r="K116" s="40"/>
      <c r="L116" s="107" t="str">
        <f ca="1">IFERROR(__xludf.DUMMYFUNCTION("""COMPUTED_VALUE"""),"TRIMESTRE 3")</f>
        <v>TRIMESTRE 3</v>
      </c>
      <c r="M116" s="107" t="str">
        <f ca="1">IFERROR(__xludf.DUMMYFUNCTION("""COMPUTED_VALUE"""),"ADOLESCENTES MUJERES")</f>
        <v>ADOLESCENTES MUJERES</v>
      </c>
    </row>
    <row r="117" spans="1:13">
      <c r="A117" s="107" t="str">
        <f ca="1">IFERROR(__xludf.DUMMYFUNCTION("""COMPUTED_VALUE"""),"5.1.1.0")</f>
        <v>5.1.1.0</v>
      </c>
      <c r="B117" s="107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117" s="107" t="str">
        <f ca="1">IFERROR(__xludf.DUMMYFUNCTION("""COMPUTED_VALUE"""),"3. Operación")</f>
        <v>3. Operación</v>
      </c>
      <c r="D117" s="107" t="str">
        <f ca="1">IFERROR(__xludf.DUMMYFUNCTION("""COMPUTED_VALUE"""),"Guadalajara bien educada")</f>
        <v>Guadalajara bien educada</v>
      </c>
      <c r="E117" s="107" t="str">
        <f ca="1">IFERROR(__xludf.DUMMYFUNCTION("""COMPUTED_VALUE"""),"Atención en Centros de Desarrollo Infantil")</f>
        <v>Atención en Centros de Desarrollo Infantil</v>
      </c>
      <c r="F117" s="107" t="str">
        <f ca="1">IFERROR(__xludf.DUMMYFUNCTION("""COMPUTED_VALUE"""),"C1. Servicio de educación inicial y preescolar para niñas y niños en condición de vulnerabilidad económica brindados en CDI, CEDI y CAIC ")</f>
        <v xml:space="preserve">C1. Servicio de educación inicial y preescolar para niñas y niños en condición de vulnerabilidad económica brindados en CDI, CEDI y CAIC </v>
      </c>
      <c r="G117" s="107" t="str">
        <f ca="1">IFERROR(__xludf.DUMMYFUNCTION("""COMPUTED_VALUE"""),"Porcentaje de demanda cubierta sobre servicios de atención educativa y asistencial para niñas y niños en condición de vulnerabilidad económica en 2024")</f>
        <v>Porcentaje de demanda cubierta sobre servicios de atención educativa y asistencial para niñas y niños en condición de vulnerabilidad económica en 2024</v>
      </c>
      <c r="H117" s="107" t="str">
        <f ca="1">IFERROR(__xludf.DUMMYFUNCTION("""COMPUTED_VALUE"""),"AH AGOSTO")</f>
        <v>AH AGOSTO</v>
      </c>
      <c r="I117" s="107" t="str">
        <f ca="1">IFERROR(__xludf.DUMMYFUNCTION("""COMPUTED_VALUE"""),"Agosto")</f>
        <v>Agosto</v>
      </c>
      <c r="J117" s="107" t="str">
        <f ca="1">IFERROR(__xludf.DUMMYFUNCTION("""COMPUTED_VALUE"""),"AH")</f>
        <v>AH</v>
      </c>
      <c r="K117" s="40"/>
      <c r="L117" s="107" t="str">
        <f ca="1">IFERROR(__xludf.DUMMYFUNCTION("""COMPUTED_VALUE"""),"TRIMESTRE 3")</f>
        <v>TRIMESTRE 3</v>
      </c>
      <c r="M117" s="107" t="str">
        <f ca="1">IFERROR(__xludf.DUMMYFUNCTION("""COMPUTED_VALUE"""),"ADOLESCENTES HOMBRES")</f>
        <v>ADOLESCENTES HOMBRES</v>
      </c>
    </row>
    <row r="118" spans="1:13">
      <c r="A118" s="107" t="str">
        <f ca="1">IFERROR(__xludf.DUMMYFUNCTION("""COMPUTED_VALUE"""),"5.1.1.0")</f>
        <v>5.1.1.0</v>
      </c>
      <c r="B118" s="107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118" s="107" t="str">
        <f ca="1">IFERROR(__xludf.DUMMYFUNCTION("""COMPUTED_VALUE"""),"3. Operación")</f>
        <v>3. Operación</v>
      </c>
      <c r="D118" s="107" t="str">
        <f ca="1">IFERROR(__xludf.DUMMYFUNCTION("""COMPUTED_VALUE"""),"Guadalajara bien educada")</f>
        <v>Guadalajara bien educada</v>
      </c>
      <c r="E118" s="107" t="str">
        <f ca="1">IFERROR(__xludf.DUMMYFUNCTION("""COMPUTED_VALUE"""),"Atención en Centros de Desarrollo Infantil")</f>
        <v>Atención en Centros de Desarrollo Infantil</v>
      </c>
      <c r="F118" s="107" t="str">
        <f ca="1">IFERROR(__xludf.DUMMYFUNCTION("""COMPUTED_VALUE"""),"C1. Servicio de educación inicial y preescolar para niñas y niños en condición de vulnerabilidad económica brindados en CDI, CEDI y CAIC ")</f>
        <v xml:space="preserve">C1. Servicio de educación inicial y preescolar para niñas y niños en condición de vulnerabilidad económica brindados en CDI, CEDI y CAIC </v>
      </c>
      <c r="G118" s="107" t="str">
        <f ca="1">IFERROR(__xludf.DUMMYFUNCTION("""COMPUTED_VALUE"""),"Porcentaje de demanda cubierta sobre servicios de atención educativa y asistencial para niñas y niños en condición de vulnerabilidad económica en 2024")</f>
        <v>Porcentaje de demanda cubierta sobre servicios de atención educativa y asistencial para niñas y niños en condición de vulnerabilidad económica en 2024</v>
      </c>
      <c r="H118" s="107" t="str">
        <f ca="1">IFERROR(__xludf.DUMMYFUNCTION("""COMPUTED_VALUE"""),"MUJ AGOSTO")</f>
        <v>MUJ AGOSTO</v>
      </c>
      <c r="I118" s="107" t="str">
        <f ca="1">IFERROR(__xludf.DUMMYFUNCTION("""COMPUTED_VALUE"""),"Agosto")</f>
        <v>Agosto</v>
      </c>
      <c r="J118" s="107" t="str">
        <f ca="1">IFERROR(__xludf.DUMMYFUNCTION("""COMPUTED_VALUE"""),"MUJ")</f>
        <v>MUJ</v>
      </c>
      <c r="K118" s="40"/>
      <c r="L118" s="107" t="str">
        <f ca="1">IFERROR(__xludf.DUMMYFUNCTION("""COMPUTED_VALUE"""),"TRIMESTRE 3")</f>
        <v>TRIMESTRE 3</v>
      </c>
      <c r="M118" s="107" t="str">
        <f ca="1">IFERROR(__xludf.DUMMYFUNCTION("""COMPUTED_VALUE"""),"MUJERES ADULTAS")</f>
        <v>MUJERES ADULTAS</v>
      </c>
    </row>
    <row r="119" spans="1:13">
      <c r="A119" s="107" t="str">
        <f ca="1">IFERROR(__xludf.DUMMYFUNCTION("""COMPUTED_VALUE"""),"5.1.1.0")</f>
        <v>5.1.1.0</v>
      </c>
      <c r="B119" s="107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119" s="107" t="str">
        <f ca="1">IFERROR(__xludf.DUMMYFUNCTION("""COMPUTED_VALUE"""),"3. Operación")</f>
        <v>3. Operación</v>
      </c>
      <c r="D119" s="107" t="str">
        <f ca="1">IFERROR(__xludf.DUMMYFUNCTION("""COMPUTED_VALUE"""),"Guadalajara bien educada")</f>
        <v>Guadalajara bien educada</v>
      </c>
      <c r="E119" s="107" t="str">
        <f ca="1">IFERROR(__xludf.DUMMYFUNCTION("""COMPUTED_VALUE"""),"Atención en Centros de Desarrollo Infantil")</f>
        <v>Atención en Centros de Desarrollo Infantil</v>
      </c>
      <c r="F119" s="107" t="str">
        <f ca="1">IFERROR(__xludf.DUMMYFUNCTION("""COMPUTED_VALUE"""),"C1. Servicio de educación inicial y preescolar para niñas y niños en condición de vulnerabilidad económica brindados en CDI, CEDI y CAIC ")</f>
        <v xml:space="preserve">C1. Servicio de educación inicial y preescolar para niñas y niños en condición de vulnerabilidad económica brindados en CDI, CEDI y CAIC </v>
      </c>
      <c r="G119" s="107" t="str">
        <f ca="1">IFERROR(__xludf.DUMMYFUNCTION("""COMPUTED_VALUE"""),"Porcentaje de demanda cubierta sobre servicios de atención educativa y asistencial para niñas y niños en condición de vulnerabilidad económica en 2024")</f>
        <v>Porcentaje de demanda cubierta sobre servicios de atención educativa y asistencial para niñas y niños en condición de vulnerabilidad económica en 2024</v>
      </c>
      <c r="H119" s="107" t="str">
        <f ca="1">IFERROR(__xludf.DUMMYFUNCTION("""COMPUTED_VALUE"""),"HOM AGOSTO")</f>
        <v>HOM AGOSTO</v>
      </c>
      <c r="I119" s="107" t="str">
        <f ca="1">IFERROR(__xludf.DUMMYFUNCTION("""COMPUTED_VALUE"""),"Agosto")</f>
        <v>Agosto</v>
      </c>
      <c r="J119" s="107" t="str">
        <f ca="1">IFERROR(__xludf.DUMMYFUNCTION("""COMPUTED_VALUE"""),"HOM")</f>
        <v>HOM</v>
      </c>
      <c r="K119" s="40"/>
      <c r="L119" s="107" t="str">
        <f ca="1">IFERROR(__xludf.DUMMYFUNCTION("""COMPUTED_VALUE"""),"TRIMESTRE 3")</f>
        <v>TRIMESTRE 3</v>
      </c>
      <c r="M119" s="107" t="str">
        <f ca="1">IFERROR(__xludf.DUMMYFUNCTION("""COMPUTED_VALUE"""),"HOMBRES ADULTOS")</f>
        <v>HOMBRES ADULTOS</v>
      </c>
    </row>
    <row r="120" spans="1:13">
      <c r="A120" s="107" t="str">
        <f ca="1">IFERROR(__xludf.DUMMYFUNCTION("""COMPUTED_VALUE"""),"5.1.1.0")</f>
        <v>5.1.1.0</v>
      </c>
      <c r="B120" s="107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120" s="107" t="str">
        <f ca="1">IFERROR(__xludf.DUMMYFUNCTION("""COMPUTED_VALUE"""),"3. Operación")</f>
        <v>3. Operación</v>
      </c>
      <c r="D120" s="107" t="str">
        <f ca="1">IFERROR(__xludf.DUMMYFUNCTION("""COMPUTED_VALUE"""),"Guadalajara bien educada")</f>
        <v>Guadalajara bien educada</v>
      </c>
      <c r="E120" s="107" t="str">
        <f ca="1">IFERROR(__xludf.DUMMYFUNCTION("""COMPUTED_VALUE"""),"Atención en Centros de Desarrollo Infantil")</f>
        <v>Atención en Centros de Desarrollo Infantil</v>
      </c>
      <c r="F120" s="107" t="str">
        <f ca="1">IFERROR(__xludf.DUMMYFUNCTION("""COMPUTED_VALUE"""),"C1. Servicio de educación inicial y preescolar para niñas y niños en condición de vulnerabilidad económica brindados en CDI, CEDI y CAIC ")</f>
        <v xml:space="preserve">C1. Servicio de educación inicial y preescolar para niñas y niños en condición de vulnerabilidad económica brindados en CDI, CEDI y CAIC </v>
      </c>
      <c r="G120" s="107" t="str">
        <f ca="1">IFERROR(__xludf.DUMMYFUNCTION("""COMPUTED_VALUE"""),"Porcentaje de demanda cubierta sobre servicios de atención educativa y asistencial para niñas y niños en condición de vulnerabilidad económica en 2024")</f>
        <v>Porcentaje de demanda cubierta sobre servicios de atención educativa y asistencial para niñas y niños en condición de vulnerabilidad económica en 2024</v>
      </c>
      <c r="H120" s="107" t="str">
        <f ca="1">IFERROR(__xludf.DUMMYFUNCTION("""COMPUTED_VALUE"""),"AMM AGOSTO")</f>
        <v>AMM AGOSTO</v>
      </c>
      <c r="I120" s="107" t="str">
        <f ca="1">IFERROR(__xludf.DUMMYFUNCTION("""COMPUTED_VALUE"""),"Agosto")</f>
        <v>Agosto</v>
      </c>
      <c r="J120" s="107" t="str">
        <f ca="1">IFERROR(__xludf.DUMMYFUNCTION("""COMPUTED_VALUE"""),"AMM")</f>
        <v>AMM</v>
      </c>
      <c r="K120" s="40"/>
      <c r="L120" s="107" t="str">
        <f ca="1">IFERROR(__xludf.DUMMYFUNCTION("""COMPUTED_VALUE"""),"TRIMESTRE 3")</f>
        <v>TRIMESTRE 3</v>
      </c>
      <c r="M120" s="107" t="str">
        <f ca="1">IFERROR(__xludf.DUMMYFUNCTION("""COMPUTED_VALUE"""),"ADULTA MAYOR MUJER")</f>
        <v>ADULTA MAYOR MUJER</v>
      </c>
    </row>
    <row r="121" spans="1:13">
      <c r="A121" s="107" t="str">
        <f ca="1">IFERROR(__xludf.DUMMYFUNCTION("""COMPUTED_VALUE"""),"5.1.1.0")</f>
        <v>5.1.1.0</v>
      </c>
      <c r="B121" s="107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121" s="107" t="str">
        <f ca="1">IFERROR(__xludf.DUMMYFUNCTION("""COMPUTED_VALUE"""),"3. Operación")</f>
        <v>3. Operación</v>
      </c>
      <c r="D121" s="107" t="str">
        <f ca="1">IFERROR(__xludf.DUMMYFUNCTION("""COMPUTED_VALUE"""),"Guadalajara bien educada")</f>
        <v>Guadalajara bien educada</v>
      </c>
      <c r="E121" s="107" t="str">
        <f ca="1">IFERROR(__xludf.DUMMYFUNCTION("""COMPUTED_VALUE"""),"Atención en Centros de Desarrollo Infantil")</f>
        <v>Atención en Centros de Desarrollo Infantil</v>
      </c>
      <c r="F121" s="107" t="str">
        <f ca="1">IFERROR(__xludf.DUMMYFUNCTION("""COMPUTED_VALUE"""),"C1. Servicio de educación inicial y preescolar para niñas y niños en condición de vulnerabilidad económica brindados en CDI, CEDI y CAIC ")</f>
        <v xml:space="preserve">C1. Servicio de educación inicial y preescolar para niñas y niños en condición de vulnerabilidad económica brindados en CDI, CEDI y CAIC </v>
      </c>
      <c r="G121" s="107" t="str">
        <f ca="1">IFERROR(__xludf.DUMMYFUNCTION("""COMPUTED_VALUE"""),"Porcentaje de demanda cubierta sobre servicios de atención educativa y asistencial para niñas y niños en condición de vulnerabilidad económica en 2024")</f>
        <v>Porcentaje de demanda cubierta sobre servicios de atención educativa y asistencial para niñas y niños en condición de vulnerabilidad económica en 2024</v>
      </c>
      <c r="H121" s="107" t="str">
        <f ca="1">IFERROR(__xludf.DUMMYFUNCTION("""COMPUTED_VALUE"""),"AMH AGOSTO")</f>
        <v>AMH AGOSTO</v>
      </c>
      <c r="I121" s="107" t="str">
        <f ca="1">IFERROR(__xludf.DUMMYFUNCTION("""COMPUTED_VALUE"""),"Agosto")</f>
        <v>Agosto</v>
      </c>
      <c r="J121" s="107" t="str">
        <f ca="1">IFERROR(__xludf.DUMMYFUNCTION("""COMPUTED_VALUE"""),"AMH")</f>
        <v>AMH</v>
      </c>
      <c r="K121" s="40"/>
      <c r="L121" s="107" t="str">
        <f ca="1">IFERROR(__xludf.DUMMYFUNCTION("""COMPUTED_VALUE"""),"TRIMESTRE 3")</f>
        <v>TRIMESTRE 3</v>
      </c>
      <c r="M121" s="107" t="str">
        <f ca="1">IFERROR(__xludf.DUMMYFUNCTION("""COMPUTED_VALUE"""),"ADULTO MAYOR HOMBRE")</f>
        <v>ADULTO MAYOR HOMBRE</v>
      </c>
    </row>
    <row r="122" spans="1:13">
      <c r="A122" s="107" t="str">
        <f ca="1">IFERROR(__xludf.DUMMYFUNCTION("""COMPUTED_VALUE"""),"5.1.1.1")</f>
        <v>5.1.1.1</v>
      </c>
      <c r="B122" s="107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122" s="107" t="str">
        <f ca="1">IFERROR(__xludf.DUMMYFUNCTION("""COMPUTED_VALUE"""),"3. Operación")</f>
        <v>3. Operación</v>
      </c>
      <c r="D122" s="107" t="str">
        <f ca="1">IFERROR(__xludf.DUMMYFUNCTION("""COMPUTED_VALUE"""),"Guadalajara bien educada")</f>
        <v>Guadalajara bien educada</v>
      </c>
      <c r="E122" s="107" t="str">
        <f ca="1">IFERROR(__xludf.DUMMYFUNCTION("""COMPUTED_VALUE"""),"Atención en Centros de Desarrollo Infantil")</f>
        <v>Atención en Centros de Desarrollo Infantil</v>
      </c>
      <c r="F122" s="107" t="str">
        <f ca="1">IFERROR(__xludf.DUMMYFUNCTION("""COMPUTED_VALUE"""),"A1C1. Procesos de formación brindados en CDI, CEDI y CAIC de educación inicial y preescolar ")</f>
        <v xml:space="preserve">A1C1. Procesos de formación brindados en CDI, CEDI y CAIC de educación inicial y preescolar </v>
      </c>
      <c r="G122" s="107" t="str">
        <f ca="1">IFERROR(__xludf.DUMMYFUNCTION("""COMPUTED_VALUE"""),"Porcentaje de Niñas y Niños que reciben educación inicial y preescolar en CDI, CEDI y CAIC en 2024")</f>
        <v>Porcentaje de Niñas y Niños que reciben educación inicial y preescolar en CDI, CEDI y CAIC en 2024</v>
      </c>
      <c r="H122" s="107" t="str">
        <f ca="1">IFERROR(__xludf.DUMMYFUNCTION("""COMPUTED_VALUE"""),"NAS AGOSTO")</f>
        <v>NAS AGOSTO</v>
      </c>
      <c r="I122" s="107" t="str">
        <f ca="1">IFERROR(__xludf.DUMMYFUNCTION("""COMPUTED_VALUE"""),"Agosto")</f>
        <v>Agosto</v>
      </c>
      <c r="J122" s="107" t="str">
        <f ca="1">IFERROR(__xludf.DUMMYFUNCTION("""COMPUTED_VALUE"""),"NAS")</f>
        <v>NAS</v>
      </c>
      <c r="K122" s="40">
        <f ca="1">IFERROR(__xludf.DUMMYFUNCTION("""COMPUTED_VALUE"""),79)</f>
        <v>79</v>
      </c>
      <c r="L122" s="107" t="str">
        <f ca="1">IFERROR(__xludf.DUMMYFUNCTION("""COMPUTED_VALUE"""),"TRIMESTRE 3")</f>
        <v>TRIMESTRE 3</v>
      </c>
      <c r="M122" s="107" t="str">
        <f ca="1">IFERROR(__xludf.DUMMYFUNCTION("""COMPUTED_VALUE"""),"NIÑAS")</f>
        <v>NIÑAS</v>
      </c>
    </row>
    <row r="123" spans="1:13">
      <c r="A123" s="107" t="str">
        <f ca="1">IFERROR(__xludf.DUMMYFUNCTION("""COMPUTED_VALUE"""),"5.1.1.1")</f>
        <v>5.1.1.1</v>
      </c>
      <c r="B123" s="107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123" s="107" t="str">
        <f ca="1">IFERROR(__xludf.DUMMYFUNCTION("""COMPUTED_VALUE"""),"3. Operación")</f>
        <v>3. Operación</v>
      </c>
      <c r="D123" s="107" t="str">
        <f ca="1">IFERROR(__xludf.DUMMYFUNCTION("""COMPUTED_VALUE"""),"Guadalajara bien educada")</f>
        <v>Guadalajara bien educada</v>
      </c>
      <c r="E123" s="107" t="str">
        <f ca="1">IFERROR(__xludf.DUMMYFUNCTION("""COMPUTED_VALUE"""),"Atención en Centros de Desarrollo Infantil")</f>
        <v>Atención en Centros de Desarrollo Infantil</v>
      </c>
      <c r="F123" s="107" t="str">
        <f ca="1">IFERROR(__xludf.DUMMYFUNCTION("""COMPUTED_VALUE"""),"A1C1. Procesos de formación brindados en CDI, CEDI y CAIC de educación inicial y preescolar ")</f>
        <v xml:space="preserve">A1C1. Procesos de formación brindados en CDI, CEDI y CAIC de educación inicial y preescolar </v>
      </c>
      <c r="G123" s="107" t="str">
        <f ca="1">IFERROR(__xludf.DUMMYFUNCTION("""COMPUTED_VALUE"""),"Porcentaje de Niñas y Niños que reciben educación inicial y preescolar en CDI, CEDI y CAIC en 2024")</f>
        <v>Porcentaje de Niñas y Niños que reciben educación inicial y preescolar en CDI, CEDI y CAIC en 2024</v>
      </c>
      <c r="H123" s="107" t="str">
        <f ca="1">IFERROR(__xludf.DUMMYFUNCTION("""COMPUTED_VALUE"""),"NOS AGOSTO")</f>
        <v>NOS AGOSTO</v>
      </c>
      <c r="I123" s="107" t="str">
        <f ca="1">IFERROR(__xludf.DUMMYFUNCTION("""COMPUTED_VALUE"""),"Agosto")</f>
        <v>Agosto</v>
      </c>
      <c r="J123" s="107" t="str">
        <f ca="1">IFERROR(__xludf.DUMMYFUNCTION("""COMPUTED_VALUE"""),"NOS")</f>
        <v>NOS</v>
      </c>
      <c r="K123" s="40">
        <f ca="1">IFERROR(__xludf.DUMMYFUNCTION("""COMPUTED_VALUE"""),109)</f>
        <v>109</v>
      </c>
      <c r="L123" s="107" t="str">
        <f ca="1">IFERROR(__xludf.DUMMYFUNCTION("""COMPUTED_VALUE"""),"TRIMESTRE 3")</f>
        <v>TRIMESTRE 3</v>
      </c>
      <c r="M123" s="107" t="str">
        <f ca="1">IFERROR(__xludf.DUMMYFUNCTION("""COMPUTED_VALUE"""),"NIÑOS")</f>
        <v>NIÑOS</v>
      </c>
    </row>
    <row r="124" spans="1:13">
      <c r="A124" s="107" t="str">
        <f ca="1">IFERROR(__xludf.DUMMYFUNCTION("""COMPUTED_VALUE"""),"5.1.1.1")</f>
        <v>5.1.1.1</v>
      </c>
      <c r="B124" s="107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124" s="107" t="str">
        <f ca="1">IFERROR(__xludf.DUMMYFUNCTION("""COMPUTED_VALUE"""),"3. Operación")</f>
        <v>3. Operación</v>
      </c>
      <c r="D124" s="107" t="str">
        <f ca="1">IFERROR(__xludf.DUMMYFUNCTION("""COMPUTED_VALUE"""),"Guadalajara bien educada")</f>
        <v>Guadalajara bien educada</v>
      </c>
      <c r="E124" s="107" t="str">
        <f ca="1">IFERROR(__xludf.DUMMYFUNCTION("""COMPUTED_VALUE"""),"Atención en Centros de Desarrollo Infantil")</f>
        <v>Atención en Centros de Desarrollo Infantil</v>
      </c>
      <c r="F124" s="107" t="str">
        <f ca="1">IFERROR(__xludf.DUMMYFUNCTION("""COMPUTED_VALUE"""),"A1C1. Procesos de formación brindados en CDI, CEDI y CAIC de educación inicial y preescolar ")</f>
        <v xml:space="preserve">A1C1. Procesos de formación brindados en CDI, CEDI y CAIC de educación inicial y preescolar </v>
      </c>
      <c r="G124" s="107" t="str">
        <f ca="1">IFERROR(__xludf.DUMMYFUNCTION("""COMPUTED_VALUE"""),"Porcentaje de Niñas y Niños que reciben educación inicial y preescolar en CDI, CEDI y CAIC en 2024")</f>
        <v>Porcentaje de Niñas y Niños que reciben educación inicial y preescolar en CDI, CEDI y CAIC en 2024</v>
      </c>
      <c r="H124" s="107" t="str">
        <f ca="1">IFERROR(__xludf.DUMMYFUNCTION("""COMPUTED_VALUE"""),"AM AGOSTO")</f>
        <v>AM AGOSTO</v>
      </c>
      <c r="I124" s="107" t="str">
        <f ca="1">IFERROR(__xludf.DUMMYFUNCTION("""COMPUTED_VALUE"""),"Agosto")</f>
        <v>Agosto</v>
      </c>
      <c r="J124" s="107" t="str">
        <f ca="1">IFERROR(__xludf.DUMMYFUNCTION("""COMPUTED_VALUE"""),"AM")</f>
        <v>AM</v>
      </c>
      <c r="K124" s="40"/>
      <c r="L124" s="107" t="str">
        <f ca="1">IFERROR(__xludf.DUMMYFUNCTION("""COMPUTED_VALUE"""),"TRIMESTRE 3")</f>
        <v>TRIMESTRE 3</v>
      </c>
      <c r="M124" s="107" t="str">
        <f ca="1">IFERROR(__xludf.DUMMYFUNCTION("""COMPUTED_VALUE"""),"ADOLESCENTES MUJERES")</f>
        <v>ADOLESCENTES MUJERES</v>
      </c>
    </row>
    <row r="125" spans="1:13">
      <c r="A125" s="107" t="str">
        <f ca="1">IFERROR(__xludf.DUMMYFUNCTION("""COMPUTED_VALUE"""),"5.1.1.1")</f>
        <v>5.1.1.1</v>
      </c>
      <c r="B125" s="107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125" s="107" t="str">
        <f ca="1">IFERROR(__xludf.DUMMYFUNCTION("""COMPUTED_VALUE"""),"3. Operación")</f>
        <v>3. Operación</v>
      </c>
      <c r="D125" s="107" t="str">
        <f ca="1">IFERROR(__xludf.DUMMYFUNCTION("""COMPUTED_VALUE"""),"Guadalajara bien educada")</f>
        <v>Guadalajara bien educada</v>
      </c>
      <c r="E125" s="107" t="str">
        <f ca="1">IFERROR(__xludf.DUMMYFUNCTION("""COMPUTED_VALUE"""),"Atención en Centros de Desarrollo Infantil")</f>
        <v>Atención en Centros de Desarrollo Infantil</v>
      </c>
      <c r="F125" s="107" t="str">
        <f ca="1">IFERROR(__xludf.DUMMYFUNCTION("""COMPUTED_VALUE"""),"A1C1. Procesos de formación brindados en CDI, CEDI y CAIC de educación inicial y preescolar ")</f>
        <v xml:space="preserve">A1C1. Procesos de formación brindados en CDI, CEDI y CAIC de educación inicial y preescolar </v>
      </c>
      <c r="G125" s="107" t="str">
        <f ca="1">IFERROR(__xludf.DUMMYFUNCTION("""COMPUTED_VALUE"""),"Porcentaje de Niñas y Niños que reciben educación inicial y preescolar en CDI, CEDI y CAIC en 2024")</f>
        <v>Porcentaje de Niñas y Niños que reciben educación inicial y preescolar en CDI, CEDI y CAIC en 2024</v>
      </c>
      <c r="H125" s="107" t="str">
        <f ca="1">IFERROR(__xludf.DUMMYFUNCTION("""COMPUTED_VALUE"""),"AH AGOSTO")</f>
        <v>AH AGOSTO</v>
      </c>
      <c r="I125" s="107" t="str">
        <f ca="1">IFERROR(__xludf.DUMMYFUNCTION("""COMPUTED_VALUE"""),"Agosto")</f>
        <v>Agosto</v>
      </c>
      <c r="J125" s="107" t="str">
        <f ca="1">IFERROR(__xludf.DUMMYFUNCTION("""COMPUTED_VALUE"""),"AH")</f>
        <v>AH</v>
      </c>
      <c r="K125" s="40"/>
      <c r="L125" s="107" t="str">
        <f ca="1">IFERROR(__xludf.DUMMYFUNCTION("""COMPUTED_VALUE"""),"TRIMESTRE 3")</f>
        <v>TRIMESTRE 3</v>
      </c>
      <c r="M125" s="107" t="str">
        <f ca="1">IFERROR(__xludf.DUMMYFUNCTION("""COMPUTED_VALUE"""),"ADOLESCENTES HOMBRES")</f>
        <v>ADOLESCENTES HOMBRES</v>
      </c>
    </row>
    <row r="126" spans="1:13">
      <c r="A126" s="107" t="str">
        <f ca="1">IFERROR(__xludf.DUMMYFUNCTION("""COMPUTED_VALUE"""),"5.1.1.1")</f>
        <v>5.1.1.1</v>
      </c>
      <c r="B126" s="107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126" s="107" t="str">
        <f ca="1">IFERROR(__xludf.DUMMYFUNCTION("""COMPUTED_VALUE"""),"3. Operación")</f>
        <v>3. Operación</v>
      </c>
      <c r="D126" s="107" t="str">
        <f ca="1">IFERROR(__xludf.DUMMYFUNCTION("""COMPUTED_VALUE"""),"Guadalajara bien educada")</f>
        <v>Guadalajara bien educada</v>
      </c>
      <c r="E126" s="107" t="str">
        <f ca="1">IFERROR(__xludf.DUMMYFUNCTION("""COMPUTED_VALUE"""),"Atención en Centros de Desarrollo Infantil")</f>
        <v>Atención en Centros de Desarrollo Infantil</v>
      </c>
      <c r="F126" s="107" t="str">
        <f ca="1">IFERROR(__xludf.DUMMYFUNCTION("""COMPUTED_VALUE"""),"A1C1. Procesos de formación brindados en CDI, CEDI y CAIC de educación inicial y preescolar ")</f>
        <v xml:space="preserve">A1C1. Procesos de formación brindados en CDI, CEDI y CAIC de educación inicial y preescolar </v>
      </c>
      <c r="G126" s="107" t="str">
        <f ca="1">IFERROR(__xludf.DUMMYFUNCTION("""COMPUTED_VALUE"""),"Porcentaje de Niñas y Niños que reciben educación inicial y preescolar en CDI, CEDI y CAIC en 2024")</f>
        <v>Porcentaje de Niñas y Niños que reciben educación inicial y preescolar en CDI, CEDI y CAIC en 2024</v>
      </c>
      <c r="H126" s="107" t="str">
        <f ca="1">IFERROR(__xludf.DUMMYFUNCTION("""COMPUTED_VALUE"""),"MUJ AGOSTO")</f>
        <v>MUJ AGOSTO</v>
      </c>
      <c r="I126" s="107" t="str">
        <f ca="1">IFERROR(__xludf.DUMMYFUNCTION("""COMPUTED_VALUE"""),"Agosto")</f>
        <v>Agosto</v>
      </c>
      <c r="J126" s="107" t="str">
        <f ca="1">IFERROR(__xludf.DUMMYFUNCTION("""COMPUTED_VALUE"""),"MUJ")</f>
        <v>MUJ</v>
      </c>
      <c r="K126" s="40"/>
      <c r="L126" s="107" t="str">
        <f ca="1">IFERROR(__xludf.DUMMYFUNCTION("""COMPUTED_VALUE"""),"TRIMESTRE 3")</f>
        <v>TRIMESTRE 3</v>
      </c>
      <c r="M126" s="107" t="str">
        <f ca="1">IFERROR(__xludf.DUMMYFUNCTION("""COMPUTED_VALUE"""),"MUJERES ADULTAS")</f>
        <v>MUJERES ADULTAS</v>
      </c>
    </row>
    <row r="127" spans="1:13">
      <c r="A127" s="107" t="str">
        <f ca="1">IFERROR(__xludf.DUMMYFUNCTION("""COMPUTED_VALUE"""),"5.1.1.1")</f>
        <v>5.1.1.1</v>
      </c>
      <c r="B127" s="107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127" s="107" t="str">
        <f ca="1">IFERROR(__xludf.DUMMYFUNCTION("""COMPUTED_VALUE"""),"3. Operación")</f>
        <v>3. Operación</v>
      </c>
      <c r="D127" s="107" t="str">
        <f ca="1">IFERROR(__xludf.DUMMYFUNCTION("""COMPUTED_VALUE"""),"Guadalajara bien educada")</f>
        <v>Guadalajara bien educada</v>
      </c>
      <c r="E127" s="107" t="str">
        <f ca="1">IFERROR(__xludf.DUMMYFUNCTION("""COMPUTED_VALUE"""),"Atención en Centros de Desarrollo Infantil")</f>
        <v>Atención en Centros de Desarrollo Infantil</v>
      </c>
      <c r="F127" s="107" t="str">
        <f ca="1">IFERROR(__xludf.DUMMYFUNCTION("""COMPUTED_VALUE"""),"A1C1. Procesos de formación brindados en CDI, CEDI y CAIC de educación inicial y preescolar ")</f>
        <v xml:space="preserve">A1C1. Procesos de formación brindados en CDI, CEDI y CAIC de educación inicial y preescolar </v>
      </c>
      <c r="G127" s="107" t="str">
        <f ca="1">IFERROR(__xludf.DUMMYFUNCTION("""COMPUTED_VALUE"""),"Porcentaje de Niñas y Niños que reciben educación inicial y preescolar en CDI, CEDI y CAIC en 2024")</f>
        <v>Porcentaje de Niñas y Niños que reciben educación inicial y preescolar en CDI, CEDI y CAIC en 2024</v>
      </c>
      <c r="H127" s="107" t="str">
        <f ca="1">IFERROR(__xludf.DUMMYFUNCTION("""COMPUTED_VALUE"""),"HOM AGOSTO")</f>
        <v>HOM AGOSTO</v>
      </c>
      <c r="I127" s="107" t="str">
        <f ca="1">IFERROR(__xludf.DUMMYFUNCTION("""COMPUTED_VALUE"""),"Agosto")</f>
        <v>Agosto</v>
      </c>
      <c r="J127" s="107" t="str">
        <f ca="1">IFERROR(__xludf.DUMMYFUNCTION("""COMPUTED_VALUE"""),"HOM")</f>
        <v>HOM</v>
      </c>
      <c r="K127" s="40"/>
      <c r="L127" s="107" t="str">
        <f ca="1">IFERROR(__xludf.DUMMYFUNCTION("""COMPUTED_VALUE"""),"TRIMESTRE 3")</f>
        <v>TRIMESTRE 3</v>
      </c>
      <c r="M127" s="107" t="str">
        <f ca="1">IFERROR(__xludf.DUMMYFUNCTION("""COMPUTED_VALUE"""),"HOMBRES ADULTOS")</f>
        <v>HOMBRES ADULTOS</v>
      </c>
    </row>
    <row r="128" spans="1:13">
      <c r="A128" s="107" t="str">
        <f ca="1">IFERROR(__xludf.DUMMYFUNCTION("""COMPUTED_VALUE"""),"5.1.1.1")</f>
        <v>5.1.1.1</v>
      </c>
      <c r="B128" s="107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128" s="107" t="str">
        <f ca="1">IFERROR(__xludf.DUMMYFUNCTION("""COMPUTED_VALUE"""),"3. Operación")</f>
        <v>3. Operación</v>
      </c>
      <c r="D128" s="107" t="str">
        <f ca="1">IFERROR(__xludf.DUMMYFUNCTION("""COMPUTED_VALUE"""),"Guadalajara bien educada")</f>
        <v>Guadalajara bien educada</v>
      </c>
      <c r="E128" s="107" t="str">
        <f ca="1">IFERROR(__xludf.DUMMYFUNCTION("""COMPUTED_VALUE"""),"Atención en Centros de Desarrollo Infantil")</f>
        <v>Atención en Centros de Desarrollo Infantil</v>
      </c>
      <c r="F128" s="107" t="str">
        <f ca="1">IFERROR(__xludf.DUMMYFUNCTION("""COMPUTED_VALUE"""),"A1C1. Procesos de formación brindados en CDI, CEDI y CAIC de educación inicial y preescolar ")</f>
        <v xml:space="preserve">A1C1. Procesos de formación brindados en CDI, CEDI y CAIC de educación inicial y preescolar </v>
      </c>
      <c r="G128" s="107" t="str">
        <f ca="1">IFERROR(__xludf.DUMMYFUNCTION("""COMPUTED_VALUE"""),"Porcentaje de Niñas y Niños que reciben educación inicial y preescolar en CDI, CEDI y CAIC en 2024")</f>
        <v>Porcentaje de Niñas y Niños que reciben educación inicial y preescolar en CDI, CEDI y CAIC en 2024</v>
      </c>
      <c r="H128" s="107" t="str">
        <f ca="1">IFERROR(__xludf.DUMMYFUNCTION("""COMPUTED_VALUE"""),"AMM AGOSTO")</f>
        <v>AMM AGOSTO</v>
      </c>
      <c r="I128" s="107" t="str">
        <f ca="1">IFERROR(__xludf.DUMMYFUNCTION("""COMPUTED_VALUE"""),"Agosto")</f>
        <v>Agosto</v>
      </c>
      <c r="J128" s="107" t="str">
        <f ca="1">IFERROR(__xludf.DUMMYFUNCTION("""COMPUTED_VALUE"""),"AMM")</f>
        <v>AMM</v>
      </c>
      <c r="K128" s="40"/>
      <c r="L128" s="107" t="str">
        <f ca="1">IFERROR(__xludf.DUMMYFUNCTION("""COMPUTED_VALUE"""),"TRIMESTRE 3")</f>
        <v>TRIMESTRE 3</v>
      </c>
      <c r="M128" s="107" t="str">
        <f ca="1">IFERROR(__xludf.DUMMYFUNCTION("""COMPUTED_VALUE"""),"ADULTA MAYOR MUJER")</f>
        <v>ADULTA MAYOR MUJER</v>
      </c>
    </row>
    <row r="129" spans="1:13">
      <c r="A129" s="107" t="str">
        <f ca="1">IFERROR(__xludf.DUMMYFUNCTION("""COMPUTED_VALUE"""),"5.1.1.1")</f>
        <v>5.1.1.1</v>
      </c>
      <c r="B129" s="107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129" s="107" t="str">
        <f ca="1">IFERROR(__xludf.DUMMYFUNCTION("""COMPUTED_VALUE"""),"3. Operación")</f>
        <v>3. Operación</v>
      </c>
      <c r="D129" s="107" t="str">
        <f ca="1">IFERROR(__xludf.DUMMYFUNCTION("""COMPUTED_VALUE"""),"Guadalajara bien educada")</f>
        <v>Guadalajara bien educada</v>
      </c>
      <c r="E129" s="107" t="str">
        <f ca="1">IFERROR(__xludf.DUMMYFUNCTION("""COMPUTED_VALUE"""),"Atención en Centros de Desarrollo Infantil")</f>
        <v>Atención en Centros de Desarrollo Infantil</v>
      </c>
      <c r="F129" s="107" t="str">
        <f ca="1">IFERROR(__xludf.DUMMYFUNCTION("""COMPUTED_VALUE"""),"A1C1. Procesos de formación brindados en CDI, CEDI y CAIC de educación inicial y preescolar ")</f>
        <v xml:space="preserve">A1C1. Procesos de formación brindados en CDI, CEDI y CAIC de educación inicial y preescolar </v>
      </c>
      <c r="G129" s="107" t="str">
        <f ca="1">IFERROR(__xludf.DUMMYFUNCTION("""COMPUTED_VALUE"""),"Porcentaje de Niñas y Niños que reciben educación inicial y preescolar en CDI, CEDI y CAIC en 2024")</f>
        <v>Porcentaje de Niñas y Niños que reciben educación inicial y preescolar en CDI, CEDI y CAIC en 2024</v>
      </c>
      <c r="H129" s="107" t="str">
        <f ca="1">IFERROR(__xludf.DUMMYFUNCTION("""COMPUTED_VALUE"""),"AMH AGOSTO")</f>
        <v>AMH AGOSTO</v>
      </c>
      <c r="I129" s="107" t="str">
        <f ca="1">IFERROR(__xludf.DUMMYFUNCTION("""COMPUTED_VALUE"""),"Agosto")</f>
        <v>Agosto</v>
      </c>
      <c r="J129" s="107" t="str">
        <f ca="1">IFERROR(__xludf.DUMMYFUNCTION("""COMPUTED_VALUE"""),"AMH")</f>
        <v>AMH</v>
      </c>
      <c r="K129" s="40"/>
      <c r="L129" s="107" t="str">
        <f ca="1">IFERROR(__xludf.DUMMYFUNCTION("""COMPUTED_VALUE"""),"TRIMESTRE 3")</f>
        <v>TRIMESTRE 3</v>
      </c>
      <c r="M129" s="107" t="str">
        <f ca="1">IFERROR(__xludf.DUMMYFUNCTION("""COMPUTED_VALUE"""),"ADULTO MAYOR HOMBRE")</f>
        <v>ADULTO MAYOR HOMBRE</v>
      </c>
    </row>
    <row r="130" spans="1:13">
      <c r="A130" s="107" t="str">
        <f ca="1">IFERROR(__xludf.DUMMYFUNCTION("""COMPUTED_VALUE"""),"5.1.1.0")</f>
        <v>5.1.1.0</v>
      </c>
      <c r="B130" s="107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130" s="107" t="str">
        <f ca="1">IFERROR(__xludf.DUMMYFUNCTION("""COMPUTED_VALUE"""),"3. Operación")</f>
        <v>3. Operación</v>
      </c>
      <c r="D130" s="107" t="str">
        <f ca="1">IFERROR(__xludf.DUMMYFUNCTION("""COMPUTED_VALUE"""),"Guadalajara bien educada")</f>
        <v>Guadalajara bien educada</v>
      </c>
      <c r="E130" s="107" t="str">
        <f ca="1">IFERROR(__xludf.DUMMYFUNCTION("""COMPUTED_VALUE"""),"Atención en Centros de Desarrollo Infantil")</f>
        <v>Atención en Centros de Desarrollo Infantil</v>
      </c>
      <c r="F130" s="107" t="str">
        <f ca="1">IFERROR(__xludf.DUMMYFUNCTION("""COMPUTED_VALUE"""),"C1. Servicio de educación inicial y preescolar para niñas y niños en condición de vulnerabilidad económica brindados en CDI, CEDI y CAIC ")</f>
        <v xml:space="preserve">C1. Servicio de educación inicial y preescolar para niñas y niños en condición de vulnerabilidad económica brindados en CDI, CEDI y CAIC </v>
      </c>
      <c r="G130" s="107" t="str">
        <f ca="1">IFERROR(__xludf.DUMMYFUNCTION("""COMPUTED_VALUE"""),"Porcentaje de demanda cubierta sobre servicios de atención educativa y asistencial para niñas y niños en condición de vulnerabilidad económica en 2024")</f>
        <v>Porcentaje de demanda cubierta sobre servicios de atención educativa y asistencial para niñas y niños en condición de vulnerabilidad económica en 2024</v>
      </c>
      <c r="H130" s="107" t="str">
        <f ca="1">IFERROR(__xludf.DUMMYFUNCTION("""COMPUTED_VALUE"""),"NAS SEPTIEMBRE")</f>
        <v>NAS SEPTIEMBRE</v>
      </c>
      <c r="I130" s="107" t="str">
        <f ca="1">IFERROR(__xludf.DUMMYFUNCTION("""COMPUTED_VALUE"""),"Septiembre")</f>
        <v>Septiembre</v>
      </c>
      <c r="J130" s="107" t="str">
        <f ca="1">IFERROR(__xludf.DUMMYFUNCTION("""COMPUTED_VALUE"""),"NAS")</f>
        <v>NAS</v>
      </c>
      <c r="K130" s="40">
        <f ca="1">IFERROR(__xludf.DUMMYFUNCTION("""COMPUTED_VALUE"""),0)</f>
        <v>0</v>
      </c>
      <c r="L130" s="107" t="str">
        <f ca="1">IFERROR(__xludf.DUMMYFUNCTION("""COMPUTED_VALUE"""),"TRIMESTRE 3")</f>
        <v>TRIMESTRE 3</v>
      </c>
      <c r="M130" s="107" t="str">
        <f ca="1">IFERROR(__xludf.DUMMYFUNCTION("""COMPUTED_VALUE"""),"NIÑAS")</f>
        <v>NIÑAS</v>
      </c>
    </row>
    <row r="131" spans="1:13">
      <c r="A131" s="107" t="str">
        <f ca="1">IFERROR(__xludf.DUMMYFUNCTION("""COMPUTED_VALUE"""),"5.1.1.0")</f>
        <v>5.1.1.0</v>
      </c>
      <c r="B131" s="107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131" s="107" t="str">
        <f ca="1">IFERROR(__xludf.DUMMYFUNCTION("""COMPUTED_VALUE"""),"3. Operación")</f>
        <v>3. Operación</v>
      </c>
      <c r="D131" s="107" t="str">
        <f ca="1">IFERROR(__xludf.DUMMYFUNCTION("""COMPUTED_VALUE"""),"Guadalajara bien educada")</f>
        <v>Guadalajara bien educada</v>
      </c>
      <c r="E131" s="107" t="str">
        <f ca="1">IFERROR(__xludf.DUMMYFUNCTION("""COMPUTED_VALUE"""),"Atención en Centros de Desarrollo Infantil")</f>
        <v>Atención en Centros de Desarrollo Infantil</v>
      </c>
      <c r="F131" s="107" t="str">
        <f ca="1">IFERROR(__xludf.DUMMYFUNCTION("""COMPUTED_VALUE"""),"C1. Servicio de educación inicial y preescolar para niñas y niños en condición de vulnerabilidad económica brindados en CDI, CEDI y CAIC ")</f>
        <v xml:space="preserve">C1. Servicio de educación inicial y preescolar para niñas y niños en condición de vulnerabilidad económica brindados en CDI, CEDI y CAIC </v>
      </c>
      <c r="G131" s="107" t="str">
        <f ca="1">IFERROR(__xludf.DUMMYFUNCTION("""COMPUTED_VALUE"""),"Porcentaje de demanda cubierta sobre servicios de atención educativa y asistencial para niñas y niños en condición de vulnerabilidad económica en 2024")</f>
        <v>Porcentaje de demanda cubierta sobre servicios de atención educativa y asistencial para niñas y niños en condición de vulnerabilidad económica en 2024</v>
      </c>
      <c r="H131" s="107" t="str">
        <f ca="1">IFERROR(__xludf.DUMMYFUNCTION("""COMPUTED_VALUE"""),"NOS SEPTIEMBRE")</f>
        <v>NOS SEPTIEMBRE</v>
      </c>
      <c r="I131" s="107" t="str">
        <f ca="1">IFERROR(__xludf.DUMMYFUNCTION("""COMPUTED_VALUE"""),"Septiembre")</f>
        <v>Septiembre</v>
      </c>
      <c r="J131" s="107" t="str">
        <f ca="1">IFERROR(__xludf.DUMMYFUNCTION("""COMPUTED_VALUE"""),"NOS")</f>
        <v>NOS</v>
      </c>
      <c r="K131" s="40">
        <f ca="1">IFERROR(__xludf.DUMMYFUNCTION("""COMPUTED_VALUE"""),0)</f>
        <v>0</v>
      </c>
      <c r="L131" s="107" t="str">
        <f ca="1">IFERROR(__xludf.DUMMYFUNCTION("""COMPUTED_VALUE"""),"TRIMESTRE 3")</f>
        <v>TRIMESTRE 3</v>
      </c>
      <c r="M131" s="107" t="str">
        <f ca="1">IFERROR(__xludf.DUMMYFUNCTION("""COMPUTED_VALUE"""),"NIÑOS")</f>
        <v>NIÑOS</v>
      </c>
    </row>
    <row r="132" spans="1:13">
      <c r="A132" s="107" t="str">
        <f ca="1">IFERROR(__xludf.DUMMYFUNCTION("""COMPUTED_VALUE"""),"5.1.1.0")</f>
        <v>5.1.1.0</v>
      </c>
      <c r="B132" s="107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132" s="107" t="str">
        <f ca="1">IFERROR(__xludf.DUMMYFUNCTION("""COMPUTED_VALUE"""),"3. Operación")</f>
        <v>3. Operación</v>
      </c>
      <c r="D132" s="107" t="str">
        <f ca="1">IFERROR(__xludf.DUMMYFUNCTION("""COMPUTED_VALUE"""),"Guadalajara bien educada")</f>
        <v>Guadalajara bien educada</v>
      </c>
      <c r="E132" s="107" t="str">
        <f ca="1">IFERROR(__xludf.DUMMYFUNCTION("""COMPUTED_VALUE"""),"Atención en Centros de Desarrollo Infantil")</f>
        <v>Atención en Centros de Desarrollo Infantil</v>
      </c>
      <c r="F132" s="107" t="str">
        <f ca="1">IFERROR(__xludf.DUMMYFUNCTION("""COMPUTED_VALUE"""),"C1. Servicio de educación inicial y preescolar para niñas y niños en condición de vulnerabilidad económica brindados en CDI, CEDI y CAIC ")</f>
        <v xml:space="preserve">C1. Servicio de educación inicial y preescolar para niñas y niños en condición de vulnerabilidad económica brindados en CDI, CEDI y CAIC </v>
      </c>
      <c r="G132" s="107" t="str">
        <f ca="1">IFERROR(__xludf.DUMMYFUNCTION("""COMPUTED_VALUE"""),"Porcentaje de demanda cubierta sobre servicios de atención educativa y asistencial para niñas y niños en condición de vulnerabilidad económica en 2024")</f>
        <v>Porcentaje de demanda cubierta sobre servicios de atención educativa y asistencial para niñas y niños en condición de vulnerabilidad económica en 2024</v>
      </c>
      <c r="H132" s="107" t="str">
        <f ca="1">IFERROR(__xludf.DUMMYFUNCTION("""COMPUTED_VALUE"""),"AM SEPTIEMBRE")</f>
        <v>AM SEPTIEMBRE</v>
      </c>
      <c r="I132" s="107" t="str">
        <f ca="1">IFERROR(__xludf.DUMMYFUNCTION("""COMPUTED_VALUE"""),"Septiembre")</f>
        <v>Septiembre</v>
      </c>
      <c r="J132" s="107" t="str">
        <f ca="1">IFERROR(__xludf.DUMMYFUNCTION("""COMPUTED_VALUE"""),"AM")</f>
        <v>AM</v>
      </c>
      <c r="K132" s="40"/>
      <c r="L132" s="107" t="str">
        <f ca="1">IFERROR(__xludf.DUMMYFUNCTION("""COMPUTED_VALUE"""),"TRIMESTRE 3")</f>
        <v>TRIMESTRE 3</v>
      </c>
      <c r="M132" s="107" t="str">
        <f ca="1">IFERROR(__xludf.DUMMYFUNCTION("""COMPUTED_VALUE"""),"ADOLESCENTES MUJERES")</f>
        <v>ADOLESCENTES MUJERES</v>
      </c>
    </row>
    <row r="133" spans="1:13">
      <c r="A133" s="107" t="str">
        <f ca="1">IFERROR(__xludf.DUMMYFUNCTION("""COMPUTED_VALUE"""),"5.1.1.0")</f>
        <v>5.1.1.0</v>
      </c>
      <c r="B133" s="107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133" s="107" t="str">
        <f ca="1">IFERROR(__xludf.DUMMYFUNCTION("""COMPUTED_VALUE"""),"3. Operación")</f>
        <v>3. Operación</v>
      </c>
      <c r="D133" s="107" t="str">
        <f ca="1">IFERROR(__xludf.DUMMYFUNCTION("""COMPUTED_VALUE"""),"Guadalajara bien educada")</f>
        <v>Guadalajara bien educada</v>
      </c>
      <c r="E133" s="107" t="str">
        <f ca="1">IFERROR(__xludf.DUMMYFUNCTION("""COMPUTED_VALUE"""),"Atención en Centros de Desarrollo Infantil")</f>
        <v>Atención en Centros de Desarrollo Infantil</v>
      </c>
      <c r="F133" s="107" t="str">
        <f ca="1">IFERROR(__xludf.DUMMYFUNCTION("""COMPUTED_VALUE"""),"C1. Servicio de educación inicial y preescolar para niñas y niños en condición de vulnerabilidad económica brindados en CDI, CEDI y CAIC ")</f>
        <v xml:space="preserve">C1. Servicio de educación inicial y preescolar para niñas y niños en condición de vulnerabilidad económica brindados en CDI, CEDI y CAIC </v>
      </c>
      <c r="G133" s="107" t="str">
        <f ca="1">IFERROR(__xludf.DUMMYFUNCTION("""COMPUTED_VALUE"""),"Porcentaje de demanda cubierta sobre servicios de atención educativa y asistencial para niñas y niños en condición de vulnerabilidad económica en 2024")</f>
        <v>Porcentaje de demanda cubierta sobre servicios de atención educativa y asistencial para niñas y niños en condición de vulnerabilidad económica en 2024</v>
      </c>
      <c r="H133" s="107" t="str">
        <f ca="1">IFERROR(__xludf.DUMMYFUNCTION("""COMPUTED_VALUE"""),"AH SEPTIEMBRE")</f>
        <v>AH SEPTIEMBRE</v>
      </c>
      <c r="I133" s="107" t="str">
        <f ca="1">IFERROR(__xludf.DUMMYFUNCTION("""COMPUTED_VALUE"""),"Septiembre")</f>
        <v>Septiembre</v>
      </c>
      <c r="J133" s="107" t="str">
        <f ca="1">IFERROR(__xludf.DUMMYFUNCTION("""COMPUTED_VALUE"""),"AH")</f>
        <v>AH</v>
      </c>
      <c r="K133" s="40"/>
      <c r="L133" s="107" t="str">
        <f ca="1">IFERROR(__xludf.DUMMYFUNCTION("""COMPUTED_VALUE"""),"TRIMESTRE 3")</f>
        <v>TRIMESTRE 3</v>
      </c>
      <c r="M133" s="107" t="str">
        <f ca="1">IFERROR(__xludf.DUMMYFUNCTION("""COMPUTED_VALUE"""),"ADOLESCENTES HOMBRES")</f>
        <v>ADOLESCENTES HOMBRES</v>
      </c>
    </row>
    <row r="134" spans="1:13">
      <c r="A134" s="107" t="str">
        <f ca="1">IFERROR(__xludf.DUMMYFUNCTION("""COMPUTED_VALUE"""),"5.1.1.0")</f>
        <v>5.1.1.0</v>
      </c>
      <c r="B134" s="107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134" s="107" t="str">
        <f ca="1">IFERROR(__xludf.DUMMYFUNCTION("""COMPUTED_VALUE"""),"3. Operación")</f>
        <v>3. Operación</v>
      </c>
      <c r="D134" s="107" t="str">
        <f ca="1">IFERROR(__xludf.DUMMYFUNCTION("""COMPUTED_VALUE"""),"Guadalajara bien educada")</f>
        <v>Guadalajara bien educada</v>
      </c>
      <c r="E134" s="107" t="str">
        <f ca="1">IFERROR(__xludf.DUMMYFUNCTION("""COMPUTED_VALUE"""),"Atención en Centros de Desarrollo Infantil")</f>
        <v>Atención en Centros de Desarrollo Infantil</v>
      </c>
      <c r="F134" s="107" t="str">
        <f ca="1">IFERROR(__xludf.DUMMYFUNCTION("""COMPUTED_VALUE"""),"C1. Servicio de educación inicial y preescolar para niñas y niños en condición de vulnerabilidad económica brindados en CDI, CEDI y CAIC ")</f>
        <v xml:space="preserve">C1. Servicio de educación inicial y preescolar para niñas y niños en condición de vulnerabilidad económica brindados en CDI, CEDI y CAIC </v>
      </c>
      <c r="G134" s="107" t="str">
        <f ca="1">IFERROR(__xludf.DUMMYFUNCTION("""COMPUTED_VALUE"""),"Porcentaje de demanda cubierta sobre servicios de atención educativa y asistencial para niñas y niños en condición de vulnerabilidad económica en 2024")</f>
        <v>Porcentaje de demanda cubierta sobre servicios de atención educativa y asistencial para niñas y niños en condición de vulnerabilidad económica en 2024</v>
      </c>
      <c r="H134" s="107" t="str">
        <f ca="1">IFERROR(__xludf.DUMMYFUNCTION("""COMPUTED_VALUE"""),"MUJ SEPTIEMBRE")</f>
        <v>MUJ SEPTIEMBRE</v>
      </c>
      <c r="I134" s="107" t="str">
        <f ca="1">IFERROR(__xludf.DUMMYFUNCTION("""COMPUTED_VALUE"""),"Septiembre")</f>
        <v>Septiembre</v>
      </c>
      <c r="J134" s="107" t="str">
        <f ca="1">IFERROR(__xludf.DUMMYFUNCTION("""COMPUTED_VALUE"""),"MUJ")</f>
        <v>MUJ</v>
      </c>
      <c r="K134" s="40"/>
      <c r="L134" s="107" t="str">
        <f ca="1">IFERROR(__xludf.DUMMYFUNCTION("""COMPUTED_VALUE"""),"TRIMESTRE 3")</f>
        <v>TRIMESTRE 3</v>
      </c>
      <c r="M134" s="107" t="str">
        <f ca="1">IFERROR(__xludf.DUMMYFUNCTION("""COMPUTED_VALUE"""),"MUJERES ADULTAS")</f>
        <v>MUJERES ADULTAS</v>
      </c>
    </row>
    <row r="135" spans="1:13">
      <c r="A135" s="107" t="str">
        <f ca="1">IFERROR(__xludf.DUMMYFUNCTION("""COMPUTED_VALUE"""),"5.1.1.0")</f>
        <v>5.1.1.0</v>
      </c>
      <c r="B135" s="107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135" s="107" t="str">
        <f ca="1">IFERROR(__xludf.DUMMYFUNCTION("""COMPUTED_VALUE"""),"3. Operación")</f>
        <v>3. Operación</v>
      </c>
      <c r="D135" s="107" t="str">
        <f ca="1">IFERROR(__xludf.DUMMYFUNCTION("""COMPUTED_VALUE"""),"Guadalajara bien educada")</f>
        <v>Guadalajara bien educada</v>
      </c>
      <c r="E135" s="107" t="str">
        <f ca="1">IFERROR(__xludf.DUMMYFUNCTION("""COMPUTED_VALUE"""),"Atención en Centros de Desarrollo Infantil")</f>
        <v>Atención en Centros de Desarrollo Infantil</v>
      </c>
      <c r="F135" s="107" t="str">
        <f ca="1">IFERROR(__xludf.DUMMYFUNCTION("""COMPUTED_VALUE"""),"C1. Servicio de educación inicial y preescolar para niñas y niños en condición de vulnerabilidad económica brindados en CDI, CEDI y CAIC ")</f>
        <v xml:space="preserve">C1. Servicio de educación inicial y preescolar para niñas y niños en condición de vulnerabilidad económica brindados en CDI, CEDI y CAIC </v>
      </c>
      <c r="G135" s="107" t="str">
        <f ca="1">IFERROR(__xludf.DUMMYFUNCTION("""COMPUTED_VALUE"""),"Porcentaje de demanda cubierta sobre servicios de atención educativa y asistencial para niñas y niños en condición de vulnerabilidad económica en 2024")</f>
        <v>Porcentaje de demanda cubierta sobre servicios de atención educativa y asistencial para niñas y niños en condición de vulnerabilidad económica en 2024</v>
      </c>
      <c r="H135" s="107" t="str">
        <f ca="1">IFERROR(__xludf.DUMMYFUNCTION("""COMPUTED_VALUE"""),"HOM SEPTIEMBRE")</f>
        <v>HOM SEPTIEMBRE</v>
      </c>
      <c r="I135" s="107" t="str">
        <f ca="1">IFERROR(__xludf.DUMMYFUNCTION("""COMPUTED_VALUE"""),"Septiembre")</f>
        <v>Septiembre</v>
      </c>
      <c r="J135" s="107" t="str">
        <f ca="1">IFERROR(__xludf.DUMMYFUNCTION("""COMPUTED_VALUE"""),"HOM")</f>
        <v>HOM</v>
      </c>
      <c r="K135" s="40"/>
      <c r="L135" s="107" t="str">
        <f ca="1">IFERROR(__xludf.DUMMYFUNCTION("""COMPUTED_VALUE"""),"TRIMESTRE 3")</f>
        <v>TRIMESTRE 3</v>
      </c>
      <c r="M135" s="107" t="str">
        <f ca="1">IFERROR(__xludf.DUMMYFUNCTION("""COMPUTED_VALUE"""),"HOMBRES ADULTOS")</f>
        <v>HOMBRES ADULTOS</v>
      </c>
    </row>
    <row r="136" spans="1:13">
      <c r="A136" s="107" t="str">
        <f ca="1">IFERROR(__xludf.DUMMYFUNCTION("""COMPUTED_VALUE"""),"5.1.1.0")</f>
        <v>5.1.1.0</v>
      </c>
      <c r="B136" s="107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136" s="107" t="str">
        <f ca="1">IFERROR(__xludf.DUMMYFUNCTION("""COMPUTED_VALUE"""),"3. Operación")</f>
        <v>3. Operación</v>
      </c>
      <c r="D136" s="107" t="str">
        <f ca="1">IFERROR(__xludf.DUMMYFUNCTION("""COMPUTED_VALUE"""),"Guadalajara bien educada")</f>
        <v>Guadalajara bien educada</v>
      </c>
      <c r="E136" s="107" t="str">
        <f ca="1">IFERROR(__xludf.DUMMYFUNCTION("""COMPUTED_VALUE"""),"Atención en Centros de Desarrollo Infantil")</f>
        <v>Atención en Centros de Desarrollo Infantil</v>
      </c>
      <c r="F136" s="107" t="str">
        <f ca="1">IFERROR(__xludf.DUMMYFUNCTION("""COMPUTED_VALUE"""),"C1. Servicio de educación inicial y preescolar para niñas y niños en condición de vulnerabilidad económica brindados en CDI, CEDI y CAIC ")</f>
        <v xml:space="preserve">C1. Servicio de educación inicial y preescolar para niñas y niños en condición de vulnerabilidad económica brindados en CDI, CEDI y CAIC </v>
      </c>
      <c r="G136" s="107" t="str">
        <f ca="1">IFERROR(__xludf.DUMMYFUNCTION("""COMPUTED_VALUE"""),"Porcentaje de demanda cubierta sobre servicios de atención educativa y asistencial para niñas y niños en condición de vulnerabilidad económica en 2024")</f>
        <v>Porcentaje de demanda cubierta sobre servicios de atención educativa y asistencial para niñas y niños en condición de vulnerabilidad económica en 2024</v>
      </c>
      <c r="H136" s="107" t="str">
        <f ca="1">IFERROR(__xludf.DUMMYFUNCTION("""COMPUTED_VALUE"""),"AMM SEPTIEMBRE")</f>
        <v>AMM SEPTIEMBRE</v>
      </c>
      <c r="I136" s="107" t="str">
        <f ca="1">IFERROR(__xludf.DUMMYFUNCTION("""COMPUTED_VALUE"""),"Septiembre")</f>
        <v>Septiembre</v>
      </c>
      <c r="J136" s="107" t="str">
        <f ca="1">IFERROR(__xludf.DUMMYFUNCTION("""COMPUTED_VALUE"""),"AMM")</f>
        <v>AMM</v>
      </c>
      <c r="K136" s="40"/>
      <c r="L136" s="107" t="str">
        <f ca="1">IFERROR(__xludf.DUMMYFUNCTION("""COMPUTED_VALUE"""),"TRIMESTRE 3")</f>
        <v>TRIMESTRE 3</v>
      </c>
      <c r="M136" s="107" t="str">
        <f ca="1">IFERROR(__xludf.DUMMYFUNCTION("""COMPUTED_VALUE"""),"ADULTA MAYOR MUJER")</f>
        <v>ADULTA MAYOR MUJER</v>
      </c>
    </row>
    <row r="137" spans="1:13">
      <c r="A137" s="107" t="str">
        <f ca="1">IFERROR(__xludf.DUMMYFUNCTION("""COMPUTED_VALUE"""),"5.1.1.0")</f>
        <v>5.1.1.0</v>
      </c>
      <c r="B137" s="107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137" s="107" t="str">
        <f ca="1">IFERROR(__xludf.DUMMYFUNCTION("""COMPUTED_VALUE"""),"3. Operación")</f>
        <v>3. Operación</v>
      </c>
      <c r="D137" s="107" t="str">
        <f ca="1">IFERROR(__xludf.DUMMYFUNCTION("""COMPUTED_VALUE"""),"Guadalajara bien educada")</f>
        <v>Guadalajara bien educada</v>
      </c>
      <c r="E137" s="107" t="str">
        <f ca="1">IFERROR(__xludf.DUMMYFUNCTION("""COMPUTED_VALUE"""),"Atención en Centros de Desarrollo Infantil")</f>
        <v>Atención en Centros de Desarrollo Infantil</v>
      </c>
      <c r="F137" s="107" t="str">
        <f ca="1">IFERROR(__xludf.DUMMYFUNCTION("""COMPUTED_VALUE"""),"C1. Servicio de educación inicial y preescolar para niñas y niños en condición de vulnerabilidad económica brindados en CDI, CEDI y CAIC ")</f>
        <v xml:space="preserve">C1. Servicio de educación inicial y preescolar para niñas y niños en condición de vulnerabilidad económica brindados en CDI, CEDI y CAIC </v>
      </c>
      <c r="G137" s="107" t="str">
        <f ca="1">IFERROR(__xludf.DUMMYFUNCTION("""COMPUTED_VALUE"""),"Porcentaje de demanda cubierta sobre servicios de atención educativa y asistencial para niñas y niños en condición de vulnerabilidad económica en 2024")</f>
        <v>Porcentaje de demanda cubierta sobre servicios de atención educativa y asistencial para niñas y niños en condición de vulnerabilidad económica en 2024</v>
      </c>
      <c r="H137" s="107" t="str">
        <f ca="1">IFERROR(__xludf.DUMMYFUNCTION("""COMPUTED_VALUE"""),"AMH SEPTIEMBRE")</f>
        <v>AMH SEPTIEMBRE</v>
      </c>
      <c r="I137" s="107" t="str">
        <f ca="1">IFERROR(__xludf.DUMMYFUNCTION("""COMPUTED_VALUE"""),"Septiembre")</f>
        <v>Septiembre</v>
      </c>
      <c r="J137" s="107" t="str">
        <f ca="1">IFERROR(__xludf.DUMMYFUNCTION("""COMPUTED_VALUE"""),"AMH")</f>
        <v>AMH</v>
      </c>
      <c r="K137" s="40"/>
      <c r="L137" s="107" t="str">
        <f ca="1">IFERROR(__xludf.DUMMYFUNCTION("""COMPUTED_VALUE"""),"TRIMESTRE 3")</f>
        <v>TRIMESTRE 3</v>
      </c>
      <c r="M137" s="107" t="str">
        <f ca="1">IFERROR(__xludf.DUMMYFUNCTION("""COMPUTED_VALUE"""),"ADULTO MAYOR HOMBRE")</f>
        <v>ADULTO MAYOR HOMBRE</v>
      </c>
    </row>
    <row r="138" spans="1:13">
      <c r="A138" s="107" t="str">
        <f ca="1">IFERROR(__xludf.DUMMYFUNCTION("""COMPUTED_VALUE"""),"5.1.1.1")</f>
        <v>5.1.1.1</v>
      </c>
      <c r="B138" s="107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138" s="107" t="str">
        <f ca="1">IFERROR(__xludf.DUMMYFUNCTION("""COMPUTED_VALUE"""),"3. Operación")</f>
        <v>3. Operación</v>
      </c>
      <c r="D138" s="107" t="str">
        <f ca="1">IFERROR(__xludf.DUMMYFUNCTION("""COMPUTED_VALUE"""),"Guadalajara bien educada")</f>
        <v>Guadalajara bien educada</v>
      </c>
      <c r="E138" s="107" t="str">
        <f ca="1">IFERROR(__xludf.DUMMYFUNCTION("""COMPUTED_VALUE"""),"Atención en Centros de Desarrollo Infantil")</f>
        <v>Atención en Centros de Desarrollo Infantil</v>
      </c>
      <c r="F138" s="107" t="str">
        <f ca="1">IFERROR(__xludf.DUMMYFUNCTION("""COMPUTED_VALUE"""),"A1C1. Procesos de formación brindados en CDI, CEDI y CAIC de educación inicial y preescolar ")</f>
        <v xml:space="preserve">A1C1. Procesos de formación brindados en CDI, CEDI y CAIC de educación inicial y preescolar </v>
      </c>
      <c r="G138" s="107" t="str">
        <f ca="1">IFERROR(__xludf.DUMMYFUNCTION("""COMPUTED_VALUE"""),"Porcentaje de Niñas y Niños que reciben educación inicial y preescolar en CDI, CEDI y CAIC en 2024")</f>
        <v>Porcentaje de Niñas y Niños que reciben educación inicial y preescolar en CDI, CEDI y CAIC en 2024</v>
      </c>
      <c r="H138" s="107" t="str">
        <f ca="1">IFERROR(__xludf.DUMMYFUNCTION("""COMPUTED_VALUE"""),"NAS SEPTIEMBRE")</f>
        <v>NAS SEPTIEMBRE</v>
      </c>
      <c r="I138" s="107" t="str">
        <f ca="1">IFERROR(__xludf.DUMMYFUNCTION("""COMPUTED_VALUE"""),"Septiembre")</f>
        <v>Septiembre</v>
      </c>
      <c r="J138" s="107" t="str">
        <f ca="1">IFERROR(__xludf.DUMMYFUNCTION("""COMPUTED_VALUE"""),"NAS")</f>
        <v>NAS</v>
      </c>
      <c r="K138" s="40">
        <f ca="1">IFERROR(__xludf.DUMMYFUNCTION("""COMPUTED_VALUE"""),0)</f>
        <v>0</v>
      </c>
      <c r="L138" s="107" t="str">
        <f ca="1">IFERROR(__xludf.DUMMYFUNCTION("""COMPUTED_VALUE"""),"TRIMESTRE 3")</f>
        <v>TRIMESTRE 3</v>
      </c>
      <c r="M138" s="107" t="str">
        <f ca="1">IFERROR(__xludf.DUMMYFUNCTION("""COMPUTED_VALUE"""),"NIÑAS")</f>
        <v>NIÑAS</v>
      </c>
    </row>
    <row r="139" spans="1:13">
      <c r="A139" s="107" t="str">
        <f ca="1">IFERROR(__xludf.DUMMYFUNCTION("""COMPUTED_VALUE"""),"5.1.1.1")</f>
        <v>5.1.1.1</v>
      </c>
      <c r="B139" s="107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139" s="107" t="str">
        <f ca="1">IFERROR(__xludf.DUMMYFUNCTION("""COMPUTED_VALUE"""),"3. Operación")</f>
        <v>3. Operación</v>
      </c>
      <c r="D139" s="107" t="str">
        <f ca="1">IFERROR(__xludf.DUMMYFUNCTION("""COMPUTED_VALUE"""),"Guadalajara bien educada")</f>
        <v>Guadalajara bien educada</v>
      </c>
      <c r="E139" s="107" t="str">
        <f ca="1">IFERROR(__xludf.DUMMYFUNCTION("""COMPUTED_VALUE"""),"Atención en Centros de Desarrollo Infantil")</f>
        <v>Atención en Centros de Desarrollo Infantil</v>
      </c>
      <c r="F139" s="107" t="str">
        <f ca="1">IFERROR(__xludf.DUMMYFUNCTION("""COMPUTED_VALUE"""),"A1C1. Procesos de formación brindados en CDI, CEDI y CAIC de educación inicial y preescolar ")</f>
        <v xml:space="preserve">A1C1. Procesos de formación brindados en CDI, CEDI y CAIC de educación inicial y preescolar </v>
      </c>
      <c r="G139" s="107" t="str">
        <f ca="1">IFERROR(__xludf.DUMMYFUNCTION("""COMPUTED_VALUE"""),"Porcentaje de Niñas y Niños que reciben educación inicial y preescolar en CDI, CEDI y CAIC en 2024")</f>
        <v>Porcentaje de Niñas y Niños que reciben educación inicial y preescolar en CDI, CEDI y CAIC en 2024</v>
      </c>
      <c r="H139" s="107" t="str">
        <f ca="1">IFERROR(__xludf.DUMMYFUNCTION("""COMPUTED_VALUE"""),"NOS SEPTIEMBRE")</f>
        <v>NOS SEPTIEMBRE</v>
      </c>
      <c r="I139" s="107" t="str">
        <f ca="1">IFERROR(__xludf.DUMMYFUNCTION("""COMPUTED_VALUE"""),"Septiembre")</f>
        <v>Septiembre</v>
      </c>
      <c r="J139" s="107" t="str">
        <f ca="1">IFERROR(__xludf.DUMMYFUNCTION("""COMPUTED_VALUE"""),"NOS")</f>
        <v>NOS</v>
      </c>
      <c r="K139" s="40">
        <f ca="1">IFERROR(__xludf.DUMMYFUNCTION("""COMPUTED_VALUE"""),0)</f>
        <v>0</v>
      </c>
      <c r="L139" s="107" t="str">
        <f ca="1">IFERROR(__xludf.DUMMYFUNCTION("""COMPUTED_VALUE"""),"TRIMESTRE 3")</f>
        <v>TRIMESTRE 3</v>
      </c>
      <c r="M139" s="107" t="str">
        <f ca="1">IFERROR(__xludf.DUMMYFUNCTION("""COMPUTED_VALUE"""),"NIÑOS")</f>
        <v>NIÑOS</v>
      </c>
    </row>
    <row r="140" spans="1:13">
      <c r="A140" s="107" t="str">
        <f ca="1">IFERROR(__xludf.DUMMYFUNCTION("""COMPUTED_VALUE"""),"5.1.1.1")</f>
        <v>5.1.1.1</v>
      </c>
      <c r="B140" s="107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140" s="107" t="str">
        <f ca="1">IFERROR(__xludf.DUMMYFUNCTION("""COMPUTED_VALUE"""),"3. Operación")</f>
        <v>3. Operación</v>
      </c>
      <c r="D140" s="107" t="str">
        <f ca="1">IFERROR(__xludf.DUMMYFUNCTION("""COMPUTED_VALUE"""),"Guadalajara bien educada")</f>
        <v>Guadalajara bien educada</v>
      </c>
      <c r="E140" s="107" t="str">
        <f ca="1">IFERROR(__xludf.DUMMYFUNCTION("""COMPUTED_VALUE"""),"Atención en Centros de Desarrollo Infantil")</f>
        <v>Atención en Centros de Desarrollo Infantil</v>
      </c>
      <c r="F140" s="107" t="str">
        <f ca="1">IFERROR(__xludf.DUMMYFUNCTION("""COMPUTED_VALUE"""),"A1C1. Procesos de formación brindados en CDI, CEDI y CAIC de educación inicial y preescolar ")</f>
        <v xml:space="preserve">A1C1. Procesos de formación brindados en CDI, CEDI y CAIC de educación inicial y preescolar </v>
      </c>
      <c r="G140" s="107" t="str">
        <f ca="1">IFERROR(__xludf.DUMMYFUNCTION("""COMPUTED_VALUE"""),"Porcentaje de Niñas y Niños que reciben educación inicial y preescolar en CDI, CEDI y CAIC en 2024")</f>
        <v>Porcentaje de Niñas y Niños que reciben educación inicial y preescolar en CDI, CEDI y CAIC en 2024</v>
      </c>
      <c r="H140" s="107" t="str">
        <f ca="1">IFERROR(__xludf.DUMMYFUNCTION("""COMPUTED_VALUE"""),"AM SEPTIEMBRE")</f>
        <v>AM SEPTIEMBRE</v>
      </c>
      <c r="I140" s="107" t="str">
        <f ca="1">IFERROR(__xludf.DUMMYFUNCTION("""COMPUTED_VALUE"""),"Septiembre")</f>
        <v>Septiembre</v>
      </c>
      <c r="J140" s="107" t="str">
        <f ca="1">IFERROR(__xludf.DUMMYFUNCTION("""COMPUTED_VALUE"""),"AM")</f>
        <v>AM</v>
      </c>
      <c r="K140" s="40"/>
      <c r="L140" s="107" t="str">
        <f ca="1">IFERROR(__xludf.DUMMYFUNCTION("""COMPUTED_VALUE"""),"TRIMESTRE 3")</f>
        <v>TRIMESTRE 3</v>
      </c>
      <c r="M140" s="107" t="str">
        <f ca="1">IFERROR(__xludf.DUMMYFUNCTION("""COMPUTED_VALUE"""),"ADOLESCENTES MUJERES")</f>
        <v>ADOLESCENTES MUJERES</v>
      </c>
    </row>
    <row r="141" spans="1:13">
      <c r="A141" s="107" t="str">
        <f ca="1">IFERROR(__xludf.DUMMYFUNCTION("""COMPUTED_VALUE"""),"5.1.1.1")</f>
        <v>5.1.1.1</v>
      </c>
      <c r="B141" s="107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141" s="107" t="str">
        <f ca="1">IFERROR(__xludf.DUMMYFUNCTION("""COMPUTED_VALUE"""),"3. Operación")</f>
        <v>3. Operación</v>
      </c>
      <c r="D141" s="107" t="str">
        <f ca="1">IFERROR(__xludf.DUMMYFUNCTION("""COMPUTED_VALUE"""),"Guadalajara bien educada")</f>
        <v>Guadalajara bien educada</v>
      </c>
      <c r="E141" s="107" t="str">
        <f ca="1">IFERROR(__xludf.DUMMYFUNCTION("""COMPUTED_VALUE"""),"Atención en Centros de Desarrollo Infantil")</f>
        <v>Atención en Centros de Desarrollo Infantil</v>
      </c>
      <c r="F141" s="107" t="str">
        <f ca="1">IFERROR(__xludf.DUMMYFUNCTION("""COMPUTED_VALUE"""),"A1C1. Procesos de formación brindados en CDI, CEDI y CAIC de educación inicial y preescolar ")</f>
        <v xml:space="preserve">A1C1. Procesos de formación brindados en CDI, CEDI y CAIC de educación inicial y preescolar </v>
      </c>
      <c r="G141" s="107" t="str">
        <f ca="1">IFERROR(__xludf.DUMMYFUNCTION("""COMPUTED_VALUE"""),"Porcentaje de Niñas y Niños que reciben educación inicial y preescolar en CDI, CEDI y CAIC en 2024")</f>
        <v>Porcentaje de Niñas y Niños que reciben educación inicial y preescolar en CDI, CEDI y CAIC en 2024</v>
      </c>
      <c r="H141" s="107" t="str">
        <f ca="1">IFERROR(__xludf.DUMMYFUNCTION("""COMPUTED_VALUE"""),"AH SEPTIEMBRE")</f>
        <v>AH SEPTIEMBRE</v>
      </c>
      <c r="I141" s="107" t="str">
        <f ca="1">IFERROR(__xludf.DUMMYFUNCTION("""COMPUTED_VALUE"""),"Septiembre")</f>
        <v>Septiembre</v>
      </c>
      <c r="J141" s="107" t="str">
        <f ca="1">IFERROR(__xludf.DUMMYFUNCTION("""COMPUTED_VALUE"""),"AH")</f>
        <v>AH</v>
      </c>
      <c r="K141" s="40"/>
      <c r="L141" s="107" t="str">
        <f ca="1">IFERROR(__xludf.DUMMYFUNCTION("""COMPUTED_VALUE"""),"TRIMESTRE 3")</f>
        <v>TRIMESTRE 3</v>
      </c>
      <c r="M141" s="107" t="str">
        <f ca="1">IFERROR(__xludf.DUMMYFUNCTION("""COMPUTED_VALUE"""),"ADOLESCENTES HOMBRES")</f>
        <v>ADOLESCENTES HOMBRES</v>
      </c>
    </row>
    <row r="142" spans="1:13">
      <c r="A142" s="107" t="str">
        <f ca="1">IFERROR(__xludf.DUMMYFUNCTION("""COMPUTED_VALUE"""),"5.1.1.1")</f>
        <v>5.1.1.1</v>
      </c>
      <c r="B142" s="107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142" s="107" t="str">
        <f ca="1">IFERROR(__xludf.DUMMYFUNCTION("""COMPUTED_VALUE"""),"3. Operación")</f>
        <v>3. Operación</v>
      </c>
      <c r="D142" s="107" t="str">
        <f ca="1">IFERROR(__xludf.DUMMYFUNCTION("""COMPUTED_VALUE"""),"Guadalajara bien educada")</f>
        <v>Guadalajara bien educada</v>
      </c>
      <c r="E142" s="107" t="str">
        <f ca="1">IFERROR(__xludf.DUMMYFUNCTION("""COMPUTED_VALUE"""),"Atención en Centros de Desarrollo Infantil")</f>
        <v>Atención en Centros de Desarrollo Infantil</v>
      </c>
      <c r="F142" s="107" t="str">
        <f ca="1">IFERROR(__xludf.DUMMYFUNCTION("""COMPUTED_VALUE"""),"A1C1. Procesos de formación brindados en CDI, CEDI y CAIC de educación inicial y preescolar ")</f>
        <v xml:space="preserve">A1C1. Procesos de formación brindados en CDI, CEDI y CAIC de educación inicial y preescolar </v>
      </c>
      <c r="G142" s="107" t="str">
        <f ca="1">IFERROR(__xludf.DUMMYFUNCTION("""COMPUTED_VALUE"""),"Porcentaje de Niñas y Niños que reciben educación inicial y preescolar en CDI, CEDI y CAIC en 2024")</f>
        <v>Porcentaje de Niñas y Niños que reciben educación inicial y preescolar en CDI, CEDI y CAIC en 2024</v>
      </c>
      <c r="H142" s="107" t="str">
        <f ca="1">IFERROR(__xludf.DUMMYFUNCTION("""COMPUTED_VALUE"""),"MUJ SEPTIEMBRE")</f>
        <v>MUJ SEPTIEMBRE</v>
      </c>
      <c r="I142" s="107" t="str">
        <f ca="1">IFERROR(__xludf.DUMMYFUNCTION("""COMPUTED_VALUE"""),"Septiembre")</f>
        <v>Septiembre</v>
      </c>
      <c r="J142" s="107" t="str">
        <f ca="1">IFERROR(__xludf.DUMMYFUNCTION("""COMPUTED_VALUE"""),"MUJ")</f>
        <v>MUJ</v>
      </c>
      <c r="K142" s="40"/>
      <c r="L142" s="107" t="str">
        <f ca="1">IFERROR(__xludf.DUMMYFUNCTION("""COMPUTED_VALUE"""),"TRIMESTRE 3")</f>
        <v>TRIMESTRE 3</v>
      </c>
      <c r="M142" s="107" t="str">
        <f ca="1">IFERROR(__xludf.DUMMYFUNCTION("""COMPUTED_VALUE"""),"MUJERES ADULTAS")</f>
        <v>MUJERES ADULTAS</v>
      </c>
    </row>
    <row r="143" spans="1:13">
      <c r="A143" s="107" t="str">
        <f ca="1">IFERROR(__xludf.DUMMYFUNCTION("""COMPUTED_VALUE"""),"5.1.1.1")</f>
        <v>5.1.1.1</v>
      </c>
      <c r="B143" s="107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143" s="107" t="str">
        <f ca="1">IFERROR(__xludf.DUMMYFUNCTION("""COMPUTED_VALUE"""),"3. Operación")</f>
        <v>3. Operación</v>
      </c>
      <c r="D143" s="107" t="str">
        <f ca="1">IFERROR(__xludf.DUMMYFUNCTION("""COMPUTED_VALUE"""),"Guadalajara bien educada")</f>
        <v>Guadalajara bien educada</v>
      </c>
      <c r="E143" s="107" t="str">
        <f ca="1">IFERROR(__xludf.DUMMYFUNCTION("""COMPUTED_VALUE"""),"Atención en Centros de Desarrollo Infantil")</f>
        <v>Atención en Centros de Desarrollo Infantil</v>
      </c>
      <c r="F143" s="107" t="str">
        <f ca="1">IFERROR(__xludf.DUMMYFUNCTION("""COMPUTED_VALUE"""),"A1C1. Procesos de formación brindados en CDI, CEDI y CAIC de educación inicial y preescolar ")</f>
        <v xml:space="preserve">A1C1. Procesos de formación brindados en CDI, CEDI y CAIC de educación inicial y preescolar </v>
      </c>
      <c r="G143" s="107" t="str">
        <f ca="1">IFERROR(__xludf.DUMMYFUNCTION("""COMPUTED_VALUE"""),"Porcentaje de Niñas y Niños que reciben educación inicial y preescolar en CDI, CEDI y CAIC en 2024")</f>
        <v>Porcentaje de Niñas y Niños que reciben educación inicial y preescolar en CDI, CEDI y CAIC en 2024</v>
      </c>
      <c r="H143" s="107" t="str">
        <f ca="1">IFERROR(__xludf.DUMMYFUNCTION("""COMPUTED_VALUE"""),"HOM SEPTIEMBRE")</f>
        <v>HOM SEPTIEMBRE</v>
      </c>
      <c r="I143" s="107" t="str">
        <f ca="1">IFERROR(__xludf.DUMMYFUNCTION("""COMPUTED_VALUE"""),"Septiembre")</f>
        <v>Septiembre</v>
      </c>
      <c r="J143" s="107" t="str">
        <f ca="1">IFERROR(__xludf.DUMMYFUNCTION("""COMPUTED_VALUE"""),"HOM")</f>
        <v>HOM</v>
      </c>
      <c r="K143" s="40"/>
      <c r="L143" s="107" t="str">
        <f ca="1">IFERROR(__xludf.DUMMYFUNCTION("""COMPUTED_VALUE"""),"TRIMESTRE 3")</f>
        <v>TRIMESTRE 3</v>
      </c>
      <c r="M143" s="107" t="str">
        <f ca="1">IFERROR(__xludf.DUMMYFUNCTION("""COMPUTED_VALUE"""),"HOMBRES ADULTOS")</f>
        <v>HOMBRES ADULTOS</v>
      </c>
    </row>
    <row r="144" spans="1:13">
      <c r="A144" s="107" t="str">
        <f ca="1">IFERROR(__xludf.DUMMYFUNCTION("""COMPUTED_VALUE"""),"5.1.1.1")</f>
        <v>5.1.1.1</v>
      </c>
      <c r="B144" s="107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144" s="107" t="str">
        <f ca="1">IFERROR(__xludf.DUMMYFUNCTION("""COMPUTED_VALUE"""),"3. Operación")</f>
        <v>3. Operación</v>
      </c>
      <c r="D144" s="107" t="str">
        <f ca="1">IFERROR(__xludf.DUMMYFUNCTION("""COMPUTED_VALUE"""),"Guadalajara bien educada")</f>
        <v>Guadalajara bien educada</v>
      </c>
      <c r="E144" s="107" t="str">
        <f ca="1">IFERROR(__xludf.DUMMYFUNCTION("""COMPUTED_VALUE"""),"Atención en Centros de Desarrollo Infantil")</f>
        <v>Atención en Centros de Desarrollo Infantil</v>
      </c>
      <c r="F144" s="107" t="str">
        <f ca="1">IFERROR(__xludf.DUMMYFUNCTION("""COMPUTED_VALUE"""),"A1C1. Procesos de formación brindados en CDI, CEDI y CAIC de educación inicial y preescolar ")</f>
        <v xml:space="preserve">A1C1. Procesos de formación brindados en CDI, CEDI y CAIC de educación inicial y preescolar </v>
      </c>
      <c r="G144" s="107" t="str">
        <f ca="1">IFERROR(__xludf.DUMMYFUNCTION("""COMPUTED_VALUE"""),"Porcentaje de Niñas y Niños que reciben educación inicial y preescolar en CDI, CEDI y CAIC en 2024")</f>
        <v>Porcentaje de Niñas y Niños que reciben educación inicial y preescolar en CDI, CEDI y CAIC en 2024</v>
      </c>
      <c r="H144" s="107" t="str">
        <f ca="1">IFERROR(__xludf.DUMMYFUNCTION("""COMPUTED_VALUE"""),"AMM SEPTIEMBRE")</f>
        <v>AMM SEPTIEMBRE</v>
      </c>
      <c r="I144" s="107" t="str">
        <f ca="1">IFERROR(__xludf.DUMMYFUNCTION("""COMPUTED_VALUE"""),"Septiembre")</f>
        <v>Septiembre</v>
      </c>
      <c r="J144" s="107" t="str">
        <f ca="1">IFERROR(__xludf.DUMMYFUNCTION("""COMPUTED_VALUE"""),"AMM")</f>
        <v>AMM</v>
      </c>
      <c r="K144" s="40"/>
      <c r="L144" s="107" t="str">
        <f ca="1">IFERROR(__xludf.DUMMYFUNCTION("""COMPUTED_VALUE"""),"TRIMESTRE 3")</f>
        <v>TRIMESTRE 3</v>
      </c>
      <c r="M144" s="107" t="str">
        <f ca="1">IFERROR(__xludf.DUMMYFUNCTION("""COMPUTED_VALUE"""),"ADULTA MAYOR MUJER")</f>
        <v>ADULTA MAYOR MUJER</v>
      </c>
    </row>
    <row r="145" spans="1:13">
      <c r="A145" s="107" t="str">
        <f ca="1">IFERROR(__xludf.DUMMYFUNCTION("""COMPUTED_VALUE"""),"5.1.1.1")</f>
        <v>5.1.1.1</v>
      </c>
      <c r="B145" s="107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145" s="107" t="str">
        <f ca="1">IFERROR(__xludf.DUMMYFUNCTION("""COMPUTED_VALUE"""),"3. Operación")</f>
        <v>3. Operación</v>
      </c>
      <c r="D145" s="107" t="str">
        <f ca="1">IFERROR(__xludf.DUMMYFUNCTION("""COMPUTED_VALUE"""),"Guadalajara bien educada")</f>
        <v>Guadalajara bien educada</v>
      </c>
      <c r="E145" s="107" t="str">
        <f ca="1">IFERROR(__xludf.DUMMYFUNCTION("""COMPUTED_VALUE"""),"Atención en Centros de Desarrollo Infantil")</f>
        <v>Atención en Centros de Desarrollo Infantil</v>
      </c>
      <c r="F145" s="107" t="str">
        <f ca="1">IFERROR(__xludf.DUMMYFUNCTION("""COMPUTED_VALUE"""),"A1C1. Procesos de formación brindados en CDI, CEDI y CAIC de educación inicial y preescolar ")</f>
        <v xml:space="preserve">A1C1. Procesos de formación brindados en CDI, CEDI y CAIC de educación inicial y preescolar </v>
      </c>
      <c r="G145" s="107" t="str">
        <f ca="1">IFERROR(__xludf.DUMMYFUNCTION("""COMPUTED_VALUE"""),"Porcentaje de Niñas y Niños que reciben educación inicial y preescolar en CDI, CEDI y CAIC en 2024")</f>
        <v>Porcentaje de Niñas y Niños que reciben educación inicial y preescolar en CDI, CEDI y CAIC en 2024</v>
      </c>
      <c r="H145" s="107" t="str">
        <f ca="1">IFERROR(__xludf.DUMMYFUNCTION("""COMPUTED_VALUE"""),"AMH SEPTIEMBRE")</f>
        <v>AMH SEPTIEMBRE</v>
      </c>
      <c r="I145" s="107" t="str">
        <f ca="1">IFERROR(__xludf.DUMMYFUNCTION("""COMPUTED_VALUE"""),"Septiembre")</f>
        <v>Septiembre</v>
      </c>
      <c r="J145" s="107" t="str">
        <f ca="1">IFERROR(__xludf.DUMMYFUNCTION("""COMPUTED_VALUE"""),"AMH")</f>
        <v>AMH</v>
      </c>
      <c r="K145" s="40"/>
      <c r="L145" s="107" t="str">
        <f ca="1">IFERROR(__xludf.DUMMYFUNCTION("""COMPUTED_VALUE"""),"TRIMESTRE 3")</f>
        <v>TRIMESTRE 3</v>
      </c>
      <c r="M145" s="107" t="str">
        <f ca="1">IFERROR(__xludf.DUMMYFUNCTION("""COMPUTED_VALUE"""),"ADULTO MAYOR HOMBRE")</f>
        <v>ADULTO MAYOR HOMBRE</v>
      </c>
    </row>
    <row r="146" spans="1:13">
      <c r="A146" s="107" t="str">
        <f ca="1">IFERROR(__xludf.DUMMYFUNCTION("""COMPUTED_VALUE"""),"5.1.1.0")</f>
        <v>5.1.1.0</v>
      </c>
      <c r="B146" s="107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146" s="107" t="str">
        <f ca="1">IFERROR(__xludf.DUMMYFUNCTION("""COMPUTED_VALUE"""),"3. Operación")</f>
        <v>3. Operación</v>
      </c>
      <c r="D146" s="107" t="str">
        <f ca="1">IFERROR(__xludf.DUMMYFUNCTION("""COMPUTED_VALUE"""),"Guadalajara bien educada")</f>
        <v>Guadalajara bien educada</v>
      </c>
      <c r="E146" s="107" t="str">
        <f ca="1">IFERROR(__xludf.DUMMYFUNCTION("""COMPUTED_VALUE"""),"Atención en Centros de Desarrollo Infantil")</f>
        <v>Atención en Centros de Desarrollo Infantil</v>
      </c>
      <c r="F146" s="107" t="str">
        <f ca="1">IFERROR(__xludf.DUMMYFUNCTION("""COMPUTED_VALUE"""),"C1. Servicio de educación inicial y preescolar para niñas y niños en condición de vulnerabilidad económica brindados en CDI, CEDI y CAIC ")</f>
        <v xml:space="preserve">C1. Servicio de educación inicial y preescolar para niñas y niños en condición de vulnerabilidad económica brindados en CDI, CEDI y CAIC </v>
      </c>
      <c r="G146" s="107" t="str">
        <f ca="1">IFERROR(__xludf.DUMMYFUNCTION("""COMPUTED_VALUE"""),"Porcentaje de demanda cubierta sobre servicios de atención educativa y asistencial para niñas y niños en condición de vulnerabilidad económica en 2024")</f>
        <v>Porcentaje de demanda cubierta sobre servicios de atención educativa y asistencial para niñas y niños en condición de vulnerabilidad económica en 2024</v>
      </c>
      <c r="H146" s="107" t="str">
        <f ca="1">IFERROR(__xludf.DUMMYFUNCTION("""COMPUTED_VALUE"""),"NAS OCTUBRE")</f>
        <v>NAS OCTUBRE</v>
      </c>
      <c r="I146" s="107" t="str">
        <f ca="1">IFERROR(__xludf.DUMMYFUNCTION("""COMPUTED_VALUE"""),"Octubre")</f>
        <v>Octubre</v>
      </c>
      <c r="J146" s="107" t="str">
        <f ca="1">IFERROR(__xludf.DUMMYFUNCTION("""COMPUTED_VALUE"""),"NAS")</f>
        <v>NAS</v>
      </c>
      <c r="K146" s="40">
        <f ca="1">IFERROR(__xludf.DUMMYFUNCTION("""COMPUTED_VALUE"""),0)</f>
        <v>0</v>
      </c>
      <c r="L146" s="107" t="str">
        <f ca="1">IFERROR(__xludf.DUMMYFUNCTION("""COMPUTED_VALUE"""),"TRIMESTRE 4")</f>
        <v>TRIMESTRE 4</v>
      </c>
      <c r="M146" s="107" t="str">
        <f ca="1">IFERROR(__xludf.DUMMYFUNCTION("""COMPUTED_VALUE"""),"NIÑAS")</f>
        <v>NIÑAS</v>
      </c>
    </row>
    <row r="147" spans="1:13">
      <c r="A147" s="107" t="str">
        <f ca="1">IFERROR(__xludf.DUMMYFUNCTION("""COMPUTED_VALUE"""),"5.1.1.0")</f>
        <v>5.1.1.0</v>
      </c>
      <c r="B147" s="107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147" s="107" t="str">
        <f ca="1">IFERROR(__xludf.DUMMYFUNCTION("""COMPUTED_VALUE"""),"3. Operación")</f>
        <v>3. Operación</v>
      </c>
      <c r="D147" s="107" t="str">
        <f ca="1">IFERROR(__xludf.DUMMYFUNCTION("""COMPUTED_VALUE"""),"Guadalajara bien educada")</f>
        <v>Guadalajara bien educada</v>
      </c>
      <c r="E147" s="107" t="str">
        <f ca="1">IFERROR(__xludf.DUMMYFUNCTION("""COMPUTED_VALUE"""),"Atención en Centros de Desarrollo Infantil")</f>
        <v>Atención en Centros de Desarrollo Infantil</v>
      </c>
      <c r="F147" s="107" t="str">
        <f ca="1">IFERROR(__xludf.DUMMYFUNCTION("""COMPUTED_VALUE"""),"C1. Servicio de educación inicial y preescolar para niñas y niños en condición de vulnerabilidad económica brindados en CDI, CEDI y CAIC ")</f>
        <v xml:space="preserve">C1. Servicio de educación inicial y preescolar para niñas y niños en condición de vulnerabilidad económica brindados en CDI, CEDI y CAIC </v>
      </c>
      <c r="G147" s="107" t="str">
        <f ca="1">IFERROR(__xludf.DUMMYFUNCTION("""COMPUTED_VALUE"""),"Porcentaje de demanda cubierta sobre servicios de atención educativa y asistencial para niñas y niños en condición de vulnerabilidad económica en 2024")</f>
        <v>Porcentaje de demanda cubierta sobre servicios de atención educativa y asistencial para niñas y niños en condición de vulnerabilidad económica en 2024</v>
      </c>
      <c r="H147" s="107" t="str">
        <f ca="1">IFERROR(__xludf.DUMMYFUNCTION("""COMPUTED_VALUE"""),"NOS OCTUBRE")</f>
        <v>NOS OCTUBRE</v>
      </c>
      <c r="I147" s="107" t="str">
        <f ca="1">IFERROR(__xludf.DUMMYFUNCTION("""COMPUTED_VALUE"""),"Octubre")</f>
        <v>Octubre</v>
      </c>
      <c r="J147" s="107" t="str">
        <f ca="1">IFERROR(__xludf.DUMMYFUNCTION("""COMPUTED_VALUE"""),"NOS")</f>
        <v>NOS</v>
      </c>
      <c r="K147" s="40">
        <f ca="1">IFERROR(__xludf.DUMMYFUNCTION("""COMPUTED_VALUE"""),0)</f>
        <v>0</v>
      </c>
      <c r="L147" s="107" t="str">
        <f ca="1">IFERROR(__xludf.DUMMYFUNCTION("""COMPUTED_VALUE"""),"TRIMESTRE 4")</f>
        <v>TRIMESTRE 4</v>
      </c>
      <c r="M147" s="107" t="str">
        <f ca="1">IFERROR(__xludf.DUMMYFUNCTION("""COMPUTED_VALUE"""),"NIÑOS")</f>
        <v>NIÑOS</v>
      </c>
    </row>
    <row r="148" spans="1:13">
      <c r="A148" s="107" t="str">
        <f ca="1">IFERROR(__xludf.DUMMYFUNCTION("""COMPUTED_VALUE"""),"5.1.1.0")</f>
        <v>5.1.1.0</v>
      </c>
      <c r="B148" s="107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148" s="107" t="str">
        <f ca="1">IFERROR(__xludf.DUMMYFUNCTION("""COMPUTED_VALUE"""),"3. Operación")</f>
        <v>3. Operación</v>
      </c>
      <c r="D148" s="107" t="str">
        <f ca="1">IFERROR(__xludf.DUMMYFUNCTION("""COMPUTED_VALUE"""),"Guadalajara bien educada")</f>
        <v>Guadalajara bien educada</v>
      </c>
      <c r="E148" s="107" t="str">
        <f ca="1">IFERROR(__xludf.DUMMYFUNCTION("""COMPUTED_VALUE"""),"Atención en Centros de Desarrollo Infantil")</f>
        <v>Atención en Centros de Desarrollo Infantil</v>
      </c>
      <c r="F148" s="107" t="str">
        <f ca="1">IFERROR(__xludf.DUMMYFUNCTION("""COMPUTED_VALUE"""),"C1. Servicio de educación inicial y preescolar para niñas y niños en condición de vulnerabilidad económica brindados en CDI, CEDI y CAIC ")</f>
        <v xml:space="preserve">C1. Servicio de educación inicial y preescolar para niñas y niños en condición de vulnerabilidad económica brindados en CDI, CEDI y CAIC </v>
      </c>
      <c r="G148" s="107" t="str">
        <f ca="1">IFERROR(__xludf.DUMMYFUNCTION("""COMPUTED_VALUE"""),"Porcentaje de demanda cubierta sobre servicios de atención educativa y asistencial para niñas y niños en condición de vulnerabilidad económica en 2024")</f>
        <v>Porcentaje de demanda cubierta sobre servicios de atención educativa y asistencial para niñas y niños en condición de vulnerabilidad económica en 2024</v>
      </c>
      <c r="H148" s="107" t="str">
        <f ca="1">IFERROR(__xludf.DUMMYFUNCTION("""COMPUTED_VALUE"""),"AM OCTUBRE")</f>
        <v>AM OCTUBRE</v>
      </c>
      <c r="I148" s="107" t="str">
        <f ca="1">IFERROR(__xludf.DUMMYFUNCTION("""COMPUTED_VALUE"""),"Octubre")</f>
        <v>Octubre</v>
      </c>
      <c r="J148" s="107" t="str">
        <f ca="1">IFERROR(__xludf.DUMMYFUNCTION("""COMPUTED_VALUE"""),"AM")</f>
        <v>AM</v>
      </c>
      <c r="K148" s="40"/>
      <c r="L148" s="107" t="str">
        <f ca="1">IFERROR(__xludf.DUMMYFUNCTION("""COMPUTED_VALUE"""),"TRIMESTRE 4")</f>
        <v>TRIMESTRE 4</v>
      </c>
      <c r="M148" s="107" t="str">
        <f ca="1">IFERROR(__xludf.DUMMYFUNCTION("""COMPUTED_VALUE"""),"ADOLESCENTES MUJERES")</f>
        <v>ADOLESCENTES MUJERES</v>
      </c>
    </row>
    <row r="149" spans="1:13">
      <c r="A149" s="107" t="str">
        <f ca="1">IFERROR(__xludf.DUMMYFUNCTION("""COMPUTED_VALUE"""),"5.1.1.0")</f>
        <v>5.1.1.0</v>
      </c>
      <c r="B149" s="107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149" s="107" t="str">
        <f ca="1">IFERROR(__xludf.DUMMYFUNCTION("""COMPUTED_VALUE"""),"3. Operación")</f>
        <v>3. Operación</v>
      </c>
      <c r="D149" s="107" t="str">
        <f ca="1">IFERROR(__xludf.DUMMYFUNCTION("""COMPUTED_VALUE"""),"Guadalajara bien educada")</f>
        <v>Guadalajara bien educada</v>
      </c>
      <c r="E149" s="107" t="str">
        <f ca="1">IFERROR(__xludf.DUMMYFUNCTION("""COMPUTED_VALUE"""),"Atención en Centros de Desarrollo Infantil")</f>
        <v>Atención en Centros de Desarrollo Infantil</v>
      </c>
      <c r="F149" s="107" t="str">
        <f ca="1">IFERROR(__xludf.DUMMYFUNCTION("""COMPUTED_VALUE"""),"C1. Servicio de educación inicial y preescolar para niñas y niños en condición de vulnerabilidad económica brindados en CDI, CEDI y CAIC ")</f>
        <v xml:space="preserve">C1. Servicio de educación inicial y preescolar para niñas y niños en condición de vulnerabilidad económica brindados en CDI, CEDI y CAIC </v>
      </c>
      <c r="G149" s="107" t="str">
        <f ca="1">IFERROR(__xludf.DUMMYFUNCTION("""COMPUTED_VALUE"""),"Porcentaje de demanda cubierta sobre servicios de atención educativa y asistencial para niñas y niños en condición de vulnerabilidad económica en 2024")</f>
        <v>Porcentaje de demanda cubierta sobre servicios de atención educativa y asistencial para niñas y niños en condición de vulnerabilidad económica en 2024</v>
      </c>
      <c r="H149" s="107" t="str">
        <f ca="1">IFERROR(__xludf.DUMMYFUNCTION("""COMPUTED_VALUE"""),"AH OCTUBRE")</f>
        <v>AH OCTUBRE</v>
      </c>
      <c r="I149" s="107" t="str">
        <f ca="1">IFERROR(__xludf.DUMMYFUNCTION("""COMPUTED_VALUE"""),"Octubre")</f>
        <v>Octubre</v>
      </c>
      <c r="J149" s="107" t="str">
        <f ca="1">IFERROR(__xludf.DUMMYFUNCTION("""COMPUTED_VALUE"""),"AH")</f>
        <v>AH</v>
      </c>
      <c r="K149" s="40"/>
      <c r="L149" s="107" t="str">
        <f ca="1">IFERROR(__xludf.DUMMYFUNCTION("""COMPUTED_VALUE"""),"TRIMESTRE 4")</f>
        <v>TRIMESTRE 4</v>
      </c>
      <c r="M149" s="107" t="str">
        <f ca="1">IFERROR(__xludf.DUMMYFUNCTION("""COMPUTED_VALUE"""),"ADOLESCENTES HOMBRES")</f>
        <v>ADOLESCENTES HOMBRES</v>
      </c>
    </row>
    <row r="150" spans="1:13">
      <c r="A150" s="107" t="str">
        <f ca="1">IFERROR(__xludf.DUMMYFUNCTION("""COMPUTED_VALUE"""),"5.1.1.0")</f>
        <v>5.1.1.0</v>
      </c>
      <c r="B150" s="107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150" s="107" t="str">
        <f ca="1">IFERROR(__xludf.DUMMYFUNCTION("""COMPUTED_VALUE"""),"3. Operación")</f>
        <v>3. Operación</v>
      </c>
      <c r="D150" s="107" t="str">
        <f ca="1">IFERROR(__xludf.DUMMYFUNCTION("""COMPUTED_VALUE"""),"Guadalajara bien educada")</f>
        <v>Guadalajara bien educada</v>
      </c>
      <c r="E150" s="107" t="str">
        <f ca="1">IFERROR(__xludf.DUMMYFUNCTION("""COMPUTED_VALUE"""),"Atención en Centros de Desarrollo Infantil")</f>
        <v>Atención en Centros de Desarrollo Infantil</v>
      </c>
      <c r="F150" s="107" t="str">
        <f ca="1">IFERROR(__xludf.DUMMYFUNCTION("""COMPUTED_VALUE"""),"C1. Servicio de educación inicial y preescolar para niñas y niños en condición de vulnerabilidad económica brindados en CDI, CEDI y CAIC ")</f>
        <v xml:space="preserve">C1. Servicio de educación inicial y preescolar para niñas y niños en condición de vulnerabilidad económica brindados en CDI, CEDI y CAIC </v>
      </c>
      <c r="G150" s="107" t="str">
        <f ca="1">IFERROR(__xludf.DUMMYFUNCTION("""COMPUTED_VALUE"""),"Porcentaje de demanda cubierta sobre servicios de atención educativa y asistencial para niñas y niños en condición de vulnerabilidad económica en 2024")</f>
        <v>Porcentaje de demanda cubierta sobre servicios de atención educativa y asistencial para niñas y niños en condición de vulnerabilidad económica en 2024</v>
      </c>
      <c r="H150" s="107" t="str">
        <f ca="1">IFERROR(__xludf.DUMMYFUNCTION("""COMPUTED_VALUE"""),"MUJ OCTUBRE")</f>
        <v>MUJ OCTUBRE</v>
      </c>
      <c r="I150" s="107" t="str">
        <f ca="1">IFERROR(__xludf.DUMMYFUNCTION("""COMPUTED_VALUE"""),"Octubre")</f>
        <v>Octubre</v>
      </c>
      <c r="J150" s="107" t="str">
        <f ca="1">IFERROR(__xludf.DUMMYFUNCTION("""COMPUTED_VALUE"""),"MUJ")</f>
        <v>MUJ</v>
      </c>
      <c r="K150" s="40"/>
      <c r="L150" s="107" t="str">
        <f ca="1">IFERROR(__xludf.DUMMYFUNCTION("""COMPUTED_VALUE"""),"TRIMESTRE 4")</f>
        <v>TRIMESTRE 4</v>
      </c>
      <c r="M150" s="107" t="str">
        <f ca="1">IFERROR(__xludf.DUMMYFUNCTION("""COMPUTED_VALUE"""),"MUJERES ADULTAS")</f>
        <v>MUJERES ADULTAS</v>
      </c>
    </row>
    <row r="151" spans="1:13">
      <c r="A151" s="107" t="str">
        <f ca="1">IFERROR(__xludf.DUMMYFUNCTION("""COMPUTED_VALUE"""),"5.1.1.0")</f>
        <v>5.1.1.0</v>
      </c>
      <c r="B151" s="107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151" s="107" t="str">
        <f ca="1">IFERROR(__xludf.DUMMYFUNCTION("""COMPUTED_VALUE"""),"3. Operación")</f>
        <v>3. Operación</v>
      </c>
      <c r="D151" s="107" t="str">
        <f ca="1">IFERROR(__xludf.DUMMYFUNCTION("""COMPUTED_VALUE"""),"Guadalajara bien educada")</f>
        <v>Guadalajara bien educada</v>
      </c>
      <c r="E151" s="107" t="str">
        <f ca="1">IFERROR(__xludf.DUMMYFUNCTION("""COMPUTED_VALUE"""),"Atención en Centros de Desarrollo Infantil")</f>
        <v>Atención en Centros de Desarrollo Infantil</v>
      </c>
      <c r="F151" s="107" t="str">
        <f ca="1">IFERROR(__xludf.DUMMYFUNCTION("""COMPUTED_VALUE"""),"C1. Servicio de educación inicial y preescolar para niñas y niños en condición de vulnerabilidad económica brindados en CDI, CEDI y CAIC ")</f>
        <v xml:space="preserve">C1. Servicio de educación inicial y preescolar para niñas y niños en condición de vulnerabilidad económica brindados en CDI, CEDI y CAIC </v>
      </c>
      <c r="G151" s="107" t="str">
        <f ca="1">IFERROR(__xludf.DUMMYFUNCTION("""COMPUTED_VALUE"""),"Porcentaje de demanda cubierta sobre servicios de atención educativa y asistencial para niñas y niños en condición de vulnerabilidad económica en 2024")</f>
        <v>Porcentaje de demanda cubierta sobre servicios de atención educativa y asistencial para niñas y niños en condición de vulnerabilidad económica en 2024</v>
      </c>
      <c r="H151" s="107" t="str">
        <f ca="1">IFERROR(__xludf.DUMMYFUNCTION("""COMPUTED_VALUE"""),"HOM OCTUBRE")</f>
        <v>HOM OCTUBRE</v>
      </c>
      <c r="I151" s="107" t="str">
        <f ca="1">IFERROR(__xludf.DUMMYFUNCTION("""COMPUTED_VALUE"""),"Octubre")</f>
        <v>Octubre</v>
      </c>
      <c r="J151" s="107" t="str">
        <f ca="1">IFERROR(__xludf.DUMMYFUNCTION("""COMPUTED_VALUE"""),"HOM")</f>
        <v>HOM</v>
      </c>
      <c r="K151" s="40"/>
      <c r="L151" s="107" t="str">
        <f ca="1">IFERROR(__xludf.DUMMYFUNCTION("""COMPUTED_VALUE"""),"TRIMESTRE 4")</f>
        <v>TRIMESTRE 4</v>
      </c>
      <c r="M151" s="107" t="str">
        <f ca="1">IFERROR(__xludf.DUMMYFUNCTION("""COMPUTED_VALUE"""),"HOMBRES ADULTOS")</f>
        <v>HOMBRES ADULTOS</v>
      </c>
    </row>
    <row r="152" spans="1:13">
      <c r="A152" s="107" t="str">
        <f ca="1">IFERROR(__xludf.DUMMYFUNCTION("""COMPUTED_VALUE"""),"5.1.1.0")</f>
        <v>5.1.1.0</v>
      </c>
      <c r="B152" s="107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152" s="107" t="str">
        <f ca="1">IFERROR(__xludf.DUMMYFUNCTION("""COMPUTED_VALUE"""),"3. Operación")</f>
        <v>3. Operación</v>
      </c>
      <c r="D152" s="107" t="str">
        <f ca="1">IFERROR(__xludf.DUMMYFUNCTION("""COMPUTED_VALUE"""),"Guadalajara bien educada")</f>
        <v>Guadalajara bien educada</v>
      </c>
      <c r="E152" s="107" t="str">
        <f ca="1">IFERROR(__xludf.DUMMYFUNCTION("""COMPUTED_VALUE"""),"Atención en Centros de Desarrollo Infantil")</f>
        <v>Atención en Centros de Desarrollo Infantil</v>
      </c>
      <c r="F152" s="107" t="str">
        <f ca="1">IFERROR(__xludf.DUMMYFUNCTION("""COMPUTED_VALUE"""),"C1. Servicio de educación inicial y preescolar para niñas y niños en condición de vulnerabilidad económica brindados en CDI, CEDI y CAIC ")</f>
        <v xml:space="preserve">C1. Servicio de educación inicial y preescolar para niñas y niños en condición de vulnerabilidad económica brindados en CDI, CEDI y CAIC </v>
      </c>
      <c r="G152" s="107" t="str">
        <f ca="1">IFERROR(__xludf.DUMMYFUNCTION("""COMPUTED_VALUE"""),"Porcentaje de demanda cubierta sobre servicios de atención educativa y asistencial para niñas y niños en condición de vulnerabilidad económica en 2024")</f>
        <v>Porcentaje de demanda cubierta sobre servicios de atención educativa y asistencial para niñas y niños en condición de vulnerabilidad económica en 2024</v>
      </c>
      <c r="H152" s="107" t="str">
        <f ca="1">IFERROR(__xludf.DUMMYFUNCTION("""COMPUTED_VALUE"""),"AMM OCTUBRE")</f>
        <v>AMM OCTUBRE</v>
      </c>
      <c r="I152" s="107" t="str">
        <f ca="1">IFERROR(__xludf.DUMMYFUNCTION("""COMPUTED_VALUE"""),"Octubre")</f>
        <v>Octubre</v>
      </c>
      <c r="J152" s="107" t="str">
        <f ca="1">IFERROR(__xludf.DUMMYFUNCTION("""COMPUTED_VALUE"""),"AMM")</f>
        <v>AMM</v>
      </c>
      <c r="K152" s="40"/>
      <c r="L152" s="107" t="str">
        <f ca="1">IFERROR(__xludf.DUMMYFUNCTION("""COMPUTED_VALUE"""),"TRIMESTRE 4")</f>
        <v>TRIMESTRE 4</v>
      </c>
      <c r="M152" s="107" t="str">
        <f ca="1">IFERROR(__xludf.DUMMYFUNCTION("""COMPUTED_VALUE"""),"ADULTA MAYOR MUJER")</f>
        <v>ADULTA MAYOR MUJER</v>
      </c>
    </row>
    <row r="153" spans="1:13">
      <c r="A153" s="107" t="str">
        <f ca="1">IFERROR(__xludf.DUMMYFUNCTION("""COMPUTED_VALUE"""),"5.1.1.0")</f>
        <v>5.1.1.0</v>
      </c>
      <c r="B153" s="107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153" s="107" t="str">
        <f ca="1">IFERROR(__xludf.DUMMYFUNCTION("""COMPUTED_VALUE"""),"3. Operación")</f>
        <v>3. Operación</v>
      </c>
      <c r="D153" s="107" t="str">
        <f ca="1">IFERROR(__xludf.DUMMYFUNCTION("""COMPUTED_VALUE"""),"Guadalajara bien educada")</f>
        <v>Guadalajara bien educada</v>
      </c>
      <c r="E153" s="107" t="str">
        <f ca="1">IFERROR(__xludf.DUMMYFUNCTION("""COMPUTED_VALUE"""),"Atención en Centros de Desarrollo Infantil")</f>
        <v>Atención en Centros de Desarrollo Infantil</v>
      </c>
      <c r="F153" s="107" t="str">
        <f ca="1">IFERROR(__xludf.DUMMYFUNCTION("""COMPUTED_VALUE"""),"C1. Servicio de educación inicial y preescolar para niñas y niños en condición de vulnerabilidad económica brindados en CDI, CEDI y CAIC ")</f>
        <v xml:space="preserve">C1. Servicio de educación inicial y preescolar para niñas y niños en condición de vulnerabilidad económica brindados en CDI, CEDI y CAIC </v>
      </c>
      <c r="G153" s="107" t="str">
        <f ca="1">IFERROR(__xludf.DUMMYFUNCTION("""COMPUTED_VALUE"""),"Porcentaje de demanda cubierta sobre servicios de atención educativa y asistencial para niñas y niños en condición de vulnerabilidad económica en 2024")</f>
        <v>Porcentaje de demanda cubierta sobre servicios de atención educativa y asistencial para niñas y niños en condición de vulnerabilidad económica en 2024</v>
      </c>
      <c r="H153" s="107" t="str">
        <f ca="1">IFERROR(__xludf.DUMMYFUNCTION("""COMPUTED_VALUE"""),"AMH OCTUBRE")</f>
        <v>AMH OCTUBRE</v>
      </c>
      <c r="I153" s="107" t="str">
        <f ca="1">IFERROR(__xludf.DUMMYFUNCTION("""COMPUTED_VALUE"""),"Octubre")</f>
        <v>Octubre</v>
      </c>
      <c r="J153" s="107" t="str">
        <f ca="1">IFERROR(__xludf.DUMMYFUNCTION("""COMPUTED_VALUE"""),"AMH")</f>
        <v>AMH</v>
      </c>
      <c r="K153" s="40"/>
      <c r="L153" s="107" t="str">
        <f ca="1">IFERROR(__xludf.DUMMYFUNCTION("""COMPUTED_VALUE"""),"TRIMESTRE 4")</f>
        <v>TRIMESTRE 4</v>
      </c>
      <c r="M153" s="107" t="str">
        <f ca="1">IFERROR(__xludf.DUMMYFUNCTION("""COMPUTED_VALUE"""),"ADULTO MAYOR HOMBRE")</f>
        <v>ADULTO MAYOR HOMBRE</v>
      </c>
    </row>
    <row r="154" spans="1:13">
      <c r="A154" s="107" t="str">
        <f ca="1">IFERROR(__xludf.DUMMYFUNCTION("""COMPUTED_VALUE"""),"5.1.1.1")</f>
        <v>5.1.1.1</v>
      </c>
      <c r="B154" s="107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154" s="107" t="str">
        <f ca="1">IFERROR(__xludf.DUMMYFUNCTION("""COMPUTED_VALUE"""),"3. Operación")</f>
        <v>3. Operación</v>
      </c>
      <c r="D154" s="107" t="str">
        <f ca="1">IFERROR(__xludf.DUMMYFUNCTION("""COMPUTED_VALUE"""),"Guadalajara bien educada")</f>
        <v>Guadalajara bien educada</v>
      </c>
      <c r="E154" s="107" t="str">
        <f ca="1">IFERROR(__xludf.DUMMYFUNCTION("""COMPUTED_VALUE"""),"Atención en Centros de Desarrollo Infantil")</f>
        <v>Atención en Centros de Desarrollo Infantil</v>
      </c>
      <c r="F154" s="107" t="str">
        <f ca="1">IFERROR(__xludf.DUMMYFUNCTION("""COMPUTED_VALUE"""),"A1C1. Procesos de formación brindados en CDI, CEDI y CAIC de educación inicial y preescolar ")</f>
        <v xml:space="preserve">A1C1. Procesos de formación brindados en CDI, CEDI y CAIC de educación inicial y preescolar </v>
      </c>
      <c r="G154" s="107" t="str">
        <f ca="1">IFERROR(__xludf.DUMMYFUNCTION("""COMPUTED_VALUE"""),"Porcentaje de Niñas y Niños que reciben educación inicial y preescolar en CDI, CEDI y CAIC en 2024")</f>
        <v>Porcentaje de Niñas y Niños que reciben educación inicial y preescolar en CDI, CEDI y CAIC en 2024</v>
      </c>
      <c r="H154" s="107" t="str">
        <f ca="1">IFERROR(__xludf.DUMMYFUNCTION("""COMPUTED_VALUE"""),"NAS OCTUBRE")</f>
        <v>NAS OCTUBRE</v>
      </c>
      <c r="I154" s="107" t="str">
        <f ca="1">IFERROR(__xludf.DUMMYFUNCTION("""COMPUTED_VALUE"""),"Octubre")</f>
        <v>Octubre</v>
      </c>
      <c r="J154" s="107" t="str">
        <f ca="1">IFERROR(__xludf.DUMMYFUNCTION("""COMPUTED_VALUE"""),"NAS")</f>
        <v>NAS</v>
      </c>
      <c r="K154" s="40">
        <f ca="1">IFERROR(__xludf.DUMMYFUNCTION("""COMPUTED_VALUE"""),0)</f>
        <v>0</v>
      </c>
      <c r="L154" s="107" t="str">
        <f ca="1">IFERROR(__xludf.DUMMYFUNCTION("""COMPUTED_VALUE"""),"TRIMESTRE 4")</f>
        <v>TRIMESTRE 4</v>
      </c>
      <c r="M154" s="107" t="str">
        <f ca="1">IFERROR(__xludf.DUMMYFUNCTION("""COMPUTED_VALUE"""),"NIÑAS")</f>
        <v>NIÑAS</v>
      </c>
    </row>
    <row r="155" spans="1:13">
      <c r="A155" s="107" t="str">
        <f ca="1">IFERROR(__xludf.DUMMYFUNCTION("""COMPUTED_VALUE"""),"5.1.1.1")</f>
        <v>5.1.1.1</v>
      </c>
      <c r="B155" s="107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155" s="107" t="str">
        <f ca="1">IFERROR(__xludf.DUMMYFUNCTION("""COMPUTED_VALUE"""),"3. Operación")</f>
        <v>3. Operación</v>
      </c>
      <c r="D155" s="107" t="str">
        <f ca="1">IFERROR(__xludf.DUMMYFUNCTION("""COMPUTED_VALUE"""),"Guadalajara bien educada")</f>
        <v>Guadalajara bien educada</v>
      </c>
      <c r="E155" s="107" t="str">
        <f ca="1">IFERROR(__xludf.DUMMYFUNCTION("""COMPUTED_VALUE"""),"Atención en Centros de Desarrollo Infantil")</f>
        <v>Atención en Centros de Desarrollo Infantil</v>
      </c>
      <c r="F155" s="107" t="str">
        <f ca="1">IFERROR(__xludf.DUMMYFUNCTION("""COMPUTED_VALUE"""),"A1C1. Procesos de formación brindados en CDI, CEDI y CAIC de educación inicial y preescolar ")</f>
        <v xml:space="preserve">A1C1. Procesos de formación brindados en CDI, CEDI y CAIC de educación inicial y preescolar </v>
      </c>
      <c r="G155" s="107" t="str">
        <f ca="1">IFERROR(__xludf.DUMMYFUNCTION("""COMPUTED_VALUE"""),"Porcentaje de Niñas y Niños que reciben educación inicial y preescolar en CDI, CEDI y CAIC en 2024")</f>
        <v>Porcentaje de Niñas y Niños que reciben educación inicial y preescolar en CDI, CEDI y CAIC en 2024</v>
      </c>
      <c r="H155" s="107" t="str">
        <f ca="1">IFERROR(__xludf.DUMMYFUNCTION("""COMPUTED_VALUE"""),"NOS OCTUBRE")</f>
        <v>NOS OCTUBRE</v>
      </c>
      <c r="I155" s="107" t="str">
        <f ca="1">IFERROR(__xludf.DUMMYFUNCTION("""COMPUTED_VALUE"""),"Octubre")</f>
        <v>Octubre</v>
      </c>
      <c r="J155" s="107" t="str">
        <f ca="1">IFERROR(__xludf.DUMMYFUNCTION("""COMPUTED_VALUE"""),"NOS")</f>
        <v>NOS</v>
      </c>
      <c r="K155" s="40">
        <f ca="1">IFERROR(__xludf.DUMMYFUNCTION("""COMPUTED_VALUE"""),0)</f>
        <v>0</v>
      </c>
      <c r="L155" s="107" t="str">
        <f ca="1">IFERROR(__xludf.DUMMYFUNCTION("""COMPUTED_VALUE"""),"TRIMESTRE 4")</f>
        <v>TRIMESTRE 4</v>
      </c>
      <c r="M155" s="107" t="str">
        <f ca="1">IFERROR(__xludf.DUMMYFUNCTION("""COMPUTED_VALUE"""),"NIÑOS")</f>
        <v>NIÑOS</v>
      </c>
    </row>
    <row r="156" spans="1:13">
      <c r="A156" s="107" t="str">
        <f ca="1">IFERROR(__xludf.DUMMYFUNCTION("""COMPUTED_VALUE"""),"5.1.1.1")</f>
        <v>5.1.1.1</v>
      </c>
      <c r="B156" s="107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156" s="107" t="str">
        <f ca="1">IFERROR(__xludf.DUMMYFUNCTION("""COMPUTED_VALUE"""),"3. Operación")</f>
        <v>3. Operación</v>
      </c>
      <c r="D156" s="107" t="str">
        <f ca="1">IFERROR(__xludf.DUMMYFUNCTION("""COMPUTED_VALUE"""),"Guadalajara bien educada")</f>
        <v>Guadalajara bien educada</v>
      </c>
      <c r="E156" s="107" t="str">
        <f ca="1">IFERROR(__xludf.DUMMYFUNCTION("""COMPUTED_VALUE"""),"Atención en Centros de Desarrollo Infantil")</f>
        <v>Atención en Centros de Desarrollo Infantil</v>
      </c>
      <c r="F156" s="107" t="str">
        <f ca="1">IFERROR(__xludf.DUMMYFUNCTION("""COMPUTED_VALUE"""),"A1C1. Procesos de formación brindados en CDI, CEDI y CAIC de educación inicial y preescolar ")</f>
        <v xml:space="preserve">A1C1. Procesos de formación brindados en CDI, CEDI y CAIC de educación inicial y preescolar </v>
      </c>
      <c r="G156" s="107" t="str">
        <f ca="1">IFERROR(__xludf.DUMMYFUNCTION("""COMPUTED_VALUE"""),"Porcentaje de Niñas y Niños que reciben educación inicial y preescolar en CDI, CEDI y CAIC en 2024")</f>
        <v>Porcentaje de Niñas y Niños que reciben educación inicial y preescolar en CDI, CEDI y CAIC en 2024</v>
      </c>
      <c r="H156" s="107" t="str">
        <f ca="1">IFERROR(__xludf.DUMMYFUNCTION("""COMPUTED_VALUE"""),"AM OCTUBRE")</f>
        <v>AM OCTUBRE</v>
      </c>
      <c r="I156" s="107" t="str">
        <f ca="1">IFERROR(__xludf.DUMMYFUNCTION("""COMPUTED_VALUE"""),"Octubre")</f>
        <v>Octubre</v>
      </c>
      <c r="J156" s="107" t="str">
        <f ca="1">IFERROR(__xludf.DUMMYFUNCTION("""COMPUTED_VALUE"""),"AM")</f>
        <v>AM</v>
      </c>
      <c r="K156" s="40"/>
      <c r="L156" s="107" t="str">
        <f ca="1">IFERROR(__xludf.DUMMYFUNCTION("""COMPUTED_VALUE"""),"TRIMESTRE 4")</f>
        <v>TRIMESTRE 4</v>
      </c>
      <c r="M156" s="107" t="str">
        <f ca="1">IFERROR(__xludf.DUMMYFUNCTION("""COMPUTED_VALUE"""),"ADOLESCENTES MUJERES")</f>
        <v>ADOLESCENTES MUJERES</v>
      </c>
    </row>
    <row r="157" spans="1:13">
      <c r="A157" s="107" t="str">
        <f ca="1">IFERROR(__xludf.DUMMYFUNCTION("""COMPUTED_VALUE"""),"5.1.1.1")</f>
        <v>5.1.1.1</v>
      </c>
      <c r="B157" s="107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157" s="107" t="str">
        <f ca="1">IFERROR(__xludf.DUMMYFUNCTION("""COMPUTED_VALUE"""),"3. Operación")</f>
        <v>3. Operación</v>
      </c>
      <c r="D157" s="107" t="str">
        <f ca="1">IFERROR(__xludf.DUMMYFUNCTION("""COMPUTED_VALUE"""),"Guadalajara bien educada")</f>
        <v>Guadalajara bien educada</v>
      </c>
      <c r="E157" s="107" t="str">
        <f ca="1">IFERROR(__xludf.DUMMYFUNCTION("""COMPUTED_VALUE"""),"Atención en Centros de Desarrollo Infantil")</f>
        <v>Atención en Centros de Desarrollo Infantil</v>
      </c>
      <c r="F157" s="107" t="str">
        <f ca="1">IFERROR(__xludf.DUMMYFUNCTION("""COMPUTED_VALUE"""),"A1C1. Procesos de formación brindados en CDI, CEDI y CAIC de educación inicial y preescolar ")</f>
        <v xml:space="preserve">A1C1. Procesos de formación brindados en CDI, CEDI y CAIC de educación inicial y preescolar </v>
      </c>
      <c r="G157" s="107" t="str">
        <f ca="1">IFERROR(__xludf.DUMMYFUNCTION("""COMPUTED_VALUE"""),"Porcentaje de Niñas y Niños que reciben educación inicial y preescolar en CDI, CEDI y CAIC en 2024")</f>
        <v>Porcentaje de Niñas y Niños que reciben educación inicial y preescolar en CDI, CEDI y CAIC en 2024</v>
      </c>
      <c r="H157" s="107" t="str">
        <f ca="1">IFERROR(__xludf.DUMMYFUNCTION("""COMPUTED_VALUE"""),"AH OCTUBRE")</f>
        <v>AH OCTUBRE</v>
      </c>
      <c r="I157" s="107" t="str">
        <f ca="1">IFERROR(__xludf.DUMMYFUNCTION("""COMPUTED_VALUE"""),"Octubre")</f>
        <v>Octubre</v>
      </c>
      <c r="J157" s="107" t="str">
        <f ca="1">IFERROR(__xludf.DUMMYFUNCTION("""COMPUTED_VALUE"""),"AH")</f>
        <v>AH</v>
      </c>
      <c r="K157" s="40"/>
      <c r="L157" s="107" t="str">
        <f ca="1">IFERROR(__xludf.DUMMYFUNCTION("""COMPUTED_VALUE"""),"TRIMESTRE 4")</f>
        <v>TRIMESTRE 4</v>
      </c>
      <c r="M157" s="107" t="str">
        <f ca="1">IFERROR(__xludf.DUMMYFUNCTION("""COMPUTED_VALUE"""),"ADOLESCENTES HOMBRES")</f>
        <v>ADOLESCENTES HOMBRES</v>
      </c>
    </row>
    <row r="158" spans="1:13">
      <c r="A158" s="107" t="str">
        <f ca="1">IFERROR(__xludf.DUMMYFUNCTION("""COMPUTED_VALUE"""),"5.1.1.1")</f>
        <v>5.1.1.1</v>
      </c>
      <c r="B158" s="107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158" s="107" t="str">
        <f ca="1">IFERROR(__xludf.DUMMYFUNCTION("""COMPUTED_VALUE"""),"3. Operación")</f>
        <v>3. Operación</v>
      </c>
      <c r="D158" s="107" t="str">
        <f ca="1">IFERROR(__xludf.DUMMYFUNCTION("""COMPUTED_VALUE"""),"Guadalajara bien educada")</f>
        <v>Guadalajara bien educada</v>
      </c>
      <c r="E158" s="107" t="str">
        <f ca="1">IFERROR(__xludf.DUMMYFUNCTION("""COMPUTED_VALUE"""),"Atención en Centros de Desarrollo Infantil")</f>
        <v>Atención en Centros de Desarrollo Infantil</v>
      </c>
      <c r="F158" s="107" t="str">
        <f ca="1">IFERROR(__xludf.DUMMYFUNCTION("""COMPUTED_VALUE"""),"A1C1. Procesos de formación brindados en CDI, CEDI y CAIC de educación inicial y preescolar ")</f>
        <v xml:space="preserve">A1C1. Procesos de formación brindados en CDI, CEDI y CAIC de educación inicial y preescolar </v>
      </c>
      <c r="G158" s="107" t="str">
        <f ca="1">IFERROR(__xludf.DUMMYFUNCTION("""COMPUTED_VALUE"""),"Porcentaje de Niñas y Niños que reciben educación inicial y preescolar en CDI, CEDI y CAIC en 2024")</f>
        <v>Porcentaje de Niñas y Niños que reciben educación inicial y preescolar en CDI, CEDI y CAIC en 2024</v>
      </c>
      <c r="H158" s="107" t="str">
        <f ca="1">IFERROR(__xludf.DUMMYFUNCTION("""COMPUTED_VALUE"""),"MUJ OCTUBRE")</f>
        <v>MUJ OCTUBRE</v>
      </c>
      <c r="I158" s="107" t="str">
        <f ca="1">IFERROR(__xludf.DUMMYFUNCTION("""COMPUTED_VALUE"""),"Octubre")</f>
        <v>Octubre</v>
      </c>
      <c r="J158" s="107" t="str">
        <f ca="1">IFERROR(__xludf.DUMMYFUNCTION("""COMPUTED_VALUE"""),"MUJ")</f>
        <v>MUJ</v>
      </c>
      <c r="K158" s="40"/>
      <c r="L158" s="107" t="str">
        <f ca="1">IFERROR(__xludf.DUMMYFUNCTION("""COMPUTED_VALUE"""),"TRIMESTRE 4")</f>
        <v>TRIMESTRE 4</v>
      </c>
      <c r="M158" s="107" t="str">
        <f ca="1">IFERROR(__xludf.DUMMYFUNCTION("""COMPUTED_VALUE"""),"MUJERES ADULTAS")</f>
        <v>MUJERES ADULTAS</v>
      </c>
    </row>
    <row r="159" spans="1:13">
      <c r="A159" s="107" t="str">
        <f ca="1">IFERROR(__xludf.DUMMYFUNCTION("""COMPUTED_VALUE"""),"5.1.1.1")</f>
        <v>5.1.1.1</v>
      </c>
      <c r="B159" s="107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159" s="107" t="str">
        <f ca="1">IFERROR(__xludf.DUMMYFUNCTION("""COMPUTED_VALUE"""),"3. Operación")</f>
        <v>3. Operación</v>
      </c>
      <c r="D159" s="107" t="str">
        <f ca="1">IFERROR(__xludf.DUMMYFUNCTION("""COMPUTED_VALUE"""),"Guadalajara bien educada")</f>
        <v>Guadalajara bien educada</v>
      </c>
      <c r="E159" s="107" t="str">
        <f ca="1">IFERROR(__xludf.DUMMYFUNCTION("""COMPUTED_VALUE"""),"Atención en Centros de Desarrollo Infantil")</f>
        <v>Atención en Centros de Desarrollo Infantil</v>
      </c>
      <c r="F159" s="107" t="str">
        <f ca="1">IFERROR(__xludf.DUMMYFUNCTION("""COMPUTED_VALUE"""),"A1C1. Procesos de formación brindados en CDI, CEDI y CAIC de educación inicial y preescolar ")</f>
        <v xml:space="preserve">A1C1. Procesos de formación brindados en CDI, CEDI y CAIC de educación inicial y preescolar </v>
      </c>
      <c r="G159" s="107" t="str">
        <f ca="1">IFERROR(__xludf.DUMMYFUNCTION("""COMPUTED_VALUE"""),"Porcentaje de Niñas y Niños que reciben educación inicial y preescolar en CDI, CEDI y CAIC en 2024")</f>
        <v>Porcentaje de Niñas y Niños que reciben educación inicial y preescolar en CDI, CEDI y CAIC en 2024</v>
      </c>
      <c r="H159" s="107" t="str">
        <f ca="1">IFERROR(__xludf.DUMMYFUNCTION("""COMPUTED_VALUE"""),"HOM OCTUBRE")</f>
        <v>HOM OCTUBRE</v>
      </c>
      <c r="I159" s="107" t="str">
        <f ca="1">IFERROR(__xludf.DUMMYFUNCTION("""COMPUTED_VALUE"""),"Octubre")</f>
        <v>Octubre</v>
      </c>
      <c r="J159" s="107" t="str">
        <f ca="1">IFERROR(__xludf.DUMMYFUNCTION("""COMPUTED_VALUE"""),"HOM")</f>
        <v>HOM</v>
      </c>
      <c r="K159" s="40"/>
      <c r="L159" s="107" t="str">
        <f ca="1">IFERROR(__xludf.DUMMYFUNCTION("""COMPUTED_VALUE"""),"TRIMESTRE 4")</f>
        <v>TRIMESTRE 4</v>
      </c>
      <c r="M159" s="107" t="str">
        <f ca="1">IFERROR(__xludf.DUMMYFUNCTION("""COMPUTED_VALUE"""),"HOMBRES ADULTOS")</f>
        <v>HOMBRES ADULTOS</v>
      </c>
    </row>
    <row r="160" spans="1:13">
      <c r="A160" s="107" t="str">
        <f ca="1">IFERROR(__xludf.DUMMYFUNCTION("""COMPUTED_VALUE"""),"5.1.1.1")</f>
        <v>5.1.1.1</v>
      </c>
      <c r="B160" s="107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160" s="107" t="str">
        <f ca="1">IFERROR(__xludf.DUMMYFUNCTION("""COMPUTED_VALUE"""),"3. Operación")</f>
        <v>3. Operación</v>
      </c>
      <c r="D160" s="107" t="str">
        <f ca="1">IFERROR(__xludf.DUMMYFUNCTION("""COMPUTED_VALUE"""),"Guadalajara bien educada")</f>
        <v>Guadalajara bien educada</v>
      </c>
      <c r="E160" s="107" t="str">
        <f ca="1">IFERROR(__xludf.DUMMYFUNCTION("""COMPUTED_VALUE"""),"Atención en Centros de Desarrollo Infantil")</f>
        <v>Atención en Centros de Desarrollo Infantil</v>
      </c>
      <c r="F160" s="107" t="str">
        <f ca="1">IFERROR(__xludf.DUMMYFUNCTION("""COMPUTED_VALUE"""),"A1C1. Procesos de formación brindados en CDI, CEDI y CAIC de educación inicial y preescolar ")</f>
        <v xml:space="preserve">A1C1. Procesos de formación brindados en CDI, CEDI y CAIC de educación inicial y preescolar </v>
      </c>
      <c r="G160" s="107" t="str">
        <f ca="1">IFERROR(__xludf.DUMMYFUNCTION("""COMPUTED_VALUE"""),"Porcentaje de Niñas y Niños que reciben educación inicial y preescolar en CDI, CEDI y CAIC en 2024")</f>
        <v>Porcentaje de Niñas y Niños que reciben educación inicial y preescolar en CDI, CEDI y CAIC en 2024</v>
      </c>
      <c r="H160" s="107" t="str">
        <f ca="1">IFERROR(__xludf.DUMMYFUNCTION("""COMPUTED_VALUE"""),"AMM OCTUBRE")</f>
        <v>AMM OCTUBRE</v>
      </c>
      <c r="I160" s="107" t="str">
        <f ca="1">IFERROR(__xludf.DUMMYFUNCTION("""COMPUTED_VALUE"""),"Octubre")</f>
        <v>Octubre</v>
      </c>
      <c r="J160" s="107" t="str">
        <f ca="1">IFERROR(__xludf.DUMMYFUNCTION("""COMPUTED_VALUE"""),"AMM")</f>
        <v>AMM</v>
      </c>
      <c r="K160" s="40"/>
      <c r="L160" s="107" t="str">
        <f ca="1">IFERROR(__xludf.DUMMYFUNCTION("""COMPUTED_VALUE"""),"TRIMESTRE 4")</f>
        <v>TRIMESTRE 4</v>
      </c>
      <c r="M160" s="107" t="str">
        <f ca="1">IFERROR(__xludf.DUMMYFUNCTION("""COMPUTED_VALUE"""),"ADULTA MAYOR MUJER")</f>
        <v>ADULTA MAYOR MUJER</v>
      </c>
    </row>
    <row r="161" spans="1:13">
      <c r="A161" s="107" t="str">
        <f ca="1">IFERROR(__xludf.DUMMYFUNCTION("""COMPUTED_VALUE"""),"5.1.1.1")</f>
        <v>5.1.1.1</v>
      </c>
      <c r="B161" s="107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161" s="107" t="str">
        <f ca="1">IFERROR(__xludf.DUMMYFUNCTION("""COMPUTED_VALUE"""),"3. Operación")</f>
        <v>3. Operación</v>
      </c>
      <c r="D161" s="107" t="str">
        <f ca="1">IFERROR(__xludf.DUMMYFUNCTION("""COMPUTED_VALUE"""),"Guadalajara bien educada")</f>
        <v>Guadalajara bien educada</v>
      </c>
      <c r="E161" s="107" t="str">
        <f ca="1">IFERROR(__xludf.DUMMYFUNCTION("""COMPUTED_VALUE"""),"Atención en Centros de Desarrollo Infantil")</f>
        <v>Atención en Centros de Desarrollo Infantil</v>
      </c>
      <c r="F161" s="107" t="str">
        <f ca="1">IFERROR(__xludf.DUMMYFUNCTION("""COMPUTED_VALUE"""),"A1C1. Procesos de formación brindados en CDI, CEDI y CAIC de educación inicial y preescolar ")</f>
        <v xml:space="preserve">A1C1. Procesos de formación brindados en CDI, CEDI y CAIC de educación inicial y preescolar </v>
      </c>
      <c r="G161" s="107" t="str">
        <f ca="1">IFERROR(__xludf.DUMMYFUNCTION("""COMPUTED_VALUE"""),"Porcentaje de Niñas y Niños que reciben educación inicial y preescolar en CDI, CEDI y CAIC en 2024")</f>
        <v>Porcentaje de Niñas y Niños que reciben educación inicial y preescolar en CDI, CEDI y CAIC en 2024</v>
      </c>
      <c r="H161" s="107" t="str">
        <f ca="1">IFERROR(__xludf.DUMMYFUNCTION("""COMPUTED_VALUE"""),"AMH OCTUBRE")</f>
        <v>AMH OCTUBRE</v>
      </c>
      <c r="I161" s="107" t="str">
        <f ca="1">IFERROR(__xludf.DUMMYFUNCTION("""COMPUTED_VALUE"""),"Octubre")</f>
        <v>Octubre</v>
      </c>
      <c r="J161" s="107" t="str">
        <f ca="1">IFERROR(__xludf.DUMMYFUNCTION("""COMPUTED_VALUE"""),"AMH")</f>
        <v>AMH</v>
      </c>
      <c r="K161" s="40"/>
      <c r="L161" s="107" t="str">
        <f ca="1">IFERROR(__xludf.DUMMYFUNCTION("""COMPUTED_VALUE"""),"TRIMESTRE 4")</f>
        <v>TRIMESTRE 4</v>
      </c>
      <c r="M161" s="107" t="str">
        <f ca="1">IFERROR(__xludf.DUMMYFUNCTION("""COMPUTED_VALUE"""),"ADULTO MAYOR HOMBRE")</f>
        <v>ADULTO MAYOR HOMBRE</v>
      </c>
    </row>
    <row r="162" spans="1:13">
      <c r="A162" s="107" t="str">
        <f ca="1">IFERROR(__xludf.DUMMYFUNCTION("""COMPUTED_VALUE"""),"5.1.1.0")</f>
        <v>5.1.1.0</v>
      </c>
      <c r="B162" s="107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162" s="107" t="str">
        <f ca="1">IFERROR(__xludf.DUMMYFUNCTION("""COMPUTED_VALUE"""),"3. Operación")</f>
        <v>3. Operación</v>
      </c>
      <c r="D162" s="107" t="str">
        <f ca="1">IFERROR(__xludf.DUMMYFUNCTION("""COMPUTED_VALUE"""),"Guadalajara bien educada")</f>
        <v>Guadalajara bien educada</v>
      </c>
      <c r="E162" s="107" t="str">
        <f ca="1">IFERROR(__xludf.DUMMYFUNCTION("""COMPUTED_VALUE"""),"Atención en Centros de Desarrollo Infantil")</f>
        <v>Atención en Centros de Desarrollo Infantil</v>
      </c>
      <c r="F162" s="107" t="str">
        <f ca="1">IFERROR(__xludf.DUMMYFUNCTION("""COMPUTED_VALUE"""),"C1. Servicio de educación inicial y preescolar para niñas y niños en condición de vulnerabilidad económica brindados en CDI, CEDI y CAIC ")</f>
        <v xml:space="preserve">C1. Servicio de educación inicial y preescolar para niñas y niños en condición de vulnerabilidad económica brindados en CDI, CEDI y CAIC </v>
      </c>
      <c r="G162" s="107" t="str">
        <f ca="1">IFERROR(__xludf.DUMMYFUNCTION("""COMPUTED_VALUE"""),"Porcentaje de demanda cubierta sobre servicios de atención educativa y asistencial para niñas y niños en condición de vulnerabilidad económica en 2024")</f>
        <v>Porcentaje de demanda cubierta sobre servicios de atención educativa y asistencial para niñas y niños en condición de vulnerabilidad económica en 2024</v>
      </c>
      <c r="H162" s="107" t="str">
        <f ca="1">IFERROR(__xludf.DUMMYFUNCTION("""COMPUTED_VALUE"""),"NAS NOVIEMBRE")</f>
        <v>NAS NOVIEMBRE</v>
      </c>
      <c r="I162" s="107" t="str">
        <f ca="1">IFERROR(__xludf.DUMMYFUNCTION("""COMPUTED_VALUE"""),"Noviembre")</f>
        <v>Noviembre</v>
      </c>
      <c r="J162" s="107" t="str">
        <f ca="1">IFERROR(__xludf.DUMMYFUNCTION("""COMPUTED_VALUE"""),"NAS")</f>
        <v>NAS</v>
      </c>
      <c r="K162" s="40">
        <f ca="1">IFERROR(__xludf.DUMMYFUNCTION("""COMPUTED_VALUE"""),0)</f>
        <v>0</v>
      </c>
      <c r="L162" s="107" t="str">
        <f ca="1">IFERROR(__xludf.DUMMYFUNCTION("""COMPUTED_VALUE"""),"TRIMESTRE 4")</f>
        <v>TRIMESTRE 4</v>
      </c>
      <c r="M162" s="107" t="str">
        <f ca="1">IFERROR(__xludf.DUMMYFUNCTION("""COMPUTED_VALUE"""),"NIÑAS")</f>
        <v>NIÑAS</v>
      </c>
    </row>
    <row r="163" spans="1:13">
      <c r="A163" s="107" t="str">
        <f ca="1">IFERROR(__xludf.DUMMYFUNCTION("""COMPUTED_VALUE"""),"5.1.1.0")</f>
        <v>5.1.1.0</v>
      </c>
      <c r="B163" s="107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163" s="107" t="str">
        <f ca="1">IFERROR(__xludf.DUMMYFUNCTION("""COMPUTED_VALUE"""),"3. Operación")</f>
        <v>3. Operación</v>
      </c>
      <c r="D163" s="107" t="str">
        <f ca="1">IFERROR(__xludf.DUMMYFUNCTION("""COMPUTED_VALUE"""),"Guadalajara bien educada")</f>
        <v>Guadalajara bien educada</v>
      </c>
      <c r="E163" s="107" t="str">
        <f ca="1">IFERROR(__xludf.DUMMYFUNCTION("""COMPUTED_VALUE"""),"Atención en Centros de Desarrollo Infantil")</f>
        <v>Atención en Centros de Desarrollo Infantil</v>
      </c>
      <c r="F163" s="107" t="str">
        <f ca="1">IFERROR(__xludf.DUMMYFUNCTION("""COMPUTED_VALUE"""),"C1. Servicio de educación inicial y preescolar para niñas y niños en condición de vulnerabilidad económica brindados en CDI, CEDI y CAIC ")</f>
        <v xml:space="preserve">C1. Servicio de educación inicial y preescolar para niñas y niños en condición de vulnerabilidad económica brindados en CDI, CEDI y CAIC </v>
      </c>
      <c r="G163" s="107" t="str">
        <f ca="1">IFERROR(__xludf.DUMMYFUNCTION("""COMPUTED_VALUE"""),"Porcentaje de demanda cubierta sobre servicios de atención educativa y asistencial para niñas y niños en condición de vulnerabilidad económica en 2024")</f>
        <v>Porcentaje de demanda cubierta sobre servicios de atención educativa y asistencial para niñas y niños en condición de vulnerabilidad económica en 2024</v>
      </c>
      <c r="H163" s="107" t="str">
        <f ca="1">IFERROR(__xludf.DUMMYFUNCTION("""COMPUTED_VALUE"""),"NOS NOVIEMBRE")</f>
        <v>NOS NOVIEMBRE</v>
      </c>
      <c r="I163" s="107" t="str">
        <f ca="1">IFERROR(__xludf.DUMMYFUNCTION("""COMPUTED_VALUE"""),"Noviembre")</f>
        <v>Noviembre</v>
      </c>
      <c r="J163" s="107" t="str">
        <f ca="1">IFERROR(__xludf.DUMMYFUNCTION("""COMPUTED_VALUE"""),"NOS")</f>
        <v>NOS</v>
      </c>
      <c r="K163" s="40">
        <f ca="1">IFERROR(__xludf.DUMMYFUNCTION("""COMPUTED_VALUE"""),0)</f>
        <v>0</v>
      </c>
      <c r="L163" s="107" t="str">
        <f ca="1">IFERROR(__xludf.DUMMYFUNCTION("""COMPUTED_VALUE"""),"TRIMESTRE 4")</f>
        <v>TRIMESTRE 4</v>
      </c>
      <c r="M163" s="107" t="str">
        <f ca="1">IFERROR(__xludf.DUMMYFUNCTION("""COMPUTED_VALUE"""),"NIÑOS")</f>
        <v>NIÑOS</v>
      </c>
    </row>
    <row r="164" spans="1:13">
      <c r="A164" s="107" t="str">
        <f ca="1">IFERROR(__xludf.DUMMYFUNCTION("""COMPUTED_VALUE"""),"5.1.1.0")</f>
        <v>5.1.1.0</v>
      </c>
      <c r="B164" s="107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164" s="107" t="str">
        <f ca="1">IFERROR(__xludf.DUMMYFUNCTION("""COMPUTED_VALUE"""),"3. Operación")</f>
        <v>3. Operación</v>
      </c>
      <c r="D164" s="107" t="str">
        <f ca="1">IFERROR(__xludf.DUMMYFUNCTION("""COMPUTED_VALUE"""),"Guadalajara bien educada")</f>
        <v>Guadalajara bien educada</v>
      </c>
      <c r="E164" s="107" t="str">
        <f ca="1">IFERROR(__xludf.DUMMYFUNCTION("""COMPUTED_VALUE"""),"Atención en Centros de Desarrollo Infantil")</f>
        <v>Atención en Centros de Desarrollo Infantil</v>
      </c>
      <c r="F164" s="107" t="str">
        <f ca="1">IFERROR(__xludf.DUMMYFUNCTION("""COMPUTED_VALUE"""),"C1. Servicio de educación inicial y preescolar para niñas y niños en condición de vulnerabilidad económica brindados en CDI, CEDI y CAIC ")</f>
        <v xml:space="preserve">C1. Servicio de educación inicial y preescolar para niñas y niños en condición de vulnerabilidad económica brindados en CDI, CEDI y CAIC </v>
      </c>
      <c r="G164" s="107" t="str">
        <f ca="1">IFERROR(__xludf.DUMMYFUNCTION("""COMPUTED_VALUE"""),"Porcentaje de demanda cubierta sobre servicios de atención educativa y asistencial para niñas y niños en condición de vulnerabilidad económica en 2024")</f>
        <v>Porcentaje de demanda cubierta sobre servicios de atención educativa y asistencial para niñas y niños en condición de vulnerabilidad económica en 2024</v>
      </c>
      <c r="H164" s="107" t="str">
        <f ca="1">IFERROR(__xludf.DUMMYFUNCTION("""COMPUTED_VALUE"""),"AM NOVIEMBRE")</f>
        <v>AM NOVIEMBRE</v>
      </c>
      <c r="I164" s="107" t="str">
        <f ca="1">IFERROR(__xludf.DUMMYFUNCTION("""COMPUTED_VALUE"""),"Noviembre")</f>
        <v>Noviembre</v>
      </c>
      <c r="J164" s="107" t="str">
        <f ca="1">IFERROR(__xludf.DUMMYFUNCTION("""COMPUTED_VALUE"""),"AM")</f>
        <v>AM</v>
      </c>
      <c r="K164" s="40"/>
      <c r="L164" s="107" t="str">
        <f ca="1">IFERROR(__xludf.DUMMYFUNCTION("""COMPUTED_VALUE"""),"TRIMESTRE 4")</f>
        <v>TRIMESTRE 4</v>
      </c>
      <c r="M164" s="107" t="str">
        <f ca="1">IFERROR(__xludf.DUMMYFUNCTION("""COMPUTED_VALUE"""),"ADOLESCENTES MUJERES")</f>
        <v>ADOLESCENTES MUJERES</v>
      </c>
    </row>
    <row r="165" spans="1:13">
      <c r="A165" s="107" t="str">
        <f ca="1">IFERROR(__xludf.DUMMYFUNCTION("""COMPUTED_VALUE"""),"5.1.1.0")</f>
        <v>5.1.1.0</v>
      </c>
      <c r="B165" s="107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165" s="107" t="str">
        <f ca="1">IFERROR(__xludf.DUMMYFUNCTION("""COMPUTED_VALUE"""),"3. Operación")</f>
        <v>3. Operación</v>
      </c>
      <c r="D165" s="107" t="str">
        <f ca="1">IFERROR(__xludf.DUMMYFUNCTION("""COMPUTED_VALUE"""),"Guadalajara bien educada")</f>
        <v>Guadalajara bien educada</v>
      </c>
      <c r="E165" s="107" t="str">
        <f ca="1">IFERROR(__xludf.DUMMYFUNCTION("""COMPUTED_VALUE"""),"Atención en Centros de Desarrollo Infantil")</f>
        <v>Atención en Centros de Desarrollo Infantil</v>
      </c>
      <c r="F165" s="107" t="str">
        <f ca="1">IFERROR(__xludf.DUMMYFUNCTION("""COMPUTED_VALUE"""),"C1. Servicio de educación inicial y preescolar para niñas y niños en condición de vulnerabilidad económica brindados en CDI, CEDI y CAIC ")</f>
        <v xml:space="preserve">C1. Servicio de educación inicial y preescolar para niñas y niños en condición de vulnerabilidad económica brindados en CDI, CEDI y CAIC </v>
      </c>
      <c r="G165" s="107" t="str">
        <f ca="1">IFERROR(__xludf.DUMMYFUNCTION("""COMPUTED_VALUE"""),"Porcentaje de demanda cubierta sobre servicios de atención educativa y asistencial para niñas y niños en condición de vulnerabilidad económica en 2024")</f>
        <v>Porcentaje de demanda cubierta sobre servicios de atención educativa y asistencial para niñas y niños en condición de vulnerabilidad económica en 2024</v>
      </c>
      <c r="H165" s="107" t="str">
        <f ca="1">IFERROR(__xludf.DUMMYFUNCTION("""COMPUTED_VALUE"""),"AH NOVIEMBRE")</f>
        <v>AH NOVIEMBRE</v>
      </c>
      <c r="I165" s="107" t="str">
        <f ca="1">IFERROR(__xludf.DUMMYFUNCTION("""COMPUTED_VALUE"""),"Noviembre")</f>
        <v>Noviembre</v>
      </c>
      <c r="J165" s="107" t="str">
        <f ca="1">IFERROR(__xludf.DUMMYFUNCTION("""COMPUTED_VALUE"""),"AH")</f>
        <v>AH</v>
      </c>
      <c r="K165" s="40"/>
      <c r="L165" s="107" t="str">
        <f ca="1">IFERROR(__xludf.DUMMYFUNCTION("""COMPUTED_VALUE"""),"TRIMESTRE 4")</f>
        <v>TRIMESTRE 4</v>
      </c>
      <c r="M165" s="107" t="str">
        <f ca="1">IFERROR(__xludf.DUMMYFUNCTION("""COMPUTED_VALUE"""),"ADOLESCENTES HOMBRES")</f>
        <v>ADOLESCENTES HOMBRES</v>
      </c>
    </row>
    <row r="166" spans="1:13">
      <c r="A166" s="107" t="str">
        <f ca="1">IFERROR(__xludf.DUMMYFUNCTION("""COMPUTED_VALUE"""),"5.1.1.0")</f>
        <v>5.1.1.0</v>
      </c>
      <c r="B166" s="107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166" s="107" t="str">
        <f ca="1">IFERROR(__xludf.DUMMYFUNCTION("""COMPUTED_VALUE"""),"3. Operación")</f>
        <v>3. Operación</v>
      </c>
      <c r="D166" s="107" t="str">
        <f ca="1">IFERROR(__xludf.DUMMYFUNCTION("""COMPUTED_VALUE"""),"Guadalajara bien educada")</f>
        <v>Guadalajara bien educada</v>
      </c>
      <c r="E166" s="107" t="str">
        <f ca="1">IFERROR(__xludf.DUMMYFUNCTION("""COMPUTED_VALUE"""),"Atención en Centros de Desarrollo Infantil")</f>
        <v>Atención en Centros de Desarrollo Infantil</v>
      </c>
      <c r="F166" s="107" t="str">
        <f ca="1">IFERROR(__xludf.DUMMYFUNCTION("""COMPUTED_VALUE"""),"C1. Servicio de educación inicial y preescolar para niñas y niños en condición de vulnerabilidad económica brindados en CDI, CEDI y CAIC ")</f>
        <v xml:space="preserve">C1. Servicio de educación inicial y preescolar para niñas y niños en condición de vulnerabilidad económica brindados en CDI, CEDI y CAIC </v>
      </c>
      <c r="G166" s="107" t="str">
        <f ca="1">IFERROR(__xludf.DUMMYFUNCTION("""COMPUTED_VALUE"""),"Porcentaje de demanda cubierta sobre servicios de atención educativa y asistencial para niñas y niños en condición de vulnerabilidad económica en 2024")</f>
        <v>Porcentaje de demanda cubierta sobre servicios de atención educativa y asistencial para niñas y niños en condición de vulnerabilidad económica en 2024</v>
      </c>
      <c r="H166" s="107" t="str">
        <f ca="1">IFERROR(__xludf.DUMMYFUNCTION("""COMPUTED_VALUE"""),"MUJ NOVIEMBRE")</f>
        <v>MUJ NOVIEMBRE</v>
      </c>
      <c r="I166" s="107" t="str">
        <f ca="1">IFERROR(__xludf.DUMMYFUNCTION("""COMPUTED_VALUE"""),"Noviembre")</f>
        <v>Noviembre</v>
      </c>
      <c r="J166" s="107" t="str">
        <f ca="1">IFERROR(__xludf.DUMMYFUNCTION("""COMPUTED_VALUE"""),"MUJ")</f>
        <v>MUJ</v>
      </c>
      <c r="K166" s="40"/>
      <c r="L166" s="107" t="str">
        <f ca="1">IFERROR(__xludf.DUMMYFUNCTION("""COMPUTED_VALUE"""),"TRIMESTRE 4")</f>
        <v>TRIMESTRE 4</v>
      </c>
      <c r="M166" s="107" t="str">
        <f ca="1">IFERROR(__xludf.DUMMYFUNCTION("""COMPUTED_VALUE"""),"MUJERES ADULTAS")</f>
        <v>MUJERES ADULTAS</v>
      </c>
    </row>
    <row r="167" spans="1:13">
      <c r="A167" s="107" t="str">
        <f ca="1">IFERROR(__xludf.DUMMYFUNCTION("""COMPUTED_VALUE"""),"5.1.1.0")</f>
        <v>5.1.1.0</v>
      </c>
      <c r="B167" s="107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167" s="107" t="str">
        <f ca="1">IFERROR(__xludf.DUMMYFUNCTION("""COMPUTED_VALUE"""),"3. Operación")</f>
        <v>3. Operación</v>
      </c>
      <c r="D167" s="107" t="str">
        <f ca="1">IFERROR(__xludf.DUMMYFUNCTION("""COMPUTED_VALUE"""),"Guadalajara bien educada")</f>
        <v>Guadalajara bien educada</v>
      </c>
      <c r="E167" s="107" t="str">
        <f ca="1">IFERROR(__xludf.DUMMYFUNCTION("""COMPUTED_VALUE"""),"Atención en Centros de Desarrollo Infantil")</f>
        <v>Atención en Centros de Desarrollo Infantil</v>
      </c>
      <c r="F167" s="107" t="str">
        <f ca="1">IFERROR(__xludf.DUMMYFUNCTION("""COMPUTED_VALUE"""),"C1. Servicio de educación inicial y preescolar para niñas y niños en condición de vulnerabilidad económica brindados en CDI, CEDI y CAIC ")</f>
        <v xml:space="preserve">C1. Servicio de educación inicial y preescolar para niñas y niños en condición de vulnerabilidad económica brindados en CDI, CEDI y CAIC </v>
      </c>
      <c r="G167" s="107" t="str">
        <f ca="1">IFERROR(__xludf.DUMMYFUNCTION("""COMPUTED_VALUE"""),"Porcentaje de demanda cubierta sobre servicios de atención educativa y asistencial para niñas y niños en condición de vulnerabilidad económica en 2024")</f>
        <v>Porcentaje de demanda cubierta sobre servicios de atención educativa y asistencial para niñas y niños en condición de vulnerabilidad económica en 2024</v>
      </c>
      <c r="H167" s="107" t="str">
        <f ca="1">IFERROR(__xludf.DUMMYFUNCTION("""COMPUTED_VALUE"""),"HOM NOVIEMBRE")</f>
        <v>HOM NOVIEMBRE</v>
      </c>
      <c r="I167" s="107" t="str">
        <f ca="1">IFERROR(__xludf.DUMMYFUNCTION("""COMPUTED_VALUE"""),"Noviembre")</f>
        <v>Noviembre</v>
      </c>
      <c r="J167" s="107" t="str">
        <f ca="1">IFERROR(__xludf.DUMMYFUNCTION("""COMPUTED_VALUE"""),"HOM")</f>
        <v>HOM</v>
      </c>
      <c r="K167" s="40"/>
      <c r="L167" s="107" t="str">
        <f ca="1">IFERROR(__xludf.DUMMYFUNCTION("""COMPUTED_VALUE"""),"TRIMESTRE 4")</f>
        <v>TRIMESTRE 4</v>
      </c>
      <c r="M167" s="107" t="str">
        <f ca="1">IFERROR(__xludf.DUMMYFUNCTION("""COMPUTED_VALUE"""),"HOMBRES ADULTOS")</f>
        <v>HOMBRES ADULTOS</v>
      </c>
    </row>
    <row r="168" spans="1:13">
      <c r="A168" s="107" t="str">
        <f ca="1">IFERROR(__xludf.DUMMYFUNCTION("""COMPUTED_VALUE"""),"5.1.1.0")</f>
        <v>5.1.1.0</v>
      </c>
      <c r="B168" s="107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168" s="107" t="str">
        <f ca="1">IFERROR(__xludf.DUMMYFUNCTION("""COMPUTED_VALUE"""),"3. Operación")</f>
        <v>3. Operación</v>
      </c>
      <c r="D168" s="107" t="str">
        <f ca="1">IFERROR(__xludf.DUMMYFUNCTION("""COMPUTED_VALUE"""),"Guadalajara bien educada")</f>
        <v>Guadalajara bien educada</v>
      </c>
      <c r="E168" s="107" t="str">
        <f ca="1">IFERROR(__xludf.DUMMYFUNCTION("""COMPUTED_VALUE"""),"Atención en Centros de Desarrollo Infantil")</f>
        <v>Atención en Centros de Desarrollo Infantil</v>
      </c>
      <c r="F168" s="107" t="str">
        <f ca="1">IFERROR(__xludf.DUMMYFUNCTION("""COMPUTED_VALUE"""),"C1. Servicio de educación inicial y preescolar para niñas y niños en condición de vulnerabilidad económica brindados en CDI, CEDI y CAIC ")</f>
        <v xml:space="preserve">C1. Servicio de educación inicial y preescolar para niñas y niños en condición de vulnerabilidad económica brindados en CDI, CEDI y CAIC </v>
      </c>
      <c r="G168" s="107" t="str">
        <f ca="1">IFERROR(__xludf.DUMMYFUNCTION("""COMPUTED_VALUE"""),"Porcentaje de demanda cubierta sobre servicios de atención educativa y asistencial para niñas y niños en condición de vulnerabilidad económica en 2024")</f>
        <v>Porcentaje de demanda cubierta sobre servicios de atención educativa y asistencial para niñas y niños en condición de vulnerabilidad económica en 2024</v>
      </c>
      <c r="H168" s="107" t="str">
        <f ca="1">IFERROR(__xludf.DUMMYFUNCTION("""COMPUTED_VALUE"""),"AMM NOVIEMBRE")</f>
        <v>AMM NOVIEMBRE</v>
      </c>
      <c r="I168" s="107" t="str">
        <f ca="1">IFERROR(__xludf.DUMMYFUNCTION("""COMPUTED_VALUE"""),"Noviembre")</f>
        <v>Noviembre</v>
      </c>
      <c r="J168" s="107" t="str">
        <f ca="1">IFERROR(__xludf.DUMMYFUNCTION("""COMPUTED_VALUE"""),"AMM")</f>
        <v>AMM</v>
      </c>
      <c r="K168" s="40"/>
      <c r="L168" s="107" t="str">
        <f ca="1">IFERROR(__xludf.DUMMYFUNCTION("""COMPUTED_VALUE"""),"TRIMESTRE 4")</f>
        <v>TRIMESTRE 4</v>
      </c>
      <c r="M168" s="107" t="str">
        <f ca="1">IFERROR(__xludf.DUMMYFUNCTION("""COMPUTED_VALUE"""),"ADULTA MAYOR MUJER")</f>
        <v>ADULTA MAYOR MUJER</v>
      </c>
    </row>
    <row r="169" spans="1:13">
      <c r="A169" s="107" t="str">
        <f ca="1">IFERROR(__xludf.DUMMYFUNCTION("""COMPUTED_VALUE"""),"5.1.1.0")</f>
        <v>5.1.1.0</v>
      </c>
      <c r="B169" s="107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169" s="107" t="str">
        <f ca="1">IFERROR(__xludf.DUMMYFUNCTION("""COMPUTED_VALUE"""),"3. Operación")</f>
        <v>3. Operación</v>
      </c>
      <c r="D169" s="107" t="str">
        <f ca="1">IFERROR(__xludf.DUMMYFUNCTION("""COMPUTED_VALUE"""),"Guadalajara bien educada")</f>
        <v>Guadalajara bien educada</v>
      </c>
      <c r="E169" s="107" t="str">
        <f ca="1">IFERROR(__xludf.DUMMYFUNCTION("""COMPUTED_VALUE"""),"Atención en Centros de Desarrollo Infantil")</f>
        <v>Atención en Centros de Desarrollo Infantil</v>
      </c>
      <c r="F169" s="107" t="str">
        <f ca="1">IFERROR(__xludf.DUMMYFUNCTION("""COMPUTED_VALUE"""),"C1. Servicio de educación inicial y preescolar para niñas y niños en condición de vulnerabilidad económica brindados en CDI, CEDI y CAIC ")</f>
        <v xml:space="preserve">C1. Servicio de educación inicial y preescolar para niñas y niños en condición de vulnerabilidad económica brindados en CDI, CEDI y CAIC </v>
      </c>
      <c r="G169" s="107" t="str">
        <f ca="1">IFERROR(__xludf.DUMMYFUNCTION("""COMPUTED_VALUE"""),"Porcentaje de demanda cubierta sobre servicios de atención educativa y asistencial para niñas y niños en condición de vulnerabilidad económica en 2024")</f>
        <v>Porcentaje de demanda cubierta sobre servicios de atención educativa y asistencial para niñas y niños en condición de vulnerabilidad económica en 2024</v>
      </c>
      <c r="H169" s="107" t="str">
        <f ca="1">IFERROR(__xludf.DUMMYFUNCTION("""COMPUTED_VALUE"""),"AMH NOVIEMBRE")</f>
        <v>AMH NOVIEMBRE</v>
      </c>
      <c r="I169" s="107" t="str">
        <f ca="1">IFERROR(__xludf.DUMMYFUNCTION("""COMPUTED_VALUE"""),"Noviembre")</f>
        <v>Noviembre</v>
      </c>
      <c r="J169" s="107" t="str">
        <f ca="1">IFERROR(__xludf.DUMMYFUNCTION("""COMPUTED_VALUE"""),"AMH")</f>
        <v>AMH</v>
      </c>
      <c r="K169" s="40"/>
      <c r="L169" s="107" t="str">
        <f ca="1">IFERROR(__xludf.DUMMYFUNCTION("""COMPUTED_VALUE"""),"TRIMESTRE 4")</f>
        <v>TRIMESTRE 4</v>
      </c>
      <c r="M169" s="107" t="str">
        <f ca="1">IFERROR(__xludf.DUMMYFUNCTION("""COMPUTED_VALUE"""),"ADULTO MAYOR HOMBRE")</f>
        <v>ADULTO MAYOR HOMBRE</v>
      </c>
    </row>
    <row r="170" spans="1:13">
      <c r="A170" s="107" t="str">
        <f ca="1">IFERROR(__xludf.DUMMYFUNCTION("""COMPUTED_VALUE"""),"5.1.1.1")</f>
        <v>5.1.1.1</v>
      </c>
      <c r="B170" s="107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170" s="107" t="str">
        <f ca="1">IFERROR(__xludf.DUMMYFUNCTION("""COMPUTED_VALUE"""),"3. Operación")</f>
        <v>3. Operación</v>
      </c>
      <c r="D170" s="107" t="str">
        <f ca="1">IFERROR(__xludf.DUMMYFUNCTION("""COMPUTED_VALUE"""),"Guadalajara bien educada")</f>
        <v>Guadalajara bien educada</v>
      </c>
      <c r="E170" s="107" t="str">
        <f ca="1">IFERROR(__xludf.DUMMYFUNCTION("""COMPUTED_VALUE"""),"Atención en Centros de Desarrollo Infantil")</f>
        <v>Atención en Centros de Desarrollo Infantil</v>
      </c>
      <c r="F170" s="107" t="str">
        <f ca="1">IFERROR(__xludf.DUMMYFUNCTION("""COMPUTED_VALUE"""),"A1C1. Procesos de formación brindados en CDI, CEDI y CAIC de educación inicial y preescolar ")</f>
        <v xml:space="preserve">A1C1. Procesos de formación brindados en CDI, CEDI y CAIC de educación inicial y preescolar </v>
      </c>
      <c r="G170" s="107" t="str">
        <f ca="1">IFERROR(__xludf.DUMMYFUNCTION("""COMPUTED_VALUE"""),"Porcentaje de Niñas y Niños que reciben educación inicial y preescolar en CDI, CEDI y CAIC en 2024")</f>
        <v>Porcentaje de Niñas y Niños que reciben educación inicial y preescolar en CDI, CEDI y CAIC en 2024</v>
      </c>
      <c r="H170" s="107" t="str">
        <f ca="1">IFERROR(__xludf.DUMMYFUNCTION("""COMPUTED_VALUE"""),"NAS NOVIEMBRE")</f>
        <v>NAS NOVIEMBRE</v>
      </c>
      <c r="I170" s="107" t="str">
        <f ca="1">IFERROR(__xludf.DUMMYFUNCTION("""COMPUTED_VALUE"""),"Noviembre")</f>
        <v>Noviembre</v>
      </c>
      <c r="J170" s="107" t="str">
        <f ca="1">IFERROR(__xludf.DUMMYFUNCTION("""COMPUTED_VALUE"""),"NAS")</f>
        <v>NAS</v>
      </c>
      <c r="K170" s="40">
        <f ca="1">IFERROR(__xludf.DUMMYFUNCTION("""COMPUTED_VALUE"""),0)</f>
        <v>0</v>
      </c>
      <c r="L170" s="107" t="str">
        <f ca="1">IFERROR(__xludf.DUMMYFUNCTION("""COMPUTED_VALUE"""),"TRIMESTRE 4")</f>
        <v>TRIMESTRE 4</v>
      </c>
      <c r="M170" s="107" t="str">
        <f ca="1">IFERROR(__xludf.DUMMYFUNCTION("""COMPUTED_VALUE"""),"NIÑAS")</f>
        <v>NIÑAS</v>
      </c>
    </row>
    <row r="171" spans="1:13">
      <c r="A171" s="107" t="str">
        <f ca="1">IFERROR(__xludf.DUMMYFUNCTION("""COMPUTED_VALUE"""),"5.1.1.1")</f>
        <v>5.1.1.1</v>
      </c>
      <c r="B171" s="107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171" s="107" t="str">
        <f ca="1">IFERROR(__xludf.DUMMYFUNCTION("""COMPUTED_VALUE"""),"3. Operación")</f>
        <v>3. Operación</v>
      </c>
      <c r="D171" s="107" t="str">
        <f ca="1">IFERROR(__xludf.DUMMYFUNCTION("""COMPUTED_VALUE"""),"Guadalajara bien educada")</f>
        <v>Guadalajara bien educada</v>
      </c>
      <c r="E171" s="107" t="str">
        <f ca="1">IFERROR(__xludf.DUMMYFUNCTION("""COMPUTED_VALUE"""),"Atención en Centros de Desarrollo Infantil")</f>
        <v>Atención en Centros de Desarrollo Infantil</v>
      </c>
      <c r="F171" s="107" t="str">
        <f ca="1">IFERROR(__xludf.DUMMYFUNCTION("""COMPUTED_VALUE"""),"A1C1. Procesos de formación brindados en CDI, CEDI y CAIC de educación inicial y preescolar ")</f>
        <v xml:space="preserve">A1C1. Procesos de formación brindados en CDI, CEDI y CAIC de educación inicial y preescolar </v>
      </c>
      <c r="G171" s="107" t="str">
        <f ca="1">IFERROR(__xludf.DUMMYFUNCTION("""COMPUTED_VALUE"""),"Porcentaje de Niñas y Niños que reciben educación inicial y preescolar en CDI, CEDI y CAIC en 2024")</f>
        <v>Porcentaje de Niñas y Niños que reciben educación inicial y preescolar en CDI, CEDI y CAIC en 2024</v>
      </c>
      <c r="H171" s="107" t="str">
        <f ca="1">IFERROR(__xludf.DUMMYFUNCTION("""COMPUTED_VALUE"""),"NOS NOVIEMBRE")</f>
        <v>NOS NOVIEMBRE</v>
      </c>
      <c r="I171" s="107" t="str">
        <f ca="1">IFERROR(__xludf.DUMMYFUNCTION("""COMPUTED_VALUE"""),"Noviembre")</f>
        <v>Noviembre</v>
      </c>
      <c r="J171" s="107" t="str">
        <f ca="1">IFERROR(__xludf.DUMMYFUNCTION("""COMPUTED_VALUE"""),"NOS")</f>
        <v>NOS</v>
      </c>
      <c r="K171" s="40">
        <f ca="1">IFERROR(__xludf.DUMMYFUNCTION("""COMPUTED_VALUE"""),0)</f>
        <v>0</v>
      </c>
      <c r="L171" s="107" t="str">
        <f ca="1">IFERROR(__xludf.DUMMYFUNCTION("""COMPUTED_VALUE"""),"TRIMESTRE 4")</f>
        <v>TRIMESTRE 4</v>
      </c>
      <c r="M171" s="107" t="str">
        <f ca="1">IFERROR(__xludf.DUMMYFUNCTION("""COMPUTED_VALUE"""),"NIÑOS")</f>
        <v>NIÑOS</v>
      </c>
    </row>
    <row r="172" spans="1:13">
      <c r="A172" s="107" t="str">
        <f ca="1">IFERROR(__xludf.DUMMYFUNCTION("""COMPUTED_VALUE"""),"5.1.1.1")</f>
        <v>5.1.1.1</v>
      </c>
      <c r="B172" s="107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172" s="107" t="str">
        <f ca="1">IFERROR(__xludf.DUMMYFUNCTION("""COMPUTED_VALUE"""),"3. Operación")</f>
        <v>3. Operación</v>
      </c>
      <c r="D172" s="107" t="str">
        <f ca="1">IFERROR(__xludf.DUMMYFUNCTION("""COMPUTED_VALUE"""),"Guadalajara bien educada")</f>
        <v>Guadalajara bien educada</v>
      </c>
      <c r="E172" s="107" t="str">
        <f ca="1">IFERROR(__xludf.DUMMYFUNCTION("""COMPUTED_VALUE"""),"Atención en Centros de Desarrollo Infantil")</f>
        <v>Atención en Centros de Desarrollo Infantil</v>
      </c>
      <c r="F172" s="107" t="str">
        <f ca="1">IFERROR(__xludf.DUMMYFUNCTION("""COMPUTED_VALUE"""),"A1C1. Procesos de formación brindados en CDI, CEDI y CAIC de educación inicial y preescolar ")</f>
        <v xml:space="preserve">A1C1. Procesos de formación brindados en CDI, CEDI y CAIC de educación inicial y preescolar </v>
      </c>
      <c r="G172" s="107" t="str">
        <f ca="1">IFERROR(__xludf.DUMMYFUNCTION("""COMPUTED_VALUE"""),"Porcentaje de Niñas y Niños que reciben educación inicial y preescolar en CDI, CEDI y CAIC en 2024")</f>
        <v>Porcentaje de Niñas y Niños que reciben educación inicial y preescolar en CDI, CEDI y CAIC en 2024</v>
      </c>
      <c r="H172" s="107" t="str">
        <f ca="1">IFERROR(__xludf.DUMMYFUNCTION("""COMPUTED_VALUE"""),"AM NOVIEMBRE")</f>
        <v>AM NOVIEMBRE</v>
      </c>
      <c r="I172" s="107" t="str">
        <f ca="1">IFERROR(__xludf.DUMMYFUNCTION("""COMPUTED_VALUE"""),"Noviembre")</f>
        <v>Noviembre</v>
      </c>
      <c r="J172" s="107" t="str">
        <f ca="1">IFERROR(__xludf.DUMMYFUNCTION("""COMPUTED_VALUE"""),"AM")</f>
        <v>AM</v>
      </c>
      <c r="K172" s="40"/>
      <c r="L172" s="107" t="str">
        <f ca="1">IFERROR(__xludf.DUMMYFUNCTION("""COMPUTED_VALUE"""),"TRIMESTRE 4")</f>
        <v>TRIMESTRE 4</v>
      </c>
      <c r="M172" s="107" t="str">
        <f ca="1">IFERROR(__xludf.DUMMYFUNCTION("""COMPUTED_VALUE"""),"ADOLESCENTES MUJERES")</f>
        <v>ADOLESCENTES MUJERES</v>
      </c>
    </row>
    <row r="173" spans="1:13">
      <c r="A173" s="107" t="str">
        <f ca="1">IFERROR(__xludf.DUMMYFUNCTION("""COMPUTED_VALUE"""),"5.1.1.1")</f>
        <v>5.1.1.1</v>
      </c>
      <c r="B173" s="107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173" s="107" t="str">
        <f ca="1">IFERROR(__xludf.DUMMYFUNCTION("""COMPUTED_VALUE"""),"3. Operación")</f>
        <v>3. Operación</v>
      </c>
      <c r="D173" s="107" t="str">
        <f ca="1">IFERROR(__xludf.DUMMYFUNCTION("""COMPUTED_VALUE"""),"Guadalajara bien educada")</f>
        <v>Guadalajara bien educada</v>
      </c>
      <c r="E173" s="107" t="str">
        <f ca="1">IFERROR(__xludf.DUMMYFUNCTION("""COMPUTED_VALUE"""),"Atención en Centros de Desarrollo Infantil")</f>
        <v>Atención en Centros de Desarrollo Infantil</v>
      </c>
      <c r="F173" s="107" t="str">
        <f ca="1">IFERROR(__xludf.DUMMYFUNCTION("""COMPUTED_VALUE"""),"A1C1. Procesos de formación brindados en CDI, CEDI y CAIC de educación inicial y preescolar ")</f>
        <v xml:space="preserve">A1C1. Procesos de formación brindados en CDI, CEDI y CAIC de educación inicial y preescolar </v>
      </c>
      <c r="G173" s="107" t="str">
        <f ca="1">IFERROR(__xludf.DUMMYFUNCTION("""COMPUTED_VALUE"""),"Porcentaje de Niñas y Niños que reciben educación inicial y preescolar en CDI, CEDI y CAIC en 2024")</f>
        <v>Porcentaje de Niñas y Niños que reciben educación inicial y preescolar en CDI, CEDI y CAIC en 2024</v>
      </c>
      <c r="H173" s="107" t="str">
        <f ca="1">IFERROR(__xludf.DUMMYFUNCTION("""COMPUTED_VALUE"""),"AH NOVIEMBRE")</f>
        <v>AH NOVIEMBRE</v>
      </c>
      <c r="I173" s="107" t="str">
        <f ca="1">IFERROR(__xludf.DUMMYFUNCTION("""COMPUTED_VALUE"""),"Noviembre")</f>
        <v>Noviembre</v>
      </c>
      <c r="J173" s="107" t="str">
        <f ca="1">IFERROR(__xludf.DUMMYFUNCTION("""COMPUTED_VALUE"""),"AH")</f>
        <v>AH</v>
      </c>
      <c r="K173" s="40"/>
      <c r="L173" s="107" t="str">
        <f ca="1">IFERROR(__xludf.DUMMYFUNCTION("""COMPUTED_VALUE"""),"TRIMESTRE 4")</f>
        <v>TRIMESTRE 4</v>
      </c>
      <c r="M173" s="107" t="str">
        <f ca="1">IFERROR(__xludf.DUMMYFUNCTION("""COMPUTED_VALUE"""),"ADOLESCENTES HOMBRES")</f>
        <v>ADOLESCENTES HOMBRES</v>
      </c>
    </row>
    <row r="174" spans="1:13">
      <c r="A174" s="107" t="str">
        <f ca="1">IFERROR(__xludf.DUMMYFUNCTION("""COMPUTED_VALUE"""),"5.1.1.1")</f>
        <v>5.1.1.1</v>
      </c>
      <c r="B174" s="107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174" s="107" t="str">
        <f ca="1">IFERROR(__xludf.DUMMYFUNCTION("""COMPUTED_VALUE"""),"3. Operación")</f>
        <v>3. Operación</v>
      </c>
      <c r="D174" s="107" t="str">
        <f ca="1">IFERROR(__xludf.DUMMYFUNCTION("""COMPUTED_VALUE"""),"Guadalajara bien educada")</f>
        <v>Guadalajara bien educada</v>
      </c>
      <c r="E174" s="107" t="str">
        <f ca="1">IFERROR(__xludf.DUMMYFUNCTION("""COMPUTED_VALUE"""),"Atención en Centros de Desarrollo Infantil")</f>
        <v>Atención en Centros de Desarrollo Infantil</v>
      </c>
      <c r="F174" s="107" t="str">
        <f ca="1">IFERROR(__xludf.DUMMYFUNCTION("""COMPUTED_VALUE"""),"A1C1. Procesos de formación brindados en CDI, CEDI y CAIC de educación inicial y preescolar ")</f>
        <v xml:space="preserve">A1C1. Procesos de formación brindados en CDI, CEDI y CAIC de educación inicial y preescolar </v>
      </c>
      <c r="G174" s="107" t="str">
        <f ca="1">IFERROR(__xludf.DUMMYFUNCTION("""COMPUTED_VALUE"""),"Porcentaje de Niñas y Niños que reciben educación inicial y preescolar en CDI, CEDI y CAIC en 2024")</f>
        <v>Porcentaje de Niñas y Niños que reciben educación inicial y preescolar en CDI, CEDI y CAIC en 2024</v>
      </c>
      <c r="H174" s="107" t="str">
        <f ca="1">IFERROR(__xludf.DUMMYFUNCTION("""COMPUTED_VALUE"""),"MUJ NOVIEMBRE")</f>
        <v>MUJ NOVIEMBRE</v>
      </c>
      <c r="I174" s="107" t="str">
        <f ca="1">IFERROR(__xludf.DUMMYFUNCTION("""COMPUTED_VALUE"""),"Noviembre")</f>
        <v>Noviembre</v>
      </c>
      <c r="J174" s="107" t="str">
        <f ca="1">IFERROR(__xludf.DUMMYFUNCTION("""COMPUTED_VALUE"""),"MUJ")</f>
        <v>MUJ</v>
      </c>
      <c r="K174" s="40"/>
      <c r="L174" s="107" t="str">
        <f ca="1">IFERROR(__xludf.DUMMYFUNCTION("""COMPUTED_VALUE"""),"TRIMESTRE 4")</f>
        <v>TRIMESTRE 4</v>
      </c>
      <c r="M174" s="107" t="str">
        <f ca="1">IFERROR(__xludf.DUMMYFUNCTION("""COMPUTED_VALUE"""),"MUJERES ADULTAS")</f>
        <v>MUJERES ADULTAS</v>
      </c>
    </row>
    <row r="175" spans="1:13">
      <c r="A175" s="107" t="str">
        <f ca="1">IFERROR(__xludf.DUMMYFUNCTION("""COMPUTED_VALUE"""),"5.1.1.1")</f>
        <v>5.1.1.1</v>
      </c>
      <c r="B175" s="107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175" s="107" t="str">
        <f ca="1">IFERROR(__xludf.DUMMYFUNCTION("""COMPUTED_VALUE"""),"3. Operación")</f>
        <v>3. Operación</v>
      </c>
      <c r="D175" s="107" t="str">
        <f ca="1">IFERROR(__xludf.DUMMYFUNCTION("""COMPUTED_VALUE"""),"Guadalajara bien educada")</f>
        <v>Guadalajara bien educada</v>
      </c>
      <c r="E175" s="107" t="str">
        <f ca="1">IFERROR(__xludf.DUMMYFUNCTION("""COMPUTED_VALUE"""),"Atención en Centros de Desarrollo Infantil")</f>
        <v>Atención en Centros de Desarrollo Infantil</v>
      </c>
      <c r="F175" s="107" t="str">
        <f ca="1">IFERROR(__xludf.DUMMYFUNCTION("""COMPUTED_VALUE"""),"A1C1. Procesos de formación brindados en CDI, CEDI y CAIC de educación inicial y preescolar ")</f>
        <v xml:space="preserve">A1C1. Procesos de formación brindados en CDI, CEDI y CAIC de educación inicial y preescolar </v>
      </c>
      <c r="G175" s="107" t="str">
        <f ca="1">IFERROR(__xludf.DUMMYFUNCTION("""COMPUTED_VALUE"""),"Porcentaje de Niñas y Niños que reciben educación inicial y preescolar en CDI, CEDI y CAIC en 2024")</f>
        <v>Porcentaje de Niñas y Niños que reciben educación inicial y preescolar en CDI, CEDI y CAIC en 2024</v>
      </c>
      <c r="H175" s="107" t="str">
        <f ca="1">IFERROR(__xludf.DUMMYFUNCTION("""COMPUTED_VALUE"""),"HOM NOVIEMBRE")</f>
        <v>HOM NOVIEMBRE</v>
      </c>
      <c r="I175" s="107" t="str">
        <f ca="1">IFERROR(__xludf.DUMMYFUNCTION("""COMPUTED_VALUE"""),"Noviembre")</f>
        <v>Noviembre</v>
      </c>
      <c r="J175" s="107" t="str">
        <f ca="1">IFERROR(__xludf.DUMMYFUNCTION("""COMPUTED_VALUE"""),"HOM")</f>
        <v>HOM</v>
      </c>
      <c r="K175" s="40"/>
      <c r="L175" s="107" t="str">
        <f ca="1">IFERROR(__xludf.DUMMYFUNCTION("""COMPUTED_VALUE"""),"TRIMESTRE 4")</f>
        <v>TRIMESTRE 4</v>
      </c>
      <c r="M175" s="107" t="str">
        <f ca="1">IFERROR(__xludf.DUMMYFUNCTION("""COMPUTED_VALUE"""),"HOMBRES ADULTOS")</f>
        <v>HOMBRES ADULTOS</v>
      </c>
    </row>
    <row r="176" spans="1:13">
      <c r="A176" s="107" t="str">
        <f ca="1">IFERROR(__xludf.DUMMYFUNCTION("""COMPUTED_VALUE"""),"5.1.1.1")</f>
        <v>5.1.1.1</v>
      </c>
      <c r="B176" s="107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176" s="107" t="str">
        <f ca="1">IFERROR(__xludf.DUMMYFUNCTION("""COMPUTED_VALUE"""),"3. Operación")</f>
        <v>3. Operación</v>
      </c>
      <c r="D176" s="107" t="str">
        <f ca="1">IFERROR(__xludf.DUMMYFUNCTION("""COMPUTED_VALUE"""),"Guadalajara bien educada")</f>
        <v>Guadalajara bien educada</v>
      </c>
      <c r="E176" s="107" t="str">
        <f ca="1">IFERROR(__xludf.DUMMYFUNCTION("""COMPUTED_VALUE"""),"Atención en Centros de Desarrollo Infantil")</f>
        <v>Atención en Centros de Desarrollo Infantil</v>
      </c>
      <c r="F176" s="107" t="str">
        <f ca="1">IFERROR(__xludf.DUMMYFUNCTION("""COMPUTED_VALUE"""),"A1C1. Procesos de formación brindados en CDI, CEDI y CAIC de educación inicial y preescolar ")</f>
        <v xml:space="preserve">A1C1. Procesos de formación brindados en CDI, CEDI y CAIC de educación inicial y preescolar </v>
      </c>
      <c r="G176" s="107" t="str">
        <f ca="1">IFERROR(__xludf.DUMMYFUNCTION("""COMPUTED_VALUE"""),"Porcentaje de Niñas y Niños que reciben educación inicial y preescolar en CDI, CEDI y CAIC en 2024")</f>
        <v>Porcentaje de Niñas y Niños que reciben educación inicial y preescolar en CDI, CEDI y CAIC en 2024</v>
      </c>
      <c r="H176" s="107" t="str">
        <f ca="1">IFERROR(__xludf.DUMMYFUNCTION("""COMPUTED_VALUE"""),"AMM NOVIEMBRE")</f>
        <v>AMM NOVIEMBRE</v>
      </c>
      <c r="I176" s="107" t="str">
        <f ca="1">IFERROR(__xludf.DUMMYFUNCTION("""COMPUTED_VALUE"""),"Noviembre")</f>
        <v>Noviembre</v>
      </c>
      <c r="J176" s="107" t="str">
        <f ca="1">IFERROR(__xludf.DUMMYFUNCTION("""COMPUTED_VALUE"""),"AMM")</f>
        <v>AMM</v>
      </c>
      <c r="K176" s="40"/>
      <c r="L176" s="107" t="str">
        <f ca="1">IFERROR(__xludf.DUMMYFUNCTION("""COMPUTED_VALUE"""),"TRIMESTRE 4")</f>
        <v>TRIMESTRE 4</v>
      </c>
      <c r="M176" s="107" t="str">
        <f ca="1">IFERROR(__xludf.DUMMYFUNCTION("""COMPUTED_VALUE"""),"ADULTA MAYOR MUJER")</f>
        <v>ADULTA MAYOR MUJER</v>
      </c>
    </row>
    <row r="177" spans="1:13">
      <c r="A177" s="107" t="str">
        <f ca="1">IFERROR(__xludf.DUMMYFUNCTION("""COMPUTED_VALUE"""),"5.1.1.1")</f>
        <v>5.1.1.1</v>
      </c>
      <c r="B177" s="107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177" s="107" t="str">
        <f ca="1">IFERROR(__xludf.DUMMYFUNCTION("""COMPUTED_VALUE"""),"3. Operación")</f>
        <v>3. Operación</v>
      </c>
      <c r="D177" s="107" t="str">
        <f ca="1">IFERROR(__xludf.DUMMYFUNCTION("""COMPUTED_VALUE"""),"Guadalajara bien educada")</f>
        <v>Guadalajara bien educada</v>
      </c>
      <c r="E177" s="107" t="str">
        <f ca="1">IFERROR(__xludf.DUMMYFUNCTION("""COMPUTED_VALUE"""),"Atención en Centros de Desarrollo Infantil")</f>
        <v>Atención en Centros de Desarrollo Infantil</v>
      </c>
      <c r="F177" s="107" t="str">
        <f ca="1">IFERROR(__xludf.DUMMYFUNCTION("""COMPUTED_VALUE"""),"A1C1. Procesos de formación brindados en CDI, CEDI y CAIC de educación inicial y preescolar ")</f>
        <v xml:space="preserve">A1C1. Procesos de formación brindados en CDI, CEDI y CAIC de educación inicial y preescolar </v>
      </c>
      <c r="G177" s="107" t="str">
        <f ca="1">IFERROR(__xludf.DUMMYFUNCTION("""COMPUTED_VALUE"""),"Porcentaje de Niñas y Niños que reciben educación inicial y preescolar en CDI, CEDI y CAIC en 2024")</f>
        <v>Porcentaje de Niñas y Niños que reciben educación inicial y preescolar en CDI, CEDI y CAIC en 2024</v>
      </c>
      <c r="H177" s="107" t="str">
        <f ca="1">IFERROR(__xludf.DUMMYFUNCTION("""COMPUTED_VALUE"""),"AMH NOVIEMBRE")</f>
        <v>AMH NOVIEMBRE</v>
      </c>
      <c r="I177" s="107" t="str">
        <f ca="1">IFERROR(__xludf.DUMMYFUNCTION("""COMPUTED_VALUE"""),"Noviembre")</f>
        <v>Noviembre</v>
      </c>
      <c r="J177" s="107" t="str">
        <f ca="1">IFERROR(__xludf.DUMMYFUNCTION("""COMPUTED_VALUE"""),"AMH")</f>
        <v>AMH</v>
      </c>
      <c r="K177" s="40"/>
      <c r="L177" s="107" t="str">
        <f ca="1">IFERROR(__xludf.DUMMYFUNCTION("""COMPUTED_VALUE"""),"TRIMESTRE 4")</f>
        <v>TRIMESTRE 4</v>
      </c>
      <c r="M177" s="107" t="str">
        <f ca="1">IFERROR(__xludf.DUMMYFUNCTION("""COMPUTED_VALUE"""),"ADULTO MAYOR HOMBRE")</f>
        <v>ADULTO MAYOR HOMBRE</v>
      </c>
    </row>
    <row r="178" spans="1:13">
      <c r="A178" s="107" t="str">
        <f ca="1">IFERROR(__xludf.DUMMYFUNCTION("""COMPUTED_VALUE"""),"5.1.1.0")</f>
        <v>5.1.1.0</v>
      </c>
      <c r="B178" s="107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178" s="107" t="str">
        <f ca="1">IFERROR(__xludf.DUMMYFUNCTION("""COMPUTED_VALUE"""),"3. Operación")</f>
        <v>3. Operación</v>
      </c>
      <c r="D178" s="107" t="str">
        <f ca="1">IFERROR(__xludf.DUMMYFUNCTION("""COMPUTED_VALUE"""),"Guadalajara bien educada")</f>
        <v>Guadalajara bien educada</v>
      </c>
      <c r="E178" s="107" t="str">
        <f ca="1">IFERROR(__xludf.DUMMYFUNCTION("""COMPUTED_VALUE"""),"Atención en Centros de Desarrollo Infantil")</f>
        <v>Atención en Centros de Desarrollo Infantil</v>
      </c>
      <c r="F178" s="107" t="str">
        <f ca="1">IFERROR(__xludf.DUMMYFUNCTION("""COMPUTED_VALUE"""),"C1. Servicio de educación inicial y preescolar para niñas y niños en condición de vulnerabilidad económica brindados en CDI, CEDI y CAIC ")</f>
        <v xml:space="preserve">C1. Servicio de educación inicial y preescolar para niñas y niños en condición de vulnerabilidad económica brindados en CDI, CEDI y CAIC </v>
      </c>
      <c r="G178" s="107" t="str">
        <f ca="1">IFERROR(__xludf.DUMMYFUNCTION("""COMPUTED_VALUE"""),"Porcentaje de demanda cubierta sobre servicios de atención educativa y asistencial para niñas y niños en condición de vulnerabilidad económica en 2024")</f>
        <v>Porcentaje de demanda cubierta sobre servicios de atención educativa y asistencial para niñas y niños en condición de vulnerabilidad económica en 2024</v>
      </c>
      <c r="H178" s="107" t="str">
        <f ca="1">IFERROR(__xludf.DUMMYFUNCTION("""COMPUTED_VALUE"""),"NAS DICIEMBRE")</f>
        <v>NAS DICIEMBRE</v>
      </c>
      <c r="I178" s="107" t="str">
        <f ca="1">IFERROR(__xludf.DUMMYFUNCTION("""COMPUTED_VALUE"""),"Diciembre")</f>
        <v>Diciembre</v>
      </c>
      <c r="J178" s="107" t="str">
        <f ca="1">IFERROR(__xludf.DUMMYFUNCTION("""COMPUTED_VALUE"""),"NAS")</f>
        <v>NAS</v>
      </c>
      <c r="K178" s="40">
        <f ca="1">IFERROR(__xludf.DUMMYFUNCTION("""COMPUTED_VALUE"""),0)</f>
        <v>0</v>
      </c>
      <c r="L178" s="107" t="str">
        <f ca="1">IFERROR(__xludf.DUMMYFUNCTION("""COMPUTED_VALUE"""),"TRIMESTRE 4")</f>
        <v>TRIMESTRE 4</v>
      </c>
      <c r="M178" s="107" t="str">
        <f ca="1">IFERROR(__xludf.DUMMYFUNCTION("""COMPUTED_VALUE"""),"NIÑAS")</f>
        <v>NIÑAS</v>
      </c>
    </row>
    <row r="179" spans="1:13">
      <c r="A179" s="107" t="str">
        <f ca="1">IFERROR(__xludf.DUMMYFUNCTION("""COMPUTED_VALUE"""),"5.1.1.0")</f>
        <v>5.1.1.0</v>
      </c>
      <c r="B179" s="107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179" s="107" t="str">
        <f ca="1">IFERROR(__xludf.DUMMYFUNCTION("""COMPUTED_VALUE"""),"3. Operación")</f>
        <v>3. Operación</v>
      </c>
      <c r="D179" s="107" t="str">
        <f ca="1">IFERROR(__xludf.DUMMYFUNCTION("""COMPUTED_VALUE"""),"Guadalajara bien educada")</f>
        <v>Guadalajara bien educada</v>
      </c>
      <c r="E179" s="107" t="str">
        <f ca="1">IFERROR(__xludf.DUMMYFUNCTION("""COMPUTED_VALUE"""),"Atención en Centros de Desarrollo Infantil")</f>
        <v>Atención en Centros de Desarrollo Infantil</v>
      </c>
      <c r="F179" s="107" t="str">
        <f ca="1">IFERROR(__xludf.DUMMYFUNCTION("""COMPUTED_VALUE"""),"C1. Servicio de educación inicial y preescolar para niñas y niños en condición de vulnerabilidad económica brindados en CDI, CEDI y CAIC ")</f>
        <v xml:space="preserve">C1. Servicio de educación inicial y preescolar para niñas y niños en condición de vulnerabilidad económica brindados en CDI, CEDI y CAIC </v>
      </c>
      <c r="G179" s="107" t="str">
        <f ca="1">IFERROR(__xludf.DUMMYFUNCTION("""COMPUTED_VALUE"""),"Porcentaje de demanda cubierta sobre servicios de atención educativa y asistencial para niñas y niños en condición de vulnerabilidad económica en 2024")</f>
        <v>Porcentaje de demanda cubierta sobre servicios de atención educativa y asistencial para niñas y niños en condición de vulnerabilidad económica en 2024</v>
      </c>
      <c r="H179" s="107" t="str">
        <f ca="1">IFERROR(__xludf.DUMMYFUNCTION("""COMPUTED_VALUE"""),"NOS DICIEMBRE")</f>
        <v>NOS DICIEMBRE</v>
      </c>
      <c r="I179" s="107" t="str">
        <f ca="1">IFERROR(__xludf.DUMMYFUNCTION("""COMPUTED_VALUE"""),"Diciembre")</f>
        <v>Diciembre</v>
      </c>
      <c r="J179" s="107" t="str">
        <f ca="1">IFERROR(__xludf.DUMMYFUNCTION("""COMPUTED_VALUE"""),"NOS")</f>
        <v>NOS</v>
      </c>
      <c r="K179" s="40">
        <f ca="1">IFERROR(__xludf.DUMMYFUNCTION("""COMPUTED_VALUE"""),0)</f>
        <v>0</v>
      </c>
      <c r="L179" s="107" t="str">
        <f ca="1">IFERROR(__xludf.DUMMYFUNCTION("""COMPUTED_VALUE"""),"TRIMESTRE 4")</f>
        <v>TRIMESTRE 4</v>
      </c>
      <c r="M179" s="107" t="str">
        <f ca="1">IFERROR(__xludf.DUMMYFUNCTION("""COMPUTED_VALUE"""),"NIÑOS")</f>
        <v>NIÑOS</v>
      </c>
    </row>
    <row r="180" spans="1:13">
      <c r="A180" s="107" t="str">
        <f ca="1">IFERROR(__xludf.DUMMYFUNCTION("""COMPUTED_VALUE"""),"5.1.1.0")</f>
        <v>5.1.1.0</v>
      </c>
      <c r="B180" s="107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180" s="107" t="str">
        <f ca="1">IFERROR(__xludf.DUMMYFUNCTION("""COMPUTED_VALUE"""),"3. Operación")</f>
        <v>3. Operación</v>
      </c>
      <c r="D180" s="107" t="str">
        <f ca="1">IFERROR(__xludf.DUMMYFUNCTION("""COMPUTED_VALUE"""),"Guadalajara bien educada")</f>
        <v>Guadalajara bien educada</v>
      </c>
      <c r="E180" s="107" t="str">
        <f ca="1">IFERROR(__xludf.DUMMYFUNCTION("""COMPUTED_VALUE"""),"Atención en Centros de Desarrollo Infantil")</f>
        <v>Atención en Centros de Desarrollo Infantil</v>
      </c>
      <c r="F180" s="107" t="str">
        <f ca="1">IFERROR(__xludf.DUMMYFUNCTION("""COMPUTED_VALUE"""),"C1. Servicio de educación inicial y preescolar para niñas y niños en condición de vulnerabilidad económica brindados en CDI, CEDI y CAIC ")</f>
        <v xml:space="preserve">C1. Servicio de educación inicial y preescolar para niñas y niños en condición de vulnerabilidad económica brindados en CDI, CEDI y CAIC </v>
      </c>
      <c r="G180" s="107" t="str">
        <f ca="1">IFERROR(__xludf.DUMMYFUNCTION("""COMPUTED_VALUE"""),"Porcentaje de demanda cubierta sobre servicios de atención educativa y asistencial para niñas y niños en condición de vulnerabilidad económica en 2024")</f>
        <v>Porcentaje de demanda cubierta sobre servicios de atención educativa y asistencial para niñas y niños en condición de vulnerabilidad económica en 2024</v>
      </c>
      <c r="H180" s="107" t="str">
        <f ca="1">IFERROR(__xludf.DUMMYFUNCTION("""COMPUTED_VALUE"""),"AM DICIEMBRE")</f>
        <v>AM DICIEMBRE</v>
      </c>
      <c r="I180" s="107" t="str">
        <f ca="1">IFERROR(__xludf.DUMMYFUNCTION("""COMPUTED_VALUE"""),"Diciembre")</f>
        <v>Diciembre</v>
      </c>
      <c r="J180" s="107" t="str">
        <f ca="1">IFERROR(__xludf.DUMMYFUNCTION("""COMPUTED_VALUE"""),"AM")</f>
        <v>AM</v>
      </c>
      <c r="K180" s="40"/>
      <c r="L180" s="107" t="str">
        <f ca="1">IFERROR(__xludf.DUMMYFUNCTION("""COMPUTED_VALUE"""),"TRIMESTRE 4")</f>
        <v>TRIMESTRE 4</v>
      </c>
      <c r="M180" s="107" t="str">
        <f ca="1">IFERROR(__xludf.DUMMYFUNCTION("""COMPUTED_VALUE"""),"ADOLESCENTES MUJERES")</f>
        <v>ADOLESCENTES MUJERES</v>
      </c>
    </row>
    <row r="181" spans="1:13">
      <c r="A181" s="107" t="str">
        <f ca="1">IFERROR(__xludf.DUMMYFUNCTION("""COMPUTED_VALUE"""),"5.1.1.0")</f>
        <v>5.1.1.0</v>
      </c>
      <c r="B181" s="107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181" s="107" t="str">
        <f ca="1">IFERROR(__xludf.DUMMYFUNCTION("""COMPUTED_VALUE"""),"3. Operación")</f>
        <v>3. Operación</v>
      </c>
      <c r="D181" s="107" t="str">
        <f ca="1">IFERROR(__xludf.DUMMYFUNCTION("""COMPUTED_VALUE"""),"Guadalajara bien educada")</f>
        <v>Guadalajara bien educada</v>
      </c>
      <c r="E181" s="107" t="str">
        <f ca="1">IFERROR(__xludf.DUMMYFUNCTION("""COMPUTED_VALUE"""),"Atención en Centros de Desarrollo Infantil")</f>
        <v>Atención en Centros de Desarrollo Infantil</v>
      </c>
      <c r="F181" s="107" t="str">
        <f ca="1">IFERROR(__xludf.DUMMYFUNCTION("""COMPUTED_VALUE"""),"C1. Servicio de educación inicial y preescolar para niñas y niños en condición de vulnerabilidad económica brindados en CDI, CEDI y CAIC ")</f>
        <v xml:space="preserve">C1. Servicio de educación inicial y preescolar para niñas y niños en condición de vulnerabilidad económica brindados en CDI, CEDI y CAIC </v>
      </c>
      <c r="G181" s="107" t="str">
        <f ca="1">IFERROR(__xludf.DUMMYFUNCTION("""COMPUTED_VALUE"""),"Porcentaje de demanda cubierta sobre servicios de atención educativa y asistencial para niñas y niños en condición de vulnerabilidad económica en 2024")</f>
        <v>Porcentaje de demanda cubierta sobre servicios de atención educativa y asistencial para niñas y niños en condición de vulnerabilidad económica en 2024</v>
      </c>
      <c r="H181" s="107" t="str">
        <f ca="1">IFERROR(__xludf.DUMMYFUNCTION("""COMPUTED_VALUE"""),"AH DICIEMBRE")</f>
        <v>AH DICIEMBRE</v>
      </c>
      <c r="I181" s="107" t="str">
        <f ca="1">IFERROR(__xludf.DUMMYFUNCTION("""COMPUTED_VALUE"""),"Diciembre")</f>
        <v>Diciembre</v>
      </c>
      <c r="J181" s="107" t="str">
        <f ca="1">IFERROR(__xludf.DUMMYFUNCTION("""COMPUTED_VALUE"""),"AH")</f>
        <v>AH</v>
      </c>
      <c r="K181" s="40"/>
      <c r="L181" s="107" t="str">
        <f ca="1">IFERROR(__xludf.DUMMYFUNCTION("""COMPUTED_VALUE"""),"TRIMESTRE 4")</f>
        <v>TRIMESTRE 4</v>
      </c>
      <c r="M181" s="107" t="str">
        <f ca="1">IFERROR(__xludf.DUMMYFUNCTION("""COMPUTED_VALUE"""),"ADOLESCENTES HOMBRES")</f>
        <v>ADOLESCENTES HOMBRES</v>
      </c>
    </row>
    <row r="182" spans="1:13">
      <c r="A182" s="107" t="str">
        <f ca="1">IFERROR(__xludf.DUMMYFUNCTION("""COMPUTED_VALUE"""),"5.1.1.0")</f>
        <v>5.1.1.0</v>
      </c>
      <c r="B182" s="107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182" s="107" t="str">
        <f ca="1">IFERROR(__xludf.DUMMYFUNCTION("""COMPUTED_VALUE"""),"3. Operación")</f>
        <v>3. Operación</v>
      </c>
      <c r="D182" s="107" t="str">
        <f ca="1">IFERROR(__xludf.DUMMYFUNCTION("""COMPUTED_VALUE"""),"Guadalajara bien educada")</f>
        <v>Guadalajara bien educada</v>
      </c>
      <c r="E182" s="107" t="str">
        <f ca="1">IFERROR(__xludf.DUMMYFUNCTION("""COMPUTED_VALUE"""),"Atención en Centros de Desarrollo Infantil")</f>
        <v>Atención en Centros de Desarrollo Infantil</v>
      </c>
      <c r="F182" s="107" t="str">
        <f ca="1">IFERROR(__xludf.DUMMYFUNCTION("""COMPUTED_VALUE"""),"C1. Servicio de educación inicial y preescolar para niñas y niños en condición de vulnerabilidad económica brindados en CDI, CEDI y CAIC ")</f>
        <v xml:space="preserve">C1. Servicio de educación inicial y preescolar para niñas y niños en condición de vulnerabilidad económica brindados en CDI, CEDI y CAIC </v>
      </c>
      <c r="G182" s="107" t="str">
        <f ca="1">IFERROR(__xludf.DUMMYFUNCTION("""COMPUTED_VALUE"""),"Porcentaje de demanda cubierta sobre servicios de atención educativa y asistencial para niñas y niños en condición de vulnerabilidad económica en 2024")</f>
        <v>Porcentaje de demanda cubierta sobre servicios de atención educativa y asistencial para niñas y niños en condición de vulnerabilidad económica en 2024</v>
      </c>
      <c r="H182" s="107" t="str">
        <f ca="1">IFERROR(__xludf.DUMMYFUNCTION("""COMPUTED_VALUE"""),"MUJ DICIEMBRE")</f>
        <v>MUJ DICIEMBRE</v>
      </c>
      <c r="I182" s="107" t="str">
        <f ca="1">IFERROR(__xludf.DUMMYFUNCTION("""COMPUTED_VALUE"""),"Diciembre")</f>
        <v>Diciembre</v>
      </c>
      <c r="J182" s="107" t="str">
        <f ca="1">IFERROR(__xludf.DUMMYFUNCTION("""COMPUTED_VALUE"""),"MUJ")</f>
        <v>MUJ</v>
      </c>
      <c r="K182" s="40"/>
      <c r="L182" s="107" t="str">
        <f ca="1">IFERROR(__xludf.DUMMYFUNCTION("""COMPUTED_VALUE"""),"TRIMESTRE 4")</f>
        <v>TRIMESTRE 4</v>
      </c>
      <c r="M182" s="107" t="str">
        <f ca="1">IFERROR(__xludf.DUMMYFUNCTION("""COMPUTED_VALUE"""),"MUJERES ADULTAS")</f>
        <v>MUJERES ADULTAS</v>
      </c>
    </row>
    <row r="183" spans="1:13">
      <c r="A183" s="107" t="str">
        <f ca="1">IFERROR(__xludf.DUMMYFUNCTION("""COMPUTED_VALUE"""),"5.1.1.0")</f>
        <v>5.1.1.0</v>
      </c>
      <c r="B183" s="107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183" s="107" t="str">
        <f ca="1">IFERROR(__xludf.DUMMYFUNCTION("""COMPUTED_VALUE"""),"3. Operación")</f>
        <v>3. Operación</v>
      </c>
      <c r="D183" s="107" t="str">
        <f ca="1">IFERROR(__xludf.DUMMYFUNCTION("""COMPUTED_VALUE"""),"Guadalajara bien educada")</f>
        <v>Guadalajara bien educada</v>
      </c>
      <c r="E183" s="107" t="str">
        <f ca="1">IFERROR(__xludf.DUMMYFUNCTION("""COMPUTED_VALUE"""),"Atención en Centros de Desarrollo Infantil")</f>
        <v>Atención en Centros de Desarrollo Infantil</v>
      </c>
      <c r="F183" s="107" t="str">
        <f ca="1">IFERROR(__xludf.DUMMYFUNCTION("""COMPUTED_VALUE"""),"C1. Servicio de educación inicial y preescolar para niñas y niños en condición de vulnerabilidad económica brindados en CDI, CEDI y CAIC ")</f>
        <v xml:space="preserve">C1. Servicio de educación inicial y preescolar para niñas y niños en condición de vulnerabilidad económica brindados en CDI, CEDI y CAIC </v>
      </c>
      <c r="G183" s="107" t="str">
        <f ca="1">IFERROR(__xludf.DUMMYFUNCTION("""COMPUTED_VALUE"""),"Porcentaje de demanda cubierta sobre servicios de atención educativa y asistencial para niñas y niños en condición de vulnerabilidad económica en 2024")</f>
        <v>Porcentaje de demanda cubierta sobre servicios de atención educativa y asistencial para niñas y niños en condición de vulnerabilidad económica en 2024</v>
      </c>
      <c r="H183" s="107" t="str">
        <f ca="1">IFERROR(__xludf.DUMMYFUNCTION("""COMPUTED_VALUE"""),"HOM DICIEMBRE")</f>
        <v>HOM DICIEMBRE</v>
      </c>
      <c r="I183" s="107" t="str">
        <f ca="1">IFERROR(__xludf.DUMMYFUNCTION("""COMPUTED_VALUE"""),"Diciembre")</f>
        <v>Diciembre</v>
      </c>
      <c r="J183" s="107" t="str">
        <f ca="1">IFERROR(__xludf.DUMMYFUNCTION("""COMPUTED_VALUE"""),"HOM")</f>
        <v>HOM</v>
      </c>
      <c r="K183" s="40"/>
      <c r="L183" s="107" t="str">
        <f ca="1">IFERROR(__xludf.DUMMYFUNCTION("""COMPUTED_VALUE"""),"TRIMESTRE 4")</f>
        <v>TRIMESTRE 4</v>
      </c>
      <c r="M183" s="107" t="str">
        <f ca="1">IFERROR(__xludf.DUMMYFUNCTION("""COMPUTED_VALUE"""),"HOMBRES ADULTOS")</f>
        <v>HOMBRES ADULTOS</v>
      </c>
    </row>
    <row r="184" spans="1:13">
      <c r="A184" s="107" t="str">
        <f ca="1">IFERROR(__xludf.DUMMYFUNCTION("""COMPUTED_VALUE"""),"5.1.1.0")</f>
        <v>5.1.1.0</v>
      </c>
      <c r="B184" s="107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184" s="107" t="str">
        <f ca="1">IFERROR(__xludf.DUMMYFUNCTION("""COMPUTED_VALUE"""),"3. Operación")</f>
        <v>3. Operación</v>
      </c>
      <c r="D184" s="107" t="str">
        <f ca="1">IFERROR(__xludf.DUMMYFUNCTION("""COMPUTED_VALUE"""),"Guadalajara bien educada")</f>
        <v>Guadalajara bien educada</v>
      </c>
      <c r="E184" s="107" t="str">
        <f ca="1">IFERROR(__xludf.DUMMYFUNCTION("""COMPUTED_VALUE"""),"Atención en Centros de Desarrollo Infantil")</f>
        <v>Atención en Centros de Desarrollo Infantil</v>
      </c>
      <c r="F184" s="107" t="str">
        <f ca="1">IFERROR(__xludf.DUMMYFUNCTION("""COMPUTED_VALUE"""),"C1. Servicio de educación inicial y preescolar para niñas y niños en condición de vulnerabilidad económica brindados en CDI, CEDI y CAIC ")</f>
        <v xml:space="preserve">C1. Servicio de educación inicial y preescolar para niñas y niños en condición de vulnerabilidad económica brindados en CDI, CEDI y CAIC </v>
      </c>
      <c r="G184" s="107" t="str">
        <f ca="1">IFERROR(__xludf.DUMMYFUNCTION("""COMPUTED_VALUE"""),"Porcentaje de demanda cubierta sobre servicios de atención educativa y asistencial para niñas y niños en condición de vulnerabilidad económica en 2024")</f>
        <v>Porcentaje de demanda cubierta sobre servicios de atención educativa y asistencial para niñas y niños en condición de vulnerabilidad económica en 2024</v>
      </c>
      <c r="H184" s="107" t="str">
        <f ca="1">IFERROR(__xludf.DUMMYFUNCTION("""COMPUTED_VALUE"""),"AMM DICIEMBRE")</f>
        <v>AMM DICIEMBRE</v>
      </c>
      <c r="I184" s="107" t="str">
        <f ca="1">IFERROR(__xludf.DUMMYFUNCTION("""COMPUTED_VALUE"""),"Diciembre")</f>
        <v>Diciembre</v>
      </c>
      <c r="J184" s="107" t="str">
        <f ca="1">IFERROR(__xludf.DUMMYFUNCTION("""COMPUTED_VALUE"""),"AMM")</f>
        <v>AMM</v>
      </c>
      <c r="K184" s="40"/>
      <c r="L184" s="107" t="str">
        <f ca="1">IFERROR(__xludf.DUMMYFUNCTION("""COMPUTED_VALUE"""),"TRIMESTRE 4")</f>
        <v>TRIMESTRE 4</v>
      </c>
      <c r="M184" s="107" t="str">
        <f ca="1">IFERROR(__xludf.DUMMYFUNCTION("""COMPUTED_VALUE"""),"ADULTA MAYOR MUJER")</f>
        <v>ADULTA MAYOR MUJER</v>
      </c>
    </row>
    <row r="185" spans="1:13">
      <c r="A185" s="107" t="str">
        <f ca="1">IFERROR(__xludf.DUMMYFUNCTION("""COMPUTED_VALUE"""),"5.1.1.0")</f>
        <v>5.1.1.0</v>
      </c>
      <c r="B185" s="107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185" s="107" t="str">
        <f ca="1">IFERROR(__xludf.DUMMYFUNCTION("""COMPUTED_VALUE"""),"3. Operación")</f>
        <v>3. Operación</v>
      </c>
      <c r="D185" s="107" t="str">
        <f ca="1">IFERROR(__xludf.DUMMYFUNCTION("""COMPUTED_VALUE"""),"Guadalajara bien educada")</f>
        <v>Guadalajara bien educada</v>
      </c>
      <c r="E185" s="107" t="str">
        <f ca="1">IFERROR(__xludf.DUMMYFUNCTION("""COMPUTED_VALUE"""),"Atención en Centros de Desarrollo Infantil")</f>
        <v>Atención en Centros de Desarrollo Infantil</v>
      </c>
      <c r="F185" s="107" t="str">
        <f ca="1">IFERROR(__xludf.DUMMYFUNCTION("""COMPUTED_VALUE"""),"C1. Servicio de educación inicial y preescolar para niñas y niños en condición de vulnerabilidad económica brindados en CDI, CEDI y CAIC ")</f>
        <v xml:space="preserve">C1. Servicio de educación inicial y preescolar para niñas y niños en condición de vulnerabilidad económica brindados en CDI, CEDI y CAIC </v>
      </c>
      <c r="G185" s="107" t="str">
        <f ca="1">IFERROR(__xludf.DUMMYFUNCTION("""COMPUTED_VALUE"""),"Porcentaje de demanda cubierta sobre servicios de atención educativa y asistencial para niñas y niños en condición de vulnerabilidad económica en 2024")</f>
        <v>Porcentaje de demanda cubierta sobre servicios de atención educativa y asistencial para niñas y niños en condición de vulnerabilidad económica en 2024</v>
      </c>
      <c r="H185" s="107" t="str">
        <f ca="1">IFERROR(__xludf.DUMMYFUNCTION("""COMPUTED_VALUE"""),"AMH DICIEMBRE")</f>
        <v>AMH DICIEMBRE</v>
      </c>
      <c r="I185" s="107" t="str">
        <f ca="1">IFERROR(__xludf.DUMMYFUNCTION("""COMPUTED_VALUE"""),"Diciembre")</f>
        <v>Diciembre</v>
      </c>
      <c r="J185" s="107" t="str">
        <f ca="1">IFERROR(__xludf.DUMMYFUNCTION("""COMPUTED_VALUE"""),"AMH")</f>
        <v>AMH</v>
      </c>
      <c r="K185" s="40"/>
      <c r="L185" s="107" t="str">
        <f ca="1">IFERROR(__xludf.DUMMYFUNCTION("""COMPUTED_VALUE"""),"TRIMESTRE 4")</f>
        <v>TRIMESTRE 4</v>
      </c>
      <c r="M185" s="107" t="str">
        <f ca="1">IFERROR(__xludf.DUMMYFUNCTION("""COMPUTED_VALUE"""),"ADULTO MAYOR HOMBRE")</f>
        <v>ADULTO MAYOR HOMBRE</v>
      </c>
    </row>
    <row r="186" spans="1:13">
      <c r="A186" s="107" t="str">
        <f ca="1">IFERROR(__xludf.DUMMYFUNCTION("""COMPUTED_VALUE"""),"5.1.1.1")</f>
        <v>5.1.1.1</v>
      </c>
      <c r="B186" s="107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186" s="107" t="str">
        <f ca="1">IFERROR(__xludf.DUMMYFUNCTION("""COMPUTED_VALUE"""),"3. Operación")</f>
        <v>3. Operación</v>
      </c>
      <c r="D186" s="107" t="str">
        <f ca="1">IFERROR(__xludf.DUMMYFUNCTION("""COMPUTED_VALUE"""),"Guadalajara bien educada")</f>
        <v>Guadalajara bien educada</v>
      </c>
      <c r="E186" s="107" t="str">
        <f ca="1">IFERROR(__xludf.DUMMYFUNCTION("""COMPUTED_VALUE"""),"Atención en Centros de Desarrollo Infantil")</f>
        <v>Atención en Centros de Desarrollo Infantil</v>
      </c>
      <c r="F186" s="107" t="str">
        <f ca="1">IFERROR(__xludf.DUMMYFUNCTION("""COMPUTED_VALUE"""),"A1C1. Procesos de formación brindados en CDI, CEDI y CAIC de educación inicial y preescolar ")</f>
        <v xml:space="preserve">A1C1. Procesos de formación brindados en CDI, CEDI y CAIC de educación inicial y preescolar </v>
      </c>
      <c r="G186" s="107" t="str">
        <f ca="1">IFERROR(__xludf.DUMMYFUNCTION("""COMPUTED_VALUE"""),"Porcentaje de Niñas y Niños que reciben educación inicial y preescolar en CDI, CEDI y CAIC en 2024")</f>
        <v>Porcentaje de Niñas y Niños que reciben educación inicial y preescolar en CDI, CEDI y CAIC en 2024</v>
      </c>
      <c r="H186" s="107" t="str">
        <f ca="1">IFERROR(__xludf.DUMMYFUNCTION("""COMPUTED_VALUE"""),"NAS DICIEMBRE")</f>
        <v>NAS DICIEMBRE</v>
      </c>
      <c r="I186" s="107" t="str">
        <f ca="1">IFERROR(__xludf.DUMMYFUNCTION("""COMPUTED_VALUE"""),"Diciembre")</f>
        <v>Diciembre</v>
      </c>
      <c r="J186" s="107" t="str">
        <f ca="1">IFERROR(__xludf.DUMMYFUNCTION("""COMPUTED_VALUE"""),"NAS")</f>
        <v>NAS</v>
      </c>
      <c r="K186" s="40">
        <f ca="1">IFERROR(__xludf.DUMMYFUNCTION("""COMPUTED_VALUE"""),0)</f>
        <v>0</v>
      </c>
      <c r="L186" s="107" t="str">
        <f ca="1">IFERROR(__xludf.DUMMYFUNCTION("""COMPUTED_VALUE"""),"TRIMESTRE 4")</f>
        <v>TRIMESTRE 4</v>
      </c>
      <c r="M186" s="107" t="str">
        <f ca="1">IFERROR(__xludf.DUMMYFUNCTION("""COMPUTED_VALUE"""),"NIÑAS")</f>
        <v>NIÑAS</v>
      </c>
    </row>
    <row r="187" spans="1:13">
      <c r="A187" s="107" t="str">
        <f ca="1">IFERROR(__xludf.DUMMYFUNCTION("""COMPUTED_VALUE"""),"5.1.1.1")</f>
        <v>5.1.1.1</v>
      </c>
      <c r="B187" s="107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187" s="107" t="str">
        <f ca="1">IFERROR(__xludf.DUMMYFUNCTION("""COMPUTED_VALUE"""),"3. Operación")</f>
        <v>3. Operación</v>
      </c>
      <c r="D187" s="107" t="str">
        <f ca="1">IFERROR(__xludf.DUMMYFUNCTION("""COMPUTED_VALUE"""),"Guadalajara bien educada")</f>
        <v>Guadalajara bien educada</v>
      </c>
      <c r="E187" s="107" t="str">
        <f ca="1">IFERROR(__xludf.DUMMYFUNCTION("""COMPUTED_VALUE"""),"Atención en Centros de Desarrollo Infantil")</f>
        <v>Atención en Centros de Desarrollo Infantil</v>
      </c>
      <c r="F187" s="107" t="str">
        <f ca="1">IFERROR(__xludf.DUMMYFUNCTION("""COMPUTED_VALUE"""),"A1C1. Procesos de formación brindados en CDI, CEDI y CAIC de educación inicial y preescolar ")</f>
        <v xml:space="preserve">A1C1. Procesos de formación brindados en CDI, CEDI y CAIC de educación inicial y preescolar </v>
      </c>
      <c r="G187" s="107" t="str">
        <f ca="1">IFERROR(__xludf.DUMMYFUNCTION("""COMPUTED_VALUE"""),"Porcentaje de Niñas y Niños que reciben educación inicial y preescolar en CDI, CEDI y CAIC en 2024")</f>
        <v>Porcentaje de Niñas y Niños que reciben educación inicial y preescolar en CDI, CEDI y CAIC en 2024</v>
      </c>
      <c r="H187" s="107" t="str">
        <f ca="1">IFERROR(__xludf.DUMMYFUNCTION("""COMPUTED_VALUE"""),"NOS DICIEMBRE")</f>
        <v>NOS DICIEMBRE</v>
      </c>
      <c r="I187" s="107" t="str">
        <f ca="1">IFERROR(__xludf.DUMMYFUNCTION("""COMPUTED_VALUE"""),"Diciembre")</f>
        <v>Diciembre</v>
      </c>
      <c r="J187" s="107" t="str">
        <f ca="1">IFERROR(__xludf.DUMMYFUNCTION("""COMPUTED_VALUE"""),"NOS")</f>
        <v>NOS</v>
      </c>
      <c r="K187" s="40">
        <f ca="1">IFERROR(__xludf.DUMMYFUNCTION("""COMPUTED_VALUE"""),0)</f>
        <v>0</v>
      </c>
      <c r="L187" s="107" t="str">
        <f ca="1">IFERROR(__xludf.DUMMYFUNCTION("""COMPUTED_VALUE"""),"TRIMESTRE 4")</f>
        <v>TRIMESTRE 4</v>
      </c>
      <c r="M187" s="107" t="str">
        <f ca="1">IFERROR(__xludf.DUMMYFUNCTION("""COMPUTED_VALUE"""),"NIÑOS")</f>
        <v>NIÑOS</v>
      </c>
    </row>
    <row r="188" spans="1:13">
      <c r="A188" s="107" t="str">
        <f ca="1">IFERROR(__xludf.DUMMYFUNCTION("""COMPUTED_VALUE"""),"5.1.1.1")</f>
        <v>5.1.1.1</v>
      </c>
      <c r="B188" s="107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188" s="107" t="str">
        <f ca="1">IFERROR(__xludf.DUMMYFUNCTION("""COMPUTED_VALUE"""),"3. Operación")</f>
        <v>3. Operación</v>
      </c>
      <c r="D188" s="107" t="str">
        <f ca="1">IFERROR(__xludf.DUMMYFUNCTION("""COMPUTED_VALUE"""),"Guadalajara bien educada")</f>
        <v>Guadalajara bien educada</v>
      </c>
      <c r="E188" s="107" t="str">
        <f ca="1">IFERROR(__xludf.DUMMYFUNCTION("""COMPUTED_VALUE"""),"Atención en Centros de Desarrollo Infantil")</f>
        <v>Atención en Centros de Desarrollo Infantil</v>
      </c>
      <c r="F188" s="107" t="str">
        <f ca="1">IFERROR(__xludf.DUMMYFUNCTION("""COMPUTED_VALUE"""),"A1C1. Procesos de formación brindados en CDI, CEDI y CAIC de educación inicial y preescolar ")</f>
        <v xml:space="preserve">A1C1. Procesos de formación brindados en CDI, CEDI y CAIC de educación inicial y preescolar </v>
      </c>
      <c r="G188" s="107" t="str">
        <f ca="1">IFERROR(__xludf.DUMMYFUNCTION("""COMPUTED_VALUE"""),"Porcentaje de Niñas y Niños que reciben educación inicial y preescolar en CDI, CEDI y CAIC en 2024")</f>
        <v>Porcentaje de Niñas y Niños que reciben educación inicial y preescolar en CDI, CEDI y CAIC en 2024</v>
      </c>
      <c r="H188" s="107" t="str">
        <f ca="1">IFERROR(__xludf.DUMMYFUNCTION("""COMPUTED_VALUE"""),"AM DICIEMBRE")</f>
        <v>AM DICIEMBRE</v>
      </c>
      <c r="I188" s="107" t="str">
        <f ca="1">IFERROR(__xludf.DUMMYFUNCTION("""COMPUTED_VALUE"""),"Diciembre")</f>
        <v>Diciembre</v>
      </c>
      <c r="J188" s="107" t="str">
        <f ca="1">IFERROR(__xludf.DUMMYFUNCTION("""COMPUTED_VALUE"""),"AM")</f>
        <v>AM</v>
      </c>
      <c r="K188" s="40"/>
      <c r="L188" s="107" t="str">
        <f ca="1">IFERROR(__xludf.DUMMYFUNCTION("""COMPUTED_VALUE"""),"TRIMESTRE 4")</f>
        <v>TRIMESTRE 4</v>
      </c>
      <c r="M188" s="107" t="str">
        <f ca="1">IFERROR(__xludf.DUMMYFUNCTION("""COMPUTED_VALUE"""),"ADOLESCENTES MUJERES")</f>
        <v>ADOLESCENTES MUJERES</v>
      </c>
    </row>
    <row r="189" spans="1:13">
      <c r="A189" s="107" t="str">
        <f ca="1">IFERROR(__xludf.DUMMYFUNCTION("""COMPUTED_VALUE"""),"5.1.1.1")</f>
        <v>5.1.1.1</v>
      </c>
      <c r="B189" s="107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189" s="107" t="str">
        <f ca="1">IFERROR(__xludf.DUMMYFUNCTION("""COMPUTED_VALUE"""),"3. Operación")</f>
        <v>3. Operación</v>
      </c>
      <c r="D189" s="107" t="str">
        <f ca="1">IFERROR(__xludf.DUMMYFUNCTION("""COMPUTED_VALUE"""),"Guadalajara bien educada")</f>
        <v>Guadalajara bien educada</v>
      </c>
      <c r="E189" s="107" t="str">
        <f ca="1">IFERROR(__xludf.DUMMYFUNCTION("""COMPUTED_VALUE"""),"Atención en Centros de Desarrollo Infantil")</f>
        <v>Atención en Centros de Desarrollo Infantil</v>
      </c>
      <c r="F189" s="107" t="str">
        <f ca="1">IFERROR(__xludf.DUMMYFUNCTION("""COMPUTED_VALUE"""),"A1C1. Procesos de formación brindados en CDI, CEDI y CAIC de educación inicial y preescolar ")</f>
        <v xml:space="preserve">A1C1. Procesos de formación brindados en CDI, CEDI y CAIC de educación inicial y preescolar </v>
      </c>
      <c r="G189" s="107" t="str">
        <f ca="1">IFERROR(__xludf.DUMMYFUNCTION("""COMPUTED_VALUE"""),"Porcentaje de Niñas y Niños que reciben educación inicial y preescolar en CDI, CEDI y CAIC en 2024")</f>
        <v>Porcentaje de Niñas y Niños que reciben educación inicial y preescolar en CDI, CEDI y CAIC en 2024</v>
      </c>
      <c r="H189" s="107" t="str">
        <f ca="1">IFERROR(__xludf.DUMMYFUNCTION("""COMPUTED_VALUE"""),"AH DICIEMBRE")</f>
        <v>AH DICIEMBRE</v>
      </c>
      <c r="I189" s="107" t="str">
        <f ca="1">IFERROR(__xludf.DUMMYFUNCTION("""COMPUTED_VALUE"""),"Diciembre")</f>
        <v>Diciembre</v>
      </c>
      <c r="J189" s="107" t="str">
        <f ca="1">IFERROR(__xludf.DUMMYFUNCTION("""COMPUTED_VALUE"""),"AH")</f>
        <v>AH</v>
      </c>
      <c r="K189" s="40"/>
      <c r="L189" s="107" t="str">
        <f ca="1">IFERROR(__xludf.DUMMYFUNCTION("""COMPUTED_VALUE"""),"TRIMESTRE 4")</f>
        <v>TRIMESTRE 4</v>
      </c>
      <c r="M189" s="107" t="str">
        <f ca="1">IFERROR(__xludf.DUMMYFUNCTION("""COMPUTED_VALUE"""),"ADOLESCENTES HOMBRES")</f>
        <v>ADOLESCENTES HOMBRES</v>
      </c>
    </row>
    <row r="190" spans="1:13">
      <c r="A190" s="107" t="str">
        <f ca="1">IFERROR(__xludf.DUMMYFUNCTION("""COMPUTED_VALUE"""),"5.1.1.1")</f>
        <v>5.1.1.1</v>
      </c>
      <c r="B190" s="107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190" s="107" t="str">
        <f ca="1">IFERROR(__xludf.DUMMYFUNCTION("""COMPUTED_VALUE"""),"3. Operación")</f>
        <v>3. Operación</v>
      </c>
      <c r="D190" s="107" t="str">
        <f ca="1">IFERROR(__xludf.DUMMYFUNCTION("""COMPUTED_VALUE"""),"Guadalajara bien educada")</f>
        <v>Guadalajara bien educada</v>
      </c>
      <c r="E190" s="107" t="str">
        <f ca="1">IFERROR(__xludf.DUMMYFUNCTION("""COMPUTED_VALUE"""),"Atención en Centros de Desarrollo Infantil")</f>
        <v>Atención en Centros de Desarrollo Infantil</v>
      </c>
      <c r="F190" s="107" t="str">
        <f ca="1">IFERROR(__xludf.DUMMYFUNCTION("""COMPUTED_VALUE"""),"A1C1. Procesos de formación brindados en CDI, CEDI y CAIC de educación inicial y preescolar ")</f>
        <v xml:space="preserve">A1C1. Procesos de formación brindados en CDI, CEDI y CAIC de educación inicial y preescolar </v>
      </c>
      <c r="G190" s="107" t="str">
        <f ca="1">IFERROR(__xludf.DUMMYFUNCTION("""COMPUTED_VALUE"""),"Porcentaje de Niñas y Niños que reciben educación inicial y preescolar en CDI, CEDI y CAIC en 2024")</f>
        <v>Porcentaje de Niñas y Niños que reciben educación inicial y preescolar en CDI, CEDI y CAIC en 2024</v>
      </c>
      <c r="H190" s="107" t="str">
        <f ca="1">IFERROR(__xludf.DUMMYFUNCTION("""COMPUTED_VALUE"""),"MUJ DICIEMBRE")</f>
        <v>MUJ DICIEMBRE</v>
      </c>
      <c r="I190" s="107" t="str">
        <f ca="1">IFERROR(__xludf.DUMMYFUNCTION("""COMPUTED_VALUE"""),"Diciembre")</f>
        <v>Diciembre</v>
      </c>
      <c r="J190" s="107" t="str">
        <f ca="1">IFERROR(__xludf.DUMMYFUNCTION("""COMPUTED_VALUE"""),"MUJ")</f>
        <v>MUJ</v>
      </c>
      <c r="K190" s="40"/>
      <c r="L190" s="107" t="str">
        <f ca="1">IFERROR(__xludf.DUMMYFUNCTION("""COMPUTED_VALUE"""),"TRIMESTRE 4")</f>
        <v>TRIMESTRE 4</v>
      </c>
      <c r="M190" s="107" t="str">
        <f ca="1">IFERROR(__xludf.DUMMYFUNCTION("""COMPUTED_VALUE"""),"MUJERES ADULTAS")</f>
        <v>MUJERES ADULTAS</v>
      </c>
    </row>
    <row r="191" spans="1:13">
      <c r="A191" s="107" t="str">
        <f ca="1">IFERROR(__xludf.DUMMYFUNCTION("""COMPUTED_VALUE"""),"5.1.1.1")</f>
        <v>5.1.1.1</v>
      </c>
      <c r="B191" s="107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191" s="107" t="str">
        <f ca="1">IFERROR(__xludf.DUMMYFUNCTION("""COMPUTED_VALUE"""),"3. Operación")</f>
        <v>3. Operación</v>
      </c>
      <c r="D191" s="107" t="str">
        <f ca="1">IFERROR(__xludf.DUMMYFUNCTION("""COMPUTED_VALUE"""),"Guadalajara bien educada")</f>
        <v>Guadalajara bien educada</v>
      </c>
      <c r="E191" s="107" t="str">
        <f ca="1">IFERROR(__xludf.DUMMYFUNCTION("""COMPUTED_VALUE"""),"Atención en Centros de Desarrollo Infantil")</f>
        <v>Atención en Centros de Desarrollo Infantil</v>
      </c>
      <c r="F191" s="107" t="str">
        <f ca="1">IFERROR(__xludf.DUMMYFUNCTION("""COMPUTED_VALUE"""),"A1C1. Procesos de formación brindados en CDI, CEDI y CAIC de educación inicial y preescolar ")</f>
        <v xml:space="preserve">A1C1. Procesos de formación brindados en CDI, CEDI y CAIC de educación inicial y preescolar </v>
      </c>
      <c r="G191" s="107" t="str">
        <f ca="1">IFERROR(__xludf.DUMMYFUNCTION("""COMPUTED_VALUE"""),"Porcentaje de Niñas y Niños que reciben educación inicial y preescolar en CDI, CEDI y CAIC en 2024")</f>
        <v>Porcentaje de Niñas y Niños que reciben educación inicial y preescolar en CDI, CEDI y CAIC en 2024</v>
      </c>
      <c r="H191" s="107" t="str">
        <f ca="1">IFERROR(__xludf.DUMMYFUNCTION("""COMPUTED_VALUE"""),"HOM DICIEMBRE")</f>
        <v>HOM DICIEMBRE</v>
      </c>
      <c r="I191" s="107" t="str">
        <f ca="1">IFERROR(__xludf.DUMMYFUNCTION("""COMPUTED_VALUE"""),"Diciembre")</f>
        <v>Diciembre</v>
      </c>
      <c r="J191" s="107" t="str">
        <f ca="1">IFERROR(__xludf.DUMMYFUNCTION("""COMPUTED_VALUE"""),"HOM")</f>
        <v>HOM</v>
      </c>
      <c r="K191" s="40"/>
      <c r="L191" s="107" t="str">
        <f ca="1">IFERROR(__xludf.DUMMYFUNCTION("""COMPUTED_VALUE"""),"TRIMESTRE 4")</f>
        <v>TRIMESTRE 4</v>
      </c>
      <c r="M191" s="107" t="str">
        <f ca="1">IFERROR(__xludf.DUMMYFUNCTION("""COMPUTED_VALUE"""),"HOMBRES ADULTOS")</f>
        <v>HOMBRES ADULTOS</v>
      </c>
    </row>
    <row r="192" spans="1:13">
      <c r="A192" s="107" t="str">
        <f ca="1">IFERROR(__xludf.DUMMYFUNCTION("""COMPUTED_VALUE"""),"5.1.1.1")</f>
        <v>5.1.1.1</v>
      </c>
      <c r="B192" s="107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192" s="107" t="str">
        <f ca="1">IFERROR(__xludf.DUMMYFUNCTION("""COMPUTED_VALUE"""),"3. Operación")</f>
        <v>3. Operación</v>
      </c>
      <c r="D192" s="107" t="str">
        <f ca="1">IFERROR(__xludf.DUMMYFUNCTION("""COMPUTED_VALUE"""),"Guadalajara bien educada")</f>
        <v>Guadalajara bien educada</v>
      </c>
      <c r="E192" s="107" t="str">
        <f ca="1">IFERROR(__xludf.DUMMYFUNCTION("""COMPUTED_VALUE"""),"Atención en Centros de Desarrollo Infantil")</f>
        <v>Atención en Centros de Desarrollo Infantil</v>
      </c>
      <c r="F192" s="107" t="str">
        <f ca="1">IFERROR(__xludf.DUMMYFUNCTION("""COMPUTED_VALUE"""),"A1C1. Procesos de formación brindados en CDI, CEDI y CAIC de educación inicial y preescolar ")</f>
        <v xml:space="preserve">A1C1. Procesos de formación brindados en CDI, CEDI y CAIC de educación inicial y preescolar </v>
      </c>
      <c r="G192" s="107" t="str">
        <f ca="1">IFERROR(__xludf.DUMMYFUNCTION("""COMPUTED_VALUE"""),"Porcentaje de Niñas y Niños que reciben educación inicial y preescolar en CDI, CEDI y CAIC en 2024")</f>
        <v>Porcentaje de Niñas y Niños que reciben educación inicial y preescolar en CDI, CEDI y CAIC en 2024</v>
      </c>
      <c r="H192" s="107" t="str">
        <f ca="1">IFERROR(__xludf.DUMMYFUNCTION("""COMPUTED_VALUE"""),"AMM DICIEMBRE")</f>
        <v>AMM DICIEMBRE</v>
      </c>
      <c r="I192" s="107" t="str">
        <f ca="1">IFERROR(__xludf.DUMMYFUNCTION("""COMPUTED_VALUE"""),"Diciembre")</f>
        <v>Diciembre</v>
      </c>
      <c r="J192" s="107" t="str">
        <f ca="1">IFERROR(__xludf.DUMMYFUNCTION("""COMPUTED_VALUE"""),"AMM")</f>
        <v>AMM</v>
      </c>
      <c r="K192" s="40"/>
      <c r="L192" s="107" t="str">
        <f ca="1">IFERROR(__xludf.DUMMYFUNCTION("""COMPUTED_VALUE"""),"TRIMESTRE 4")</f>
        <v>TRIMESTRE 4</v>
      </c>
      <c r="M192" s="107" t="str">
        <f ca="1">IFERROR(__xludf.DUMMYFUNCTION("""COMPUTED_VALUE"""),"ADULTA MAYOR MUJER")</f>
        <v>ADULTA MAYOR MUJER</v>
      </c>
    </row>
    <row r="193" spans="1:13">
      <c r="A193" s="107" t="str">
        <f ca="1">IFERROR(__xludf.DUMMYFUNCTION("""COMPUTED_VALUE"""),"5.1.1.1")</f>
        <v>5.1.1.1</v>
      </c>
      <c r="B193" s="107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193" s="107" t="str">
        <f ca="1">IFERROR(__xludf.DUMMYFUNCTION("""COMPUTED_VALUE"""),"3. Operación")</f>
        <v>3. Operación</v>
      </c>
      <c r="D193" s="107" t="str">
        <f ca="1">IFERROR(__xludf.DUMMYFUNCTION("""COMPUTED_VALUE"""),"Guadalajara bien educada")</f>
        <v>Guadalajara bien educada</v>
      </c>
      <c r="E193" s="107" t="str">
        <f ca="1">IFERROR(__xludf.DUMMYFUNCTION("""COMPUTED_VALUE"""),"Atención en Centros de Desarrollo Infantil")</f>
        <v>Atención en Centros de Desarrollo Infantil</v>
      </c>
      <c r="F193" s="107" t="str">
        <f ca="1">IFERROR(__xludf.DUMMYFUNCTION("""COMPUTED_VALUE"""),"A1C1. Procesos de formación brindados en CDI, CEDI y CAIC de educación inicial y preescolar ")</f>
        <v xml:space="preserve">A1C1. Procesos de formación brindados en CDI, CEDI y CAIC de educación inicial y preescolar </v>
      </c>
      <c r="G193" s="107" t="str">
        <f ca="1">IFERROR(__xludf.DUMMYFUNCTION("""COMPUTED_VALUE"""),"Porcentaje de Niñas y Niños que reciben educación inicial y preescolar en CDI, CEDI y CAIC en 2024")</f>
        <v>Porcentaje de Niñas y Niños que reciben educación inicial y preescolar en CDI, CEDI y CAIC en 2024</v>
      </c>
      <c r="H193" s="107" t="str">
        <f ca="1">IFERROR(__xludf.DUMMYFUNCTION("""COMPUTED_VALUE"""),"AMH DICIEMBRE")</f>
        <v>AMH DICIEMBRE</v>
      </c>
      <c r="I193" s="107" t="str">
        <f ca="1">IFERROR(__xludf.DUMMYFUNCTION("""COMPUTED_VALUE"""),"Diciembre")</f>
        <v>Diciembre</v>
      </c>
      <c r="J193" s="107" t="str">
        <f ca="1">IFERROR(__xludf.DUMMYFUNCTION("""COMPUTED_VALUE"""),"AMH")</f>
        <v>AMH</v>
      </c>
      <c r="K193" s="40"/>
      <c r="L193" s="107" t="str">
        <f ca="1">IFERROR(__xludf.DUMMYFUNCTION("""COMPUTED_VALUE"""),"TRIMESTRE 4")</f>
        <v>TRIMESTRE 4</v>
      </c>
      <c r="M193" s="107" t="str">
        <f ca="1">IFERROR(__xludf.DUMMYFUNCTION("""COMPUTED_VALUE"""),"ADULTO MAYOR HOMBRE")</f>
        <v>ADULTO MAYOR HOMBRE</v>
      </c>
    </row>
    <row r="194" spans="1:13">
      <c r="A194" s="107" t="str">
        <f ca="1">IFERROR(__xludf.DUMMYFUNCTION("""COMPUTED_VALUE"""),"5.1.2.0")</f>
        <v>5.1.2.0</v>
      </c>
      <c r="B194" s="107" t="str">
        <f ca="1">IFERROR(__xludf.DUMMYFUNCTION("""COMPUTED_VALUE"""),"Atención Psicopedagógica Infantil/Jefatura del Departamento de CDI, CAIC  y CEDI/Dirección del Área de Centros de Atención Infantil/Coord.3. Operación")</f>
        <v>Atención Psicopedagógica Infantil/Jefatura del Departamento de CDI, CAIC  y CEDI/Dirección del Área de Centros de Atención Infantil/Coord.3. Operación</v>
      </c>
      <c r="C194" s="107" t="str">
        <f ca="1">IFERROR(__xludf.DUMMYFUNCTION("""COMPUTED_VALUE"""),"3. Operación")</f>
        <v>3. Operación</v>
      </c>
      <c r="D194" s="107" t="str">
        <f ca="1">IFERROR(__xludf.DUMMYFUNCTION("""COMPUTED_VALUE"""),"Guadalajara bien educada")</f>
        <v>Guadalajara bien educada</v>
      </c>
      <c r="E194" s="107" t="str">
        <f ca="1">IFERROR(__xludf.DUMMYFUNCTION("""COMPUTED_VALUE"""),"Atención Psicopedagógica Infantil")</f>
        <v>Atención Psicopedagógica Infantil</v>
      </c>
      <c r="F194" s="107" t="str">
        <f ca="1">IFERROR(__xludf.DUMMYFUNCTION("""COMPUTED_VALUE"""),"C2. Atenciones terapéuticas brindadas a niñas y niños con barreras de aprendizaje en el Centro de Atención Psicopedagógica Infantil")</f>
        <v>C2. Atenciones terapéuticas brindadas a niñas y niños con barreras de aprendizaje en el Centro de Atención Psicopedagógica Infantil</v>
      </c>
      <c r="G194" s="107" t="str">
        <f ca="1">IFERROR(__xludf.DUMMYFUNCTION("""COMPUTED_VALUE"""),"Promedio de personas atendidas con atención terapéutica - educativa en el Centro de Atención Psicopedagógica Infantil durante el 2024")</f>
        <v>Promedio de personas atendidas con atención terapéutica - educativa en el Centro de Atención Psicopedagógica Infantil durante el 2024</v>
      </c>
      <c r="H194" s="107" t="str">
        <f ca="1">IFERROR(__xludf.DUMMYFUNCTION("""COMPUTED_VALUE"""),"NAS enero")</f>
        <v>NAS enero</v>
      </c>
      <c r="I194" s="107" t="str">
        <f ca="1">IFERROR(__xludf.DUMMYFUNCTION("""COMPUTED_VALUE"""),"enero")</f>
        <v>enero</v>
      </c>
      <c r="J194" s="107" t="str">
        <f ca="1">IFERROR(__xludf.DUMMYFUNCTION("""COMPUTED_VALUE"""),"NAS")</f>
        <v>NAS</v>
      </c>
      <c r="K194" s="40">
        <f ca="1">IFERROR(__xludf.DUMMYFUNCTION("""COMPUTED_VALUE"""),55)</f>
        <v>55</v>
      </c>
      <c r="L194" s="107" t="str">
        <f ca="1">IFERROR(__xludf.DUMMYFUNCTION("""COMPUTED_VALUE"""),"TRIMESTRE 1")</f>
        <v>TRIMESTRE 1</v>
      </c>
      <c r="M194" s="107" t="str">
        <f ca="1">IFERROR(__xludf.DUMMYFUNCTION("""COMPUTED_VALUE"""),"NIÑAS")</f>
        <v>NIÑAS</v>
      </c>
    </row>
    <row r="195" spans="1:13">
      <c r="A195" s="107" t="str">
        <f ca="1">IFERROR(__xludf.DUMMYFUNCTION("""COMPUTED_VALUE"""),"5.1.2.0")</f>
        <v>5.1.2.0</v>
      </c>
      <c r="B195" s="107" t="str">
        <f ca="1">IFERROR(__xludf.DUMMYFUNCTION("""COMPUTED_VALUE"""),"Atención Psicopedagógica Infantil/Jefatura del Departamento de CDI, CAIC  y CEDI/Dirección del Área de Centros de Atención Infantil/Coord.3. Operación")</f>
        <v>Atención Psicopedagógica Infantil/Jefatura del Departamento de CDI, CAIC  y CEDI/Dirección del Área de Centros de Atención Infantil/Coord.3. Operación</v>
      </c>
      <c r="C195" s="107" t="str">
        <f ca="1">IFERROR(__xludf.DUMMYFUNCTION("""COMPUTED_VALUE"""),"3. Operación")</f>
        <v>3. Operación</v>
      </c>
      <c r="D195" s="107" t="str">
        <f ca="1">IFERROR(__xludf.DUMMYFUNCTION("""COMPUTED_VALUE"""),"Guadalajara bien educada")</f>
        <v>Guadalajara bien educada</v>
      </c>
      <c r="E195" s="107" t="str">
        <f ca="1">IFERROR(__xludf.DUMMYFUNCTION("""COMPUTED_VALUE"""),"Atención Psicopedagógica Infantil")</f>
        <v>Atención Psicopedagógica Infantil</v>
      </c>
      <c r="F195" s="107" t="str">
        <f ca="1">IFERROR(__xludf.DUMMYFUNCTION("""COMPUTED_VALUE"""),"C2. Atenciones terapéuticas brindadas a niñas y niños con barreras de aprendizaje en el Centro de Atención Psicopedagógica Infantil")</f>
        <v>C2. Atenciones terapéuticas brindadas a niñas y niños con barreras de aprendizaje en el Centro de Atención Psicopedagógica Infantil</v>
      </c>
      <c r="G195" s="107" t="str">
        <f ca="1">IFERROR(__xludf.DUMMYFUNCTION("""COMPUTED_VALUE"""),"Promedio de personas atendidas con atención terapéutica - educativa en el Centro de Atención Psicopedagógica Infantil durante el 2024")</f>
        <v>Promedio de personas atendidas con atención terapéutica - educativa en el Centro de Atención Psicopedagógica Infantil durante el 2024</v>
      </c>
      <c r="H195" s="107" t="str">
        <f ca="1">IFERROR(__xludf.DUMMYFUNCTION("""COMPUTED_VALUE"""),"NOS enero")</f>
        <v>NOS enero</v>
      </c>
      <c r="I195" s="107" t="str">
        <f ca="1">IFERROR(__xludf.DUMMYFUNCTION("""COMPUTED_VALUE"""),"enero")</f>
        <v>enero</v>
      </c>
      <c r="J195" s="107" t="str">
        <f ca="1">IFERROR(__xludf.DUMMYFUNCTION("""COMPUTED_VALUE"""),"NOS")</f>
        <v>NOS</v>
      </c>
      <c r="K195" s="40">
        <f ca="1">IFERROR(__xludf.DUMMYFUNCTION("""COMPUTED_VALUE"""),106)</f>
        <v>106</v>
      </c>
      <c r="L195" s="107" t="str">
        <f ca="1">IFERROR(__xludf.DUMMYFUNCTION("""COMPUTED_VALUE"""),"TRIMESTRE 1")</f>
        <v>TRIMESTRE 1</v>
      </c>
      <c r="M195" s="107" t="str">
        <f ca="1">IFERROR(__xludf.DUMMYFUNCTION("""COMPUTED_VALUE"""),"NIÑOS")</f>
        <v>NIÑOS</v>
      </c>
    </row>
    <row r="196" spans="1:13">
      <c r="A196" s="107" t="str">
        <f ca="1">IFERROR(__xludf.DUMMYFUNCTION("""COMPUTED_VALUE"""),"5.1.2.0")</f>
        <v>5.1.2.0</v>
      </c>
      <c r="B196" s="107" t="str">
        <f ca="1">IFERROR(__xludf.DUMMYFUNCTION("""COMPUTED_VALUE"""),"Atención Psicopedagógica Infantil/Jefatura del Departamento de CDI, CAIC  y CEDI/Dirección del Área de Centros de Atención Infantil/Coord.3. Operación")</f>
        <v>Atención Psicopedagógica Infantil/Jefatura del Departamento de CDI, CAIC  y CEDI/Dirección del Área de Centros de Atención Infantil/Coord.3. Operación</v>
      </c>
      <c r="C196" s="107" t="str">
        <f ca="1">IFERROR(__xludf.DUMMYFUNCTION("""COMPUTED_VALUE"""),"3. Operación")</f>
        <v>3. Operación</v>
      </c>
      <c r="D196" s="107" t="str">
        <f ca="1">IFERROR(__xludf.DUMMYFUNCTION("""COMPUTED_VALUE"""),"Guadalajara bien educada")</f>
        <v>Guadalajara bien educada</v>
      </c>
      <c r="E196" s="107" t="str">
        <f ca="1">IFERROR(__xludf.DUMMYFUNCTION("""COMPUTED_VALUE"""),"Atención Psicopedagógica Infantil")</f>
        <v>Atención Psicopedagógica Infantil</v>
      </c>
      <c r="F196" s="107" t="str">
        <f ca="1">IFERROR(__xludf.DUMMYFUNCTION("""COMPUTED_VALUE"""),"C2. Atenciones terapéuticas brindadas a niñas y niños con barreras de aprendizaje en el Centro de Atención Psicopedagógica Infantil")</f>
        <v>C2. Atenciones terapéuticas brindadas a niñas y niños con barreras de aprendizaje en el Centro de Atención Psicopedagógica Infantil</v>
      </c>
      <c r="G196" s="107" t="str">
        <f ca="1">IFERROR(__xludf.DUMMYFUNCTION("""COMPUTED_VALUE"""),"Promedio de personas atendidas con atención terapéutica - educativa en el Centro de Atención Psicopedagógica Infantil durante el 2024")</f>
        <v>Promedio de personas atendidas con atención terapéutica - educativa en el Centro de Atención Psicopedagógica Infantil durante el 2024</v>
      </c>
      <c r="H196" s="107" t="str">
        <f ca="1">IFERROR(__xludf.DUMMYFUNCTION("""COMPUTED_VALUE"""),"AM enero")</f>
        <v>AM enero</v>
      </c>
      <c r="I196" s="107" t="str">
        <f ca="1">IFERROR(__xludf.DUMMYFUNCTION("""COMPUTED_VALUE"""),"enero")</f>
        <v>enero</v>
      </c>
      <c r="J196" s="107" t="str">
        <f ca="1">IFERROR(__xludf.DUMMYFUNCTION("""COMPUTED_VALUE"""),"AM")</f>
        <v>AM</v>
      </c>
      <c r="K196" s="40">
        <f ca="1">IFERROR(__xludf.DUMMYFUNCTION("""COMPUTED_VALUE"""),0)</f>
        <v>0</v>
      </c>
      <c r="L196" s="107" t="str">
        <f ca="1">IFERROR(__xludf.DUMMYFUNCTION("""COMPUTED_VALUE"""),"TRIMESTRE 1")</f>
        <v>TRIMESTRE 1</v>
      </c>
      <c r="M196" s="107" t="str">
        <f ca="1">IFERROR(__xludf.DUMMYFUNCTION("""COMPUTED_VALUE"""),"ADOLESCENTES MUJERES")</f>
        <v>ADOLESCENTES MUJERES</v>
      </c>
    </row>
    <row r="197" spans="1:13">
      <c r="A197" s="107" t="str">
        <f ca="1">IFERROR(__xludf.DUMMYFUNCTION("""COMPUTED_VALUE"""),"5.1.2.0")</f>
        <v>5.1.2.0</v>
      </c>
      <c r="B197" s="107" t="str">
        <f ca="1">IFERROR(__xludf.DUMMYFUNCTION("""COMPUTED_VALUE"""),"Atención Psicopedagógica Infantil/Jefatura del Departamento de CDI, CAIC  y CEDI/Dirección del Área de Centros de Atención Infantil/Coord.3. Operación")</f>
        <v>Atención Psicopedagógica Infantil/Jefatura del Departamento de CDI, CAIC  y CEDI/Dirección del Área de Centros de Atención Infantil/Coord.3. Operación</v>
      </c>
      <c r="C197" s="107" t="str">
        <f ca="1">IFERROR(__xludf.DUMMYFUNCTION("""COMPUTED_VALUE"""),"3. Operación")</f>
        <v>3. Operación</v>
      </c>
      <c r="D197" s="107" t="str">
        <f ca="1">IFERROR(__xludf.DUMMYFUNCTION("""COMPUTED_VALUE"""),"Guadalajara bien educada")</f>
        <v>Guadalajara bien educada</v>
      </c>
      <c r="E197" s="107" t="str">
        <f ca="1">IFERROR(__xludf.DUMMYFUNCTION("""COMPUTED_VALUE"""),"Atención Psicopedagógica Infantil")</f>
        <v>Atención Psicopedagógica Infantil</v>
      </c>
      <c r="F197" s="107" t="str">
        <f ca="1">IFERROR(__xludf.DUMMYFUNCTION("""COMPUTED_VALUE"""),"C2. Atenciones terapéuticas brindadas a niñas y niños con barreras de aprendizaje en el Centro de Atención Psicopedagógica Infantil")</f>
        <v>C2. Atenciones terapéuticas brindadas a niñas y niños con barreras de aprendizaje en el Centro de Atención Psicopedagógica Infantil</v>
      </c>
      <c r="G197" s="107" t="str">
        <f ca="1">IFERROR(__xludf.DUMMYFUNCTION("""COMPUTED_VALUE"""),"Promedio de personas atendidas con atención terapéutica - educativa en el Centro de Atención Psicopedagógica Infantil durante el 2024")</f>
        <v>Promedio de personas atendidas con atención terapéutica - educativa en el Centro de Atención Psicopedagógica Infantil durante el 2024</v>
      </c>
      <c r="H197" s="107" t="str">
        <f ca="1">IFERROR(__xludf.DUMMYFUNCTION("""COMPUTED_VALUE"""),"AH enero")</f>
        <v>AH enero</v>
      </c>
      <c r="I197" s="107" t="str">
        <f ca="1">IFERROR(__xludf.DUMMYFUNCTION("""COMPUTED_VALUE"""),"enero")</f>
        <v>enero</v>
      </c>
      <c r="J197" s="107" t="str">
        <f ca="1">IFERROR(__xludf.DUMMYFUNCTION("""COMPUTED_VALUE"""),"AH")</f>
        <v>AH</v>
      </c>
      <c r="K197" s="40">
        <f ca="1">IFERROR(__xludf.DUMMYFUNCTION("""COMPUTED_VALUE"""),0)</f>
        <v>0</v>
      </c>
      <c r="L197" s="107" t="str">
        <f ca="1">IFERROR(__xludf.DUMMYFUNCTION("""COMPUTED_VALUE"""),"TRIMESTRE 1")</f>
        <v>TRIMESTRE 1</v>
      </c>
      <c r="M197" s="107" t="str">
        <f ca="1">IFERROR(__xludf.DUMMYFUNCTION("""COMPUTED_VALUE"""),"ADOLESCENTES HOMBRES")</f>
        <v>ADOLESCENTES HOMBRES</v>
      </c>
    </row>
    <row r="198" spans="1:13">
      <c r="A198" s="107" t="str">
        <f ca="1">IFERROR(__xludf.DUMMYFUNCTION("""COMPUTED_VALUE"""),"5.1.2.0")</f>
        <v>5.1.2.0</v>
      </c>
      <c r="B198" s="107" t="str">
        <f ca="1">IFERROR(__xludf.DUMMYFUNCTION("""COMPUTED_VALUE"""),"Atención Psicopedagógica Infantil/Jefatura del Departamento de CDI, CAIC  y CEDI/Dirección del Área de Centros de Atención Infantil/Coord.3. Operación")</f>
        <v>Atención Psicopedagógica Infantil/Jefatura del Departamento de CDI, CAIC  y CEDI/Dirección del Área de Centros de Atención Infantil/Coord.3. Operación</v>
      </c>
      <c r="C198" s="107" t="str">
        <f ca="1">IFERROR(__xludf.DUMMYFUNCTION("""COMPUTED_VALUE"""),"3. Operación")</f>
        <v>3. Operación</v>
      </c>
      <c r="D198" s="107" t="str">
        <f ca="1">IFERROR(__xludf.DUMMYFUNCTION("""COMPUTED_VALUE"""),"Guadalajara bien educada")</f>
        <v>Guadalajara bien educada</v>
      </c>
      <c r="E198" s="107" t="str">
        <f ca="1">IFERROR(__xludf.DUMMYFUNCTION("""COMPUTED_VALUE"""),"Atención Psicopedagógica Infantil")</f>
        <v>Atención Psicopedagógica Infantil</v>
      </c>
      <c r="F198" s="107" t="str">
        <f ca="1">IFERROR(__xludf.DUMMYFUNCTION("""COMPUTED_VALUE"""),"C2. Atenciones terapéuticas brindadas a niñas y niños con barreras de aprendizaje en el Centro de Atención Psicopedagógica Infantil")</f>
        <v>C2. Atenciones terapéuticas brindadas a niñas y niños con barreras de aprendizaje en el Centro de Atención Psicopedagógica Infantil</v>
      </c>
      <c r="G198" s="107" t="str">
        <f ca="1">IFERROR(__xludf.DUMMYFUNCTION("""COMPUTED_VALUE"""),"Promedio de personas atendidas con atención terapéutica - educativa en el Centro de Atención Psicopedagógica Infantil durante el 2024")</f>
        <v>Promedio de personas atendidas con atención terapéutica - educativa en el Centro de Atención Psicopedagógica Infantil durante el 2024</v>
      </c>
      <c r="H198" s="107" t="str">
        <f ca="1">IFERROR(__xludf.DUMMYFUNCTION("""COMPUTED_VALUE"""),"MUJ enero")</f>
        <v>MUJ enero</v>
      </c>
      <c r="I198" s="107" t="str">
        <f ca="1">IFERROR(__xludf.DUMMYFUNCTION("""COMPUTED_VALUE"""),"enero")</f>
        <v>enero</v>
      </c>
      <c r="J198" s="107" t="str">
        <f ca="1">IFERROR(__xludf.DUMMYFUNCTION("""COMPUTED_VALUE"""),"MUJ")</f>
        <v>MUJ</v>
      </c>
      <c r="K198" s="40"/>
      <c r="L198" s="107" t="str">
        <f ca="1">IFERROR(__xludf.DUMMYFUNCTION("""COMPUTED_VALUE"""),"TRIMESTRE 1")</f>
        <v>TRIMESTRE 1</v>
      </c>
      <c r="M198" s="107" t="str">
        <f ca="1">IFERROR(__xludf.DUMMYFUNCTION("""COMPUTED_VALUE"""),"MUJERES ADULTAS")</f>
        <v>MUJERES ADULTAS</v>
      </c>
    </row>
    <row r="199" spans="1:13">
      <c r="A199" s="107" t="str">
        <f ca="1">IFERROR(__xludf.DUMMYFUNCTION("""COMPUTED_VALUE"""),"5.1.2.0")</f>
        <v>5.1.2.0</v>
      </c>
      <c r="B199" s="107" t="str">
        <f ca="1">IFERROR(__xludf.DUMMYFUNCTION("""COMPUTED_VALUE"""),"Atención Psicopedagógica Infantil/Jefatura del Departamento de CDI, CAIC  y CEDI/Dirección del Área de Centros de Atención Infantil/Coord.3. Operación")</f>
        <v>Atención Psicopedagógica Infantil/Jefatura del Departamento de CDI, CAIC  y CEDI/Dirección del Área de Centros de Atención Infantil/Coord.3. Operación</v>
      </c>
      <c r="C199" s="107" t="str">
        <f ca="1">IFERROR(__xludf.DUMMYFUNCTION("""COMPUTED_VALUE"""),"3. Operación")</f>
        <v>3. Operación</v>
      </c>
      <c r="D199" s="107" t="str">
        <f ca="1">IFERROR(__xludf.DUMMYFUNCTION("""COMPUTED_VALUE"""),"Guadalajara bien educada")</f>
        <v>Guadalajara bien educada</v>
      </c>
      <c r="E199" s="107" t="str">
        <f ca="1">IFERROR(__xludf.DUMMYFUNCTION("""COMPUTED_VALUE"""),"Atención Psicopedagógica Infantil")</f>
        <v>Atención Psicopedagógica Infantil</v>
      </c>
      <c r="F199" s="107" t="str">
        <f ca="1">IFERROR(__xludf.DUMMYFUNCTION("""COMPUTED_VALUE"""),"C2. Atenciones terapéuticas brindadas a niñas y niños con barreras de aprendizaje en el Centro de Atención Psicopedagógica Infantil")</f>
        <v>C2. Atenciones terapéuticas brindadas a niñas y niños con barreras de aprendizaje en el Centro de Atención Psicopedagógica Infantil</v>
      </c>
      <c r="G199" s="107" t="str">
        <f ca="1">IFERROR(__xludf.DUMMYFUNCTION("""COMPUTED_VALUE"""),"Promedio de personas atendidas con atención terapéutica - educativa en el Centro de Atención Psicopedagógica Infantil durante el 2024")</f>
        <v>Promedio de personas atendidas con atención terapéutica - educativa en el Centro de Atención Psicopedagógica Infantil durante el 2024</v>
      </c>
      <c r="H199" s="107" t="str">
        <f ca="1">IFERROR(__xludf.DUMMYFUNCTION("""COMPUTED_VALUE"""),"HOM enero")</f>
        <v>HOM enero</v>
      </c>
      <c r="I199" s="107" t="str">
        <f ca="1">IFERROR(__xludf.DUMMYFUNCTION("""COMPUTED_VALUE"""),"enero")</f>
        <v>enero</v>
      </c>
      <c r="J199" s="107" t="str">
        <f ca="1">IFERROR(__xludf.DUMMYFUNCTION("""COMPUTED_VALUE"""),"HOM")</f>
        <v>HOM</v>
      </c>
      <c r="K199" s="40"/>
      <c r="L199" s="107" t="str">
        <f ca="1">IFERROR(__xludf.DUMMYFUNCTION("""COMPUTED_VALUE"""),"TRIMESTRE 1")</f>
        <v>TRIMESTRE 1</v>
      </c>
      <c r="M199" s="107" t="str">
        <f ca="1">IFERROR(__xludf.DUMMYFUNCTION("""COMPUTED_VALUE"""),"HOMBRES ADULTOS")</f>
        <v>HOMBRES ADULTOS</v>
      </c>
    </row>
    <row r="200" spans="1:13">
      <c r="A200" s="107" t="str">
        <f ca="1">IFERROR(__xludf.DUMMYFUNCTION("""COMPUTED_VALUE"""),"5.1.2.0")</f>
        <v>5.1.2.0</v>
      </c>
      <c r="B200" s="107" t="str">
        <f ca="1">IFERROR(__xludf.DUMMYFUNCTION("""COMPUTED_VALUE"""),"Atención Psicopedagógica Infantil/Jefatura del Departamento de CDI, CAIC  y CEDI/Dirección del Área de Centros de Atención Infantil/Coord.3. Operación")</f>
        <v>Atención Psicopedagógica Infantil/Jefatura del Departamento de CDI, CAIC  y CEDI/Dirección del Área de Centros de Atención Infantil/Coord.3. Operación</v>
      </c>
      <c r="C200" s="107" t="str">
        <f ca="1">IFERROR(__xludf.DUMMYFUNCTION("""COMPUTED_VALUE"""),"3. Operación")</f>
        <v>3. Operación</v>
      </c>
      <c r="D200" s="107" t="str">
        <f ca="1">IFERROR(__xludf.DUMMYFUNCTION("""COMPUTED_VALUE"""),"Guadalajara bien educada")</f>
        <v>Guadalajara bien educada</v>
      </c>
      <c r="E200" s="107" t="str">
        <f ca="1">IFERROR(__xludf.DUMMYFUNCTION("""COMPUTED_VALUE"""),"Atención Psicopedagógica Infantil")</f>
        <v>Atención Psicopedagógica Infantil</v>
      </c>
      <c r="F200" s="107" t="str">
        <f ca="1">IFERROR(__xludf.DUMMYFUNCTION("""COMPUTED_VALUE"""),"C2. Atenciones terapéuticas brindadas a niñas y niños con barreras de aprendizaje en el Centro de Atención Psicopedagógica Infantil")</f>
        <v>C2. Atenciones terapéuticas brindadas a niñas y niños con barreras de aprendizaje en el Centro de Atención Psicopedagógica Infantil</v>
      </c>
      <c r="G200" s="107" t="str">
        <f ca="1">IFERROR(__xludf.DUMMYFUNCTION("""COMPUTED_VALUE"""),"Promedio de personas atendidas con atención terapéutica - educativa en el Centro de Atención Psicopedagógica Infantil durante el 2024")</f>
        <v>Promedio de personas atendidas con atención terapéutica - educativa en el Centro de Atención Psicopedagógica Infantil durante el 2024</v>
      </c>
      <c r="H200" s="107" t="str">
        <f ca="1">IFERROR(__xludf.DUMMYFUNCTION("""COMPUTED_VALUE"""),"AMM enero")</f>
        <v>AMM enero</v>
      </c>
      <c r="I200" s="107" t="str">
        <f ca="1">IFERROR(__xludf.DUMMYFUNCTION("""COMPUTED_VALUE"""),"enero")</f>
        <v>enero</v>
      </c>
      <c r="J200" s="107" t="str">
        <f ca="1">IFERROR(__xludf.DUMMYFUNCTION("""COMPUTED_VALUE"""),"AMM")</f>
        <v>AMM</v>
      </c>
      <c r="K200" s="40"/>
      <c r="L200" s="107" t="str">
        <f ca="1">IFERROR(__xludf.DUMMYFUNCTION("""COMPUTED_VALUE"""),"TRIMESTRE 1")</f>
        <v>TRIMESTRE 1</v>
      </c>
      <c r="M200" s="107" t="str">
        <f ca="1">IFERROR(__xludf.DUMMYFUNCTION("""COMPUTED_VALUE"""),"ADULTA MAYOR MUJER")</f>
        <v>ADULTA MAYOR MUJER</v>
      </c>
    </row>
    <row r="201" spans="1:13">
      <c r="A201" s="107" t="str">
        <f ca="1">IFERROR(__xludf.DUMMYFUNCTION("""COMPUTED_VALUE"""),"5.1.2.0")</f>
        <v>5.1.2.0</v>
      </c>
      <c r="B201" s="107" t="str">
        <f ca="1">IFERROR(__xludf.DUMMYFUNCTION("""COMPUTED_VALUE"""),"Atención Psicopedagógica Infantil/Jefatura del Departamento de CDI, CAIC  y CEDI/Dirección del Área de Centros de Atención Infantil/Coord.3. Operación")</f>
        <v>Atención Psicopedagógica Infantil/Jefatura del Departamento de CDI, CAIC  y CEDI/Dirección del Área de Centros de Atención Infantil/Coord.3. Operación</v>
      </c>
      <c r="C201" s="107" t="str">
        <f ca="1">IFERROR(__xludf.DUMMYFUNCTION("""COMPUTED_VALUE"""),"3. Operación")</f>
        <v>3. Operación</v>
      </c>
      <c r="D201" s="107" t="str">
        <f ca="1">IFERROR(__xludf.DUMMYFUNCTION("""COMPUTED_VALUE"""),"Guadalajara bien educada")</f>
        <v>Guadalajara bien educada</v>
      </c>
      <c r="E201" s="107" t="str">
        <f ca="1">IFERROR(__xludf.DUMMYFUNCTION("""COMPUTED_VALUE"""),"Atención Psicopedagógica Infantil")</f>
        <v>Atención Psicopedagógica Infantil</v>
      </c>
      <c r="F201" s="107" t="str">
        <f ca="1">IFERROR(__xludf.DUMMYFUNCTION("""COMPUTED_VALUE"""),"C2. Atenciones terapéuticas brindadas a niñas y niños con barreras de aprendizaje en el Centro de Atención Psicopedagógica Infantil")</f>
        <v>C2. Atenciones terapéuticas brindadas a niñas y niños con barreras de aprendizaje en el Centro de Atención Psicopedagógica Infantil</v>
      </c>
      <c r="G201" s="107" t="str">
        <f ca="1">IFERROR(__xludf.DUMMYFUNCTION("""COMPUTED_VALUE"""),"Promedio de personas atendidas con atención terapéutica - educativa en el Centro de Atención Psicopedagógica Infantil durante el 2024")</f>
        <v>Promedio de personas atendidas con atención terapéutica - educativa en el Centro de Atención Psicopedagógica Infantil durante el 2024</v>
      </c>
      <c r="H201" s="107" t="str">
        <f ca="1">IFERROR(__xludf.DUMMYFUNCTION("""COMPUTED_VALUE"""),"AMH enero")</f>
        <v>AMH enero</v>
      </c>
      <c r="I201" s="107" t="str">
        <f ca="1">IFERROR(__xludf.DUMMYFUNCTION("""COMPUTED_VALUE"""),"enero")</f>
        <v>enero</v>
      </c>
      <c r="J201" s="107" t="str">
        <f ca="1">IFERROR(__xludf.DUMMYFUNCTION("""COMPUTED_VALUE"""),"AMH")</f>
        <v>AMH</v>
      </c>
      <c r="K201" s="40"/>
      <c r="L201" s="107" t="str">
        <f ca="1">IFERROR(__xludf.DUMMYFUNCTION("""COMPUTED_VALUE"""),"TRIMESTRE 1")</f>
        <v>TRIMESTRE 1</v>
      </c>
      <c r="M201" s="107" t="str">
        <f ca="1">IFERROR(__xludf.DUMMYFUNCTION("""COMPUTED_VALUE"""),"ADULTO MAYOR HOMBRE")</f>
        <v>ADULTO MAYOR HOMBRE</v>
      </c>
    </row>
    <row r="202" spans="1:13">
      <c r="A202" s="107" t="str">
        <f ca="1">IFERROR(__xludf.DUMMYFUNCTION("""COMPUTED_VALUE"""),"5.1.2.1")</f>
        <v>5.1.2.1</v>
      </c>
      <c r="B202" s="107" t="str">
        <f ca="1">IFERROR(__xludf.DUMMYFUNCTION("""COMPUTED_VALUE"""),"Atención Psicopedagógica Infantil/Dirección del Área de Centros de Inclusión/Dirección del Área de Centros de Inclusión/Coord.5. Inclusión")</f>
        <v>Atención Psicopedagógica Infantil/Dirección del Área de Centros de Inclusión/Dirección del Área de Centros de Inclusión/Coord.5. Inclusión</v>
      </c>
      <c r="C202" s="107" t="str">
        <f ca="1">IFERROR(__xludf.DUMMYFUNCTION("""COMPUTED_VALUE"""),"5. Inclusión")</f>
        <v>5. Inclusión</v>
      </c>
      <c r="D202" s="107" t="str">
        <f ca="1">IFERROR(__xludf.DUMMYFUNCTION("""COMPUTED_VALUE"""),"Guadalajara bien educada")</f>
        <v>Guadalajara bien educada</v>
      </c>
      <c r="E202" s="107" t="str">
        <f ca="1">IFERROR(__xludf.DUMMYFUNCTION("""COMPUTED_VALUE"""),"Atención Psicopedagógica Infantil")</f>
        <v>Atención Psicopedagógica Infantil</v>
      </c>
      <c r="F202" s="107" t="str">
        <f ca="1">IFERROR(__xludf.DUMMYFUNCTION("""COMPUTED_VALUE"""),"A1C2 Actividades de diagnóstico y valoración psicológica ejecutadas para niñas y niños que requieran atención en el CAPI")</f>
        <v>A1C2 Actividades de diagnóstico y valoración psicológica ejecutadas para niñas y niños que requieran atención en el CAPI</v>
      </c>
      <c r="G202" s="107" t="str">
        <f ca="1">IFERROR(__xludf.DUMMYFUNCTION("""COMPUTED_VALUE"""),"Porcentaje de diagnósticos y valoraciones realizados a niñas y niños que requieran atención en el CAPI en 2024")</f>
        <v>Porcentaje de diagnósticos y valoraciones realizados a niñas y niños que requieran atención en el CAPI en 2024</v>
      </c>
      <c r="H202" s="107" t="str">
        <f ca="1">IFERROR(__xludf.DUMMYFUNCTION("""COMPUTED_VALUE"""),"NAS enero")</f>
        <v>NAS enero</v>
      </c>
      <c r="I202" s="107" t="str">
        <f ca="1">IFERROR(__xludf.DUMMYFUNCTION("""COMPUTED_VALUE"""),"enero")</f>
        <v>enero</v>
      </c>
      <c r="J202" s="107" t="str">
        <f ca="1">IFERROR(__xludf.DUMMYFUNCTION("""COMPUTED_VALUE"""),"NAS")</f>
        <v>NAS</v>
      </c>
      <c r="K202" s="40">
        <f ca="1">IFERROR(__xludf.DUMMYFUNCTION("""COMPUTED_VALUE"""),4)</f>
        <v>4</v>
      </c>
      <c r="L202" s="107" t="str">
        <f ca="1">IFERROR(__xludf.DUMMYFUNCTION("""COMPUTED_VALUE"""),"TRIMESTRE 1")</f>
        <v>TRIMESTRE 1</v>
      </c>
      <c r="M202" s="107" t="str">
        <f ca="1">IFERROR(__xludf.DUMMYFUNCTION("""COMPUTED_VALUE"""),"NIÑAS")</f>
        <v>NIÑAS</v>
      </c>
    </row>
    <row r="203" spans="1:13">
      <c r="A203" s="107" t="str">
        <f ca="1">IFERROR(__xludf.DUMMYFUNCTION("""COMPUTED_VALUE"""),"5.1.2.1")</f>
        <v>5.1.2.1</v>
      </c>
      <c r="B203" s="107" t="str">
        <f ca="1">IFERROR(__xludf.DUMMYFUNCTION("""COMPUTED_VALUE"""),"Atención Psicopedagógica Infantil/Dirección del Área de Centros de Inclusión/Dirección del Área de Centros de Inclusión/Coord.5. Inclusión")</f>
        <v>Atención Psicopedagógica Infantil/Dirección del Área de Centros de Inclusión/Dirección del Área de Centros de Inclusión/Coord.5. Inclusión</v>
      </c>
      <c r="C203" s="107" t="str">
        <f ca="1">IFERROR(__xludf.DUMMYFUNCTION("""COMPUTED_VALUE"""),"5. Inclusión")</f>
        <v>5. Inclusión</v>
      </c>
      <c r="D203" s="107" t="str">
        <f ca="1">IFERROR(__xludf.DUMMYFUNCTION("""COMPUTED_VALUE"""),"Guadalajara bien educada")</f>
        <v>Guadalajara bien educada</v>
      </c>
      <c r="E203" s="107" t="str">
        <f ca="1">IFERROR(__xludf.DUMMYFUNCTION("""COMPUTED_VALUE"""),"Atención Psicopedagógica Infantil")</f>
        <v>Atención Psicopedagógica Infantil</v>
      </c>
      <c r="F203" s="107" t="str">
        <f ca="1">IFERROR(__xludf.DUMMYFUNCTION("""COMPUTED_VALUE"""),"A1C2 Actividades de diagnóstico y valoración psicológica ejecutadas para niñas y niños que requieran atención en el CAPI")</f>
        <v>A1C2 Actividades de diagnóstico y valoración psicológica ejecutadas para niñas y niños que requieran atención en el CAPI</v>
      </c>
      <c r="G203" s="107" t="str">
        <f ca="1">IFERROR(__xludf.DUMMYFUNCTION("""COMPUTED_VALUE"""),"Porcentaje de diagnósticos y valoraciones realizados a niñas y niños que requieran atención en el CAPI en 2024")</f>
        <v>Porcentaje de diagnósticos y valoraciones realizados a niñas y niños que requieran atención en el CAPI en 2024</v>
      </c>
      <c r="H203" s="107" t="str">
        <f ca="1">IFERROR(__xludf.DUMMYFUNCTION("""COMPUTED_VALUE"""),"NOS enero")</f>
        <v>NOS enero</v>
      </c>
      <c r="I203" s="107" t="str">
        <f ca="1">IFERROR(__xludf.DUMMYFUNCTION("""COMPUTED_VALUE"""),"enero")</f>
        <v>enero</v>
      </c>
      <c r="J203" s="107" t="str">
        <f ca="1">IFERROR(__xludf.DUMMYFUNCTION("""COMPUTED_VALUE"""),"NOS")</f>
        <v>NOS</v>
      </c>
      <c r="K203" s="40">
        <f ca="1">IFERROR(__xludf.DUMMYFUNCTION("""COMPUTED_VALUE"""),6)</f>
        <v>6</v>
      </c>
      <c r="L203" s="107" t="str">
        <f ca="1">IFERROR(__xludf.DUMMYFUNCTION("""COMPUTED_VALUE"""),"TRIMESTRE 1")</f>
        <v>TRIMESTRE 1</v>
      </c>
      <c r="M203" s="107" t="str">
        <f ca="1">IFERROR(__xludf.DUMMYFUNCTION("""COMPUTED_VALUE"""),"NIÑOS")</f>
        <v>NIÑOS</v>
      </c>
    </row>
    <row r="204" spans="1:13">
      <c r="A204" s="107" t="str">
        <f ca="1">IFERROR(__xludf.DUMMYFUNCTION("""COMPUTED_VALUE"""),"5.1.2.1")</f>
        <v>5.1.2.1</v>
      </c>
      <c r="B204" s="107" t="str">
        <f ca="1">IFERROR(__xludf.DUMMYFUNCTION("""COMPUTED_VALUE"""),"Atención Psicopedagógica Infantil/Dirección del Área de Centros de Inclusión/Dirección del Área de Centros de Inclusión/Coord.5. Inclusión")</f>
        <v>Atención Psicopedagógica Infantil/Dirección del Área de Centros de Inclusión/Dirección del Área de Centros de Inclusión/Coord.5. Inclusión</v>
      </c>
      <c r="C204" s="107" t="str">
        <f ca="1">IFERROR(__xludf.DUMMYFUNCTION("""COMPUTED_VALUE"""),"5. Inclusión")</f>
        <v>5. Inclusión</v>
      </c>
      <c r="D204" s="107" t="str">
        <f ca="1">IFERROR(__xludf.DUMMYFUNCTION("""COMPUTED_VALUE"""),"Guadalajara bien educada")</f>
        <v>Guadalajara bien educada</v>
      </c>
      <c r="E204" s="107" t="str">
        <f ca="1">IFERROR(__xludf.DUMMYFUNCTION("""COMPUTED_VALUE"""),"Atención Psicopedagógica Infantil")</f>
        <v>Atención Psicopedagógica Infantil</v>
      </c>
      <c r="F204" s="107" t="str">
        <f ca="1">IFERROR(__xludf.DUMMYFUNCTION("""COMPUTED_VALUE"""),"A1C2 Actividades de diagnóstico y valoración psicológica ejecutadas para niñas y niños que requieran atención en el CAPI")</f>
        <v>A1C2 Actividades de diagnóstico y valoración psicológica ejecutadas para niñas y niños que requieran atención en el CAPI</v>
      </c>
      <c r="G204" s="107" t="str">
        <f ca="1">IFERROR(__xludf.DUMMYFUNCTION("""COMPUTED_VALUE"""),"Porcentaje de diagnósticos y valoraciones realizados a niñas y niños que requieran atención en el CAPI en 2024")</f>
        <v>Porcentaje de diagnósticos y valoraciones realizados a niñas y niños que requieran atención en el CAPI en 2024</v>
      </c>
      <c r="H204" s="107" t="str">
        <f ca="1">IFERROR(__xludf.DUMMYFUNCTION("""COMPUTED_VALUE"""),"AM enero")</f>
        <v>AM enero</v>
      </c>
      <c r="I204" s="107" t="str">
        <f ca="1">IFERROR(__xludf.DUMMYFUNCTION("""COMPUTED_VALUE"""),"enero")</f>
        <v>enero</v>
      </c>
      <c r="J204" s="107" t="str">
        <f ca="1">IFERROR(__xludf.DUMMYFUNCTION("""COMPUTED_VALUE"""),"AM")</f>
        <v>AM</v>
      </c>
      <c r="K204" s="40">
        <f ca="1">IFERROR(__xludf.DUMMYFUNCTION("""COMPUTED_VALUE"""),0)</f>
        <v>0</v>
      </c>
      <c r="L204" s="107" t="str">
        <f ca="1">IFERROR(__xludf.DUMMYFUNCTION("""COMPUTED_VALUE"""),"TRIMESTRE 1")</f>
        <v>TRIMESTRE 1</v>
      </c>
      <c r="M204" s="107" t="str">
        <f ca="1">IFERROR(__xludf.DUMMYFUNCTION("""COMPUTED_VALUE"""),"ADOLESCENTES MUJERES")</f>
        <v>ADOLESCENTES MUJERES</v>
      </c>
    </row>
    <row r="205" spans="1:13">
      <c r="A205" s="107" t="str">
        <f ca="1">IFERROR(__xludf.DUMMYFUNCTION("""COMPUTED_VALUE"""),"5.1.2.1")</f>
        <v>5.1.2.1</v>
      </c>
      <c r="B205" s="107" t="str">
        <f ca="1">IFERROR(__xludf.DUMMYFUNCTION("""COMPUTED_VALUE"""),"Atención Psicopedagógica Infantil/Dirección del Área de Centros de Inclusión/Dirección del Área de Centros de Inclusión/Coord.5. Inclusión")</f>
        <v>Atención Psicopedagógica Infantil/Dirección del Área de Centros de Inclusión/Dirección del Área de Centros de Inclusión/Coord.5. Inclusión</v>
      </c>
      <c r="C205" s="107" t="str">
        <f ca="1">IFERROR(__xludf.DUMMYFUNCTION("""COMPUTED_VALUE"""),"5. Inclusión")</f>
        <v>5. Inclusión</v>
      </c>
      <c r="D205" s="107" t="str">
        <f ca="1">IFERROR(__xludf.DUMMYFUNCTION("""COMPUTED_VALUE"""),"Guadalajara bien educada")</f>
        <v>Guadalajara bien educada</v>
      </c>
      <c r="E205" s="107" t="str">
        <f ca="1">IFERROR(__xludf.DUMMYFUNCTION("""COMPUTED_VALUE"""),"Atención Psicopedagógica Infantil")</f>
        <v>Atención Psicopedagógica Infantil</v>
      </c>
      <c r="F205" s="107" t="str">
        <f ca="1">IFERROR(__xludf.DUMMYFUNCTION("""COMPUTED_VALUE"""),"A1C2 Actividades de diagnóstico y valoración psicológica ejecutadas para niñas y niños que requieran atención en el CAPI")</f>
        <v>A1C2 Actividades de diagnóstico y valoración psicológica ejecutadas para niñas y niños que requieran atención en el CAPI</v>
      </c>
      <c r="G205" s="107" t="str">
        <f ca="1">IFERROR(__xludf.DUMMYFUNCTION("""COMPUTED_VALUE"""),"Porcentaje de diagnósticos y valoraciones realizados a niñas y niños que requieran atención en el CAPI en 2024")</f>
        <v>Porcentaje de diagnósticos y valoraciones realizados a niñas y niños que requieran atención en el CAPI en 2024</v>
      </c>
      <c r="H205" s="107" t="str">
        <f ca="1">IFERROR(__xludf.DUMMYFUNCTION("""COMPUTED_VALUE"""),"AH enero")</f>
        <v>AH enero</v>
      </c>
      <c r="I205" s="107" t="str">
        <f ca="1">IFERROR(__xludf.DUMMYFUNCTION("""COMPUTED_VALUE"""),"enero")</f>
        <v>enero</v>
      </c>
      <c r="J205" s="107" t="str">
        <f ca="1">IFERROR(__xludf.DUMMYFUNCTION("""COMPUTED_VALUE"""),"AH")</f>
        <v>AH</v>
      </c>
      <c r="K205" s="40">
        <f ca="1">IFERROR(__xludf.DUMMYFUNCTION("""COMPUTED_VALUE"""),0)</f>
        <v>0</v>
      </c>
      <c r="L205" s="107" t="str">
        <f ca="1">IFERROR(__xludf.DUMMYFUNCTION("""COMPUTED_VALUE"""),"TRIMESTRE 1")</f>
        <v>TRIMESTRE 1</v>
      </c>
      <c r="M205" s="107" t="str">
        <f ca="1">IFERROR(__xludf.DUMMYFUNCTION("""COMPUTED_VALUE"""),"ADOLESCENTES HOMBRES")</f>
        <v>ADOLESCENTES HOMBRES</v>
      </c>
    </row>
    <row r="206" spans="1:13">
      <c r="A206" s="107" t="str">
        <f ca="1">IFERROR(__xludf.DUMMYFUNCTION("""COMPUTED_VALUE"""),"5.1.2.1")</f>
        <v>5.1.2.1</v>
      </c>
      <c r="B206" s="107" t="str">
        <f ca="1">IFERROR(__xludf.DUMMYFUNCTION("""COMPUTED_VALUE"""),"Atención Psicopedagógica Infantil/Dirección del Área de Centros de Inclusión/Dirección del Área de Centros de Inclusión/Coord.5. Inclusión")</f>
        <v>Atención Psicopedagógica Infantil/Dirección del Área de Centros de Inclusión/Dirección del Área de Centros de Inclusión/Coord.5. Inclusión</v>
      </c>
      <c r="C206" s="107" t="str">
        <f ca="1">IFERROR(__xludf.DUMMYFUNCTION("""COMPUTED_VALUE"""),"5. Inclusión")</f>
        <v>5. Inclusión</v>
      </c>
      <c r="D206" s="107" t="str">
        <f ca="1">IFERROR(__xludf.DUMMYFUNCTION("""COMPUTED_VALUE"""),"Guadalajara bien educada")</f>
        <v>Guadalajara bien educada</v>
      </c>
      <c r="E206" s="107" t="str">
        <f ca="1">IFERROR(__xludf.DUMMYFUNCTION("""COMPUTED_VALUE"""),"Atención Psicopedagógica Infantil")</f>
        <v>Atención Psicopedagógica Infantil</v>
      </c>
      <c r="F206" s="107" t="str">
        <f ca="1">IFERROR(__xludf.DUMMYFUNCTION("""COMPUTED_VALUE"""),"A1C2 Actividades de diagnóstico y valoración psicológica ejecutadas para niñas y niños que requieran atención en el CAPI")</f>
        <v>A1C2 Actividades de diagnóstico y valoración psicológica ejecutadas para niñas y niños que requieran atención en el CAPI</v>
      </c>
      <c r="G206" s="107" t="str">
        <f ca="1">IFERROR(__xludf.DUMMYFUNCTION("""COMPUTED_VALUE"""),"Porcentaje de diagnósticos y valoraciones realizados a niñas y niños que requieran atención en el CAPI en 2024")</f>
        <v>Porcentaje de diagnósticos y valoraciones realizados a niñas y niños que requieran atención en el CAPI en 2024</v>
      </c>
      <c r="H206" s="107" t="str">
        <f ca="1">IFERROR(__xludf.DUMMYFUNCTION("""COMPUTED_VALUE"""),"MUJ enero")</f>
        <v>MUJ enero</v>
      </c>
      <c r="I206" s="107" t="str">
        <f ca="1">IFERROR(__xludf.DUMMYFUNCTION("""COMPUTED_VALUE"""),"enero")</f>
        <v>enero</v>
      </c>
      <c r="J206" s="107" t="str">
        <f ca="1">IFERROR(__xludf.DUMMYFUNCTION("""COMPUTED_VALUE"""),"MUJ")</f>
        <v>MUJ</v>
      </c>
      <c r="K206" s="40"/>
      <c r="L206" s="107" t="str">
        <f ca="1">IFERROR(__xludf.DUMMYFUNCTION("""COMPUTED_VALUE"""),"TRIMESTRE 1")</f>
        <v>TRIMESTRE 1</v>
      </c>
      <c r="M206" s="107" t="str">
        <f ca="1">IFERROR(__xludf.DUMMYFUNCTION("""COMPUTED_VALUE"""),"MUJERES ADULTAS")</f>
        <v>MUJERES ADULTAS</v>
      </c>
    </row>
    <row r="207" spans="1:13">
      <c r="A207" s="107" t="str">
        <f ca="1">IFERROR(__xludf.DUMMYFUNCTION("""COMPUTED_VALUE"""),"5.1.2.1")</f>
        <v>5.1.2.1</v>
      </c>
      <c r="B207" s="107" t="str">
        <f ca="1">IFERROR(__xludf.DUMMYFUNCTION("""COMPUTED_VALUE"""),"Atención Psicopedagógica Infantil/Dirección del Área de Centros de Inclusión/Dirección del Área de Centros de Inclusión/Coord.5. Inclusión")</f>
        <v>Atención Psicopedagógica Infantil/Dirección del Área de Centros de Inclusión/Dirección del Área de Centros de Inclusión/Coord.5. Inclusión</v>
      </c>
      <c r="C207" s="107" t="str">
        <f ca="1">IFERROR(__xludf.DUMMYFUNCTION("""COMPUTED_VALUE"""),"5. Inclusión")</f>
        <v>5. Inclusión</v>
      </c>
      <c r="D207" s="107" t="str">
        <f ca="1">IFERROR(__xludf.DUMMYFUNCTION("""COMPUTED_VALUE"""),"Guadalajara bien educada")</f>
        <v>Guadalajara bien educada</v>
      </c>
      <c r="E207" s="107" t="str">
        <f ca="1">IFERROR(__xludf.DUMMYFUNCTION("""COMPUTED_VALUE"""),"Atención Psicopedagógica Infantil")</f>
        <v>Atención Psicopedagógica Infantil</v>
      </c>
      <c r="F207" s="107" t="str">
        <f ca="1">IFERROR(__xludf.DUMMYFUNCTION("""COMPUTED_VALUE"""),"A1C2 Actividades de diagnóstico y valoración psicológica ejecutadas para niñas y niños que requieran atención en el CAPI")</f>
        <v>A1C2 Actividades de diagnóstico y valoración psicológica ejecutadas para niñas y niños que requieran atención en el CAPI</v>
      </c>
      <c r="G207" s="107" t="str">
        <f ca="1">IFERROR(__xludf.DUMMYFUNCTION("""COMPUTED_VALUE"""),"Porcentaje de diagnósticos y valoraciones realizados a niñas y niños que requieran atención en el CAPI en 2024")</f>
        <v>Porcentaje de diagnósticos y valoraciones realizados a niñas y niños que requieran atención en el CAPI en 2024</v>
      </c>
      <c r="H207" s="107" t="str">
        <f ca="1">IFERROR(__xludf.DUMMYFUNCTION("""COMPUTED_VALUE"""),"HOM enero")</f>
        <v>HOM enero</v>
      </c>
      <c r="I207" s="107" t="str">
        <f ca="1">IFERROR(__xludf.DUMMYFUNCTION("""COMPUTED_VALUE"""),"enero")</f>
        <v>enero</v>
      </c>
      <c r="J207" s="107" t="str">
        <f ca="1">IFERROR(__xludf.DUMMYFUNCTION("""COMPUTED_VALUE"""),"HOM")</f>
        <v>HOM</v>
      </c>
      <c r="K207" s="40"/>
      <c r="L207" s="107" t="str">
        <f ca="1">IFERROR(__xludf.DUMMYFUNCTION("""COMPUTED_VALUE"""),"TRIMESTRE 1")</f>
        <v>TRIMESTRE 1</v>
      </c>
      <c r="M207" s="107" t="str">
        <f ca="1">IFERROR(__xludf.DUMMYFUNCTION("""COMPUTED_VALUE"""),"HOMBRES ADULTOS")</f>
        <v>HOMBRES ADULTOS</v>
      </c>
    </row>
    <row r="208" spans="1:13">
      <c r="A208" s="107" t="str">
        <f ca="1">IFERROR(__xludf.DUMMYFUNCTION("""COMPUTED_VALUE"""),"5.1.2.1")</f>
        <v>5.1.2.1</v>
      </c>
      <c r="B208" s="107" t="str">
        <f ca="1">IFERROR(__xludf.DUMMYFUNCTION("""COMPUTED_VALUE"""),"Atención Psicopedagógica Infantil/Dirección del Área de Centros de Inclusión/Dirección del Área de Centros de Inclusión/Coord.5. Inclusión")</f>
        <v>Atención Psicopedagógica Infantil/Dirección del Área de Centros de Inclusión/Dirección del Área de Centros de Inclusión/Coord.5. Inclusión</v>
      </c>
      <c r="C208" s="107" t="str">
        <f ca="1">IFERROR(__xludf.DUMMYFUNCTION("""COMPUTED_VALUE"""),"5. Inclusión")</f>
        <v>5. Inclusión</v>
      </c>
      <c r="D208" s="107" t="str">
        <f ca="1">IFERROR(__xludf.DUMMYFUNCTION("""COMPUTED_VALUE"""),"Guadalajara bien educada")</f>
        <v>Guadalajara bien educada</v>
      </c>
      <c r="E208" s="107" t="str">
        <f ca="1">IFERROR(__xludf.DUMMYFUNCTION("""COMPUTED_VALUE"""),"Atención Psicopedagógica Infantil")</f>
        <v>Atención Psicopedagógica Infantil</v>
      </c>
      <c r="F208" s="107" t="str">
        <f ca="1">IFERROR(__xludf.DUMMYFUNCTION("""COMPUTED_VALUE"""),"A1C2 Actividades de diagnóstico y valoración psicológica ejecutadas para niñas y niños que requieran atención en el CAPI")</f>
        <v>A1C2 Actividades de diagnóstico y valoración psicológica ejecutadas para niñas y niños que requieran atención en el CAPI</v>
      </c>
      <c r="G208" s="107" t="str">
        <f ca="1">IFERROR(__xludf.DUMMYFUNCTION("""COMPUTED_VALUE"""),"Porcentaje de diagnósticos y valoraciones realizados a niñas y niños que requieran atención en el CAPI en 2024")</f>
        <v>Porcentaje de diagnósticos y valoraciones realizados a niñas y niños que requieran atención en el CAPI en 2024</v>
      </c>
      <c r="H208" s="107" t="str">
        <f ca="1">IFERROR(__xludf.DUMMYFUNCTION("""COMPUTED_VALUE"""),"AMM enero")</f>
        <v>AMM enero</v>
      </c>
      <c r="I208" s="107" t="str">
        <f ca="1">IFERROR(__xludf.DUMMYFUNCTION("""COMPUTED_VALUE"""),"enero")</f>
        <v>enero</v>
      </c>
      <c r="J208" s="107" t="str">
        <f ca="1">IFERROR(__xludf.DUMMYFUNCTION("""COMPUTED_VALUE"""),"AMM")</f>
        <v>AMM</v>
      </c>
      <c r="K208" s="40"/>
      <c r="L208" s="107" t="str">
        <f ca="1">IFERROR(__xludf.DUMMYFUNCTION("""COMPUTED_VALUE"""),"TRIMESTRE 1")</f>
        <v>TRIMESTRE 1</v>
      </c>
      <c r="M208" s="107" t="str">
        <f ca="1">IFERROR(__xludf.DUMMYFUNCTION("""COMPUTED_VALUE"""),"ADULTA MAYOR MUJER")</f>
        <v>ADULTA MAYOR MUJER</v>
      </c>
    </row>
    <row r="209" spans="1:13">
      <c r="A209" s="107" t="str">
        <f ca="1">IFERROR(__xludf.DUMMYFUNCTION("""COMPUTED_VALUE"""),"5.1.2.1")</f>
        <v>5.1.2.1</v>
      </c>
      <c r="B209" s="107" t="str">
        <f ca="1">IFERROR(__xludf.DUMMYFUNCTION("""COMPUTED_VALUE"""),"Atención Psicopedagógica Infantil/Dirección del Área de Centros de Inclusión/Dirección del Área de Centros de Inclusión/Coord.5. Inclusión")</f>
        <v>Atención Psicopedagógica Infantil/Dirección del Área de Centros de Inclusión/Dirección del Área de Centros de Inclusión/Coord.5. Inclusión</v>
      </c>
      <c r="C209" s="107" t="str">
        <f ca="1">IFERROR(__xludf.DUMMYFUNCTION("""COMPUTED_VALUE"""),"5. Inclusión")</f>
        <v>5. Inclusión</v>
      </c>
      <c r="D209" s="107" t="str">
        <f ca="1">IFERROR(__xludf.DUMMYFUNCTION("""COMPUTED_VALUE"""),"Guadalajara bien educada")</f>
        <v>Guadalajara bien educada</v>
      </c>
      <c r="E209" s="107" t="str">
        <f ca="1">IFERROR(__xludf.DUMMYFUNCTION("""COMPUTED_VALUE"""),"Atención Psicopedagógica Infantil")</f>
        <v>Atención Psicopedagógica Infantil</v>
      </c>
      <c r="F209" s="107" t="str">
        <f ca="1">IFERROR(__xludf.DUMMYFUNCTION("""COMPUTED_VALUE"""),"A1C2 Actividades de diagnóstico y valoración psicológica ejecutadas para niñas y niños que requieran atención en el CAPI")</f>
        <v>A1C2 Actividades de diagnóstico y valoración psicológica ejecutadas para niñas y niños que requieran atención en el CAPI</v>
      </c>
      <c r="G209" s="107" t="str">
        <f ca="1">IFERROR(__xludf.DUMMYFUNCTION("""COMPUTED_VALUE"""),"Porcentaje de diagnósticos y valoraciones realizados a niñas y niños que requieran atención en el CAPI en 2024")</f>
        <v>Porcentaje de diagnósticos y valoraciones realizados a niñas y niños que requieran atención en el CAPI en 2024</v>
      </c>
      <c r="H209" s="107" t="str">
        <f ca="1">IFERROR(__xludf.DUMMYFUNCTION("""COMPUTED_VALUE"""),"AMH enero")</f>
        <v>AMH enero</v>
      </c>
      <c r="I209" s="107" t="str">
        <f ca="1">IFERROR(__xludf.DUMMYFUNCTION("""COMPUTED_VALUE"""),"enero")</f>
        <v>enero</v>
      </c>
      <c r="J209" s="107" t="str">
        <f ca="1">IFERROR(__xludf.DUMMYFUNCTION("""COMPUTED_VALUE"""),"AMH")</f>
        <v>AMH</v>
      </c>
      <c r="K209" s="40"/>
      <c r="L209" s="107" t="str">
        <f ca="1">IFERROR(__xludf.DUMMYFUNCTION("""COMPUTED_VALUE"""),"TRIMESTRE 1")</f>
        <v>TRIMESTRE 1</v>
      </c>
      <c r="M209" s="107" t="str">
        <f ca="1">IFERROR(__xludf.DUMMYFUNCTION("""COMPUTED_VALUE"""),"ADULTO MAYOR HOMBRE")</f>
        <v>ADULTO MAYOR HOMBRE</v>
      </c>
    </row>
    <row r="210" spans="1:13">
      <c r="A210" s="107" t="str">
        <f ca="1">IFERROR(__xludf.DUMMYFUNCTION("""COMPUTED_VALUE"""),"5.1.2.0")</f>
        <v>5.1.2.0</v>
      </c>
      <c r="B210" s="107" t="str">
        <f ca="1">IFERROR(__xludf.DUMMYFUNCTION("""COMPUTED_VALUE"""),"Atención Psicopedagógica Infantil/Jefatura del Departamento de CDI, CAIC  y CEDI/Dirección del Área de Centros de Atención Infantil/Coord.3. Operación")</f>
        <v>Atención Psicopedagógica Infantil/Jefatura del Departamento de CDI, CAIC  y CEDI/Dirección del Área de Centros de Atención Infantil/Coord.3. Operación</v>
      </c>
      <c r="C210" s="107" t="str">
        <f ca="1">IFERROR(__xludf.DUMMYFUNCTION("""COMPUTED_VALUE"""),"3. Operación")</f>
        <v>3. Operación</v>
      </c>
      <c r="D210" s="107" t="str">
        <f ca="1">IFERROR(__xludf.DUMMYFUNCTION("""COMPUTED_VALUE"""),"Guadalajara bien educada")</f>
        <v>Guadalajara bien educada</v>
      </c>
      <c r="E210" s="107" t="str">
        <f ca="1">IFERROR(__xludf.DUMMYFUNCTION("""COMPUTED_VALUE"""),"Atención Psicopedagógica Infantil")</f>
        <v>Atención Psicopedagógica Infantil</v>
      </c>
      <c r="F210" s="107" t="str">
        <f ca="1">IFERROR(__xludf.DUMMYFUNCTION("""COMPUTED_VALUE"""),"C2. Atenciones terapéuticas brindadas a niñas y niños con barreras de aprendizaje en el Centro de Atención Psicopedagógica Infantil")</f>
        <v>C2. Atenciones terapéuticas brindadas a niñas y niños con barreras de aprendizaje en el Centro de Atención Psicopedagógica Infantil</v>
      </c>
      <c r="G210" s="107" t="str">
        <f ca="1">IFERROR(__xludf.DUMMYFUNCTION("""COMPUTED_VALUE"""),"Promedio de personas atendidas con atención terapéutica - educativa en el Centro de Atención Psicopedagógica Infantil durante el 2024")</f>
        <v>Promedio de personas atendidas con atención terapéutica - educativa en el Centro de Atención Psicopedagógica Infantil durante el 2024</v>
      </c>
      <c r="H210" s="107" t="str">
        <f ca="1">IFERROR(__xludf.DUMMYFUNCTION("""COMPUTED_VALUE"""),"NAS febrero")</f>
        <v>NAS febrero</v>
      </c>
      <c r="I210" s="107" t="str">
        <f ca="1">IFERROR(__xludf.DUMMYFUNCTION("""COMPUTED_VALUE"""),"febrero")</f>
        <v>febrero</v>
      </c>
      <c r="J210" s="107" t="str">
        <f ca="1">IFERROR(__xludf.DUMMYFUNCTION("""COMPUTED_VALUE"""),"NAS")</f>
        <v>NAS</v>
      </c>
      <c r="K210" s="40">
        <f ca="1">IFERROR(__xludf.DUMMYFUNCTION("""COMPUTED_VALUE"""),55)</f>
        <v>55</v>
      </c>
      <c r="L210" s="107" t="str">
        <f ca="1">IFERROR(__xludf.DUMMYFUNCTION("""COMPUTED_VALUE"""),"TRIMESTRE 1")</f>
        <v>TRIMESTRE 1</v>
      </c>
      <c r="M210" s="107" t="str">
        <f ca="1">IFERROR(__xludf.DUMMYFUNCTION("""COMPUTED_VALUE"""),"NIÑAS")</f>
        <v>NIÑAS</v>
      </c>
    </row>
    <row r="211" spans="1:13">
      <c r="A211" s="107" t="str">
        <f ca="1">IFERROR(__xludf.DUMMYFUNCTION("""COMPUTED_VALUE"""),"5.1.2.0")</f>
        <v>5.1.2.0</v>
      </c>
      <c r="B211" s="107" t="str">
        <f ca="1">IFERROR(__xludf.DUMMYFUNCTION("""COMPUTED_VALUE"""),"Atención Psicopedagógica Infantil/Jefatura del Departamento de CDI, CAIC  y CEDI/Dirección del Área de Centros de Atención Infantil/Coord.3. Operación")</f>
        <v>Atención Psicopedagógica Infantil/Jefatura del Departamento de CDI, CAIC  y CEDI/Dirección del Área de Centros de Atención Infantil/Coord.3. Operación</v>
      </c>
      <c r="C211" s="107" t="str">
        <f ca="1">IFERROR(__xludf.DUMMYFUNCTION("""COMPUTED_VALUE"""),"3. Operación")</f>
        <v>3. Operación</v>
      </c>
      <c r="D211" s="107" t="str">
        <f ca="1">IFERROR(__xludf.DUMMYFUNCTION("""COMPUTED_VALUE"""),"Guadalajara bien educada")</f>
        <v>Guadalajara bien educada</v>
      </c>
      <c r="E211" s="107" t="str">
        <f ca="1">IFERROR(__xludf.DUMMYFUNCTION("""COMPUTED_VALUE"""),"Atención Psicopedagógica Infantil")</f>
        <v>Atención Psicopedagógica Infantil</v>
      </c>
      <c r="F211" s="107" t="str">
        <f ca="1">IFERROR(__xludf.DUMMYFUNCTION("""COMPUTED_VALUE"""),"C2. Atenciones terapéuticas brindadas a niñas y niños con barreras de aprendizaje en el Centro de Atención Psicopedagógica Infantil")</f>
        <v>C2. Atenciones terapéuticas brindadas a niñas y niños con barreras de aprendizaje en el Centro de Atención Psicopedagógica Infantil</v>
      </c>
      <c r="G211" s="107" t="str">
        <f ca="1">IFERROR(__xludf.DUMMYFUNCTION("""COMPUTED_VALUE"""),"Promedio de personas atendidas con atención terapéutica - educativa en el Centro de Atención Psicopedagógica Infantil durante el 2024")</f>
        <v>Promedio de personas atendidas con atención terapéutica - educativa en el Centro de Atención Psicopedagógica Infantil durante el 2024</v>
      </c>
      <c r="H211" s="107" t="str">
        <f ca="1">IFERROR(__xludf.DUMMYFUNCTION("""COMPUTED_VALUE"""),"NOS febrero")</f>
        <v>NOS febrero</v>
      </c>
      <c r="I211" s="107" t="str">
        <f ca="1">IFERROR(__xludf.DUMMYFUNCTION("""COMPUTED_VALUE"""),"febrero")</f>
        <v>febrero</v>
      </c>
      <c r="J211" s="107" t="str">
        <f ca="1">IFERROR(__xludf.DUMMYFUNCTION("""COMPUTED_VALUE"""),"NOS")</f>
        <v>NOS</v>
      </c>
      <c r="K211" s="40">
        <f ca="1">IFERROR(__xludf.DUMMYFUNCTION("""COMPUTED_VALUE"""),107)</f>
        <v>107</v>
      </c>
      <c r="L211" s="107" t="str">
        <f ca="1">IFERROR(__xludf.DUMMYFUNCTION("""COMPUTED_VALUE"""),"TRIMESTRE 1")</f>
        <v>TRIMESTRE 1</v>
      </c>
      <c r="M211" s="107" t="str">
        <f ca="1">IFERROR(__xludf.DUMMYFUNCTION("""COMPUTED_VALUE"""),"NIÑOS")</f>
        <v>NIÑOS</v>
      </c>
    </row>
    <row r="212" spans="1:13">
      <c r="A212" s="107" t="str">
        <f ca="1">IFERROR(__xludf.DUMMYFUNCTION("""COMPUTED_VALUE"""),"5.1.2.0")</f>
        <v>5.1.2.0</v>
      </c>
      <c r="B212" s="107" t="str">
        <f ca="1">IFERROR(__xludf.DUMMYFUNCTION("""COMPUTED_VALUE"""),"Atención Psicopedagógica Infantil/Jefatura del Departamento de CDI, CAIC  y CEDI/Dirección del Área de Centros de Atención Infantil/Coord.3. Operación")</f>
        <v>Atención Psicopedagógica Infantil/Jefatura del Departamento de CDI, CAIC  y CEDI/Dirección del Área de Centros de Atención Infantil/Coord.3. Operación</v>
      </c>
      <c r="C212" s="107" t="str">
        <f ca="1">IFERROR(__xludf.DUMMYFUNCTION("""COMPUTED_VALUE"""),"3. Operación")</f>
        <v>3. Operación</v>
      </c>
      <c r="D212" s="107" t="str">
        <f ca="1">IFERROR(__xludf.DUMMYFUNCTION("""COMPUTED_VALUE"""),"Guadalajara bien educada")</f>
        <v>Guadalajara bien educada</v>
      </c>
      <c r="E212" s="107" t="str">
        <f ca="1">IFERROR(__xludf.DUMMYFUNCTION("""COMPUTED_VALUE"""),"Atención Psicopedagógica Infantil")</f>
        <v>Atención Psicopedagógica Infantil</v>
      </c>
      <c r="F212" s="107" t="str">
        <f ca="1">IFERROR(__xludf.DUMMYFUNCTION("""COMPUTED_VALUE"""),"C2. Atenciones terapéuticas brindadas a niñas y niños con barreras de aprendizaje en el Centro de Atención Psicopedagógica Infantil")</f>
        <v>C2. Atenciones terapéuticas brindadas a niñas y niños con barreras de aprendizaje en el Centro de Atención Psicopedagógica Infantil</v>
      </c>
      <c r="G212" s="107" t="str">
        <f ca="1">IFERROR(__xludf.DUMMYFUNCTION("""COMPUTED_VALUE"""),"Promedio de personas atendidas con atención terapéutica - educativa en el Centro de Atención Psicopedagógica Infantil durante el 2024")</f>
        <v>Promedio de personas atendidas con atención terapéutica - educativa en el Centro de Atención Psicopedagógica Infantil durante el 2024</v>
      </c>
      <c r="H212" s="107" t="str">
        <f ca="1">IFERROR(__xludf.DUMMYFUNCTION("""COMPUTED_VALUE"""),"AM febrero")</f>
        <v>AM febrero</v>
      </c>
      <c r="I212" s="107" t="str">
        <f ca="1">IFERROR(__xludf.DUMMYFUNCTION("""COMPUTED_VALUE"""),"febrero")</f>
        <v>febrero</v>
      </c>
      <c r="J212" s="107" t="str">
        <f ca="1">IFERROR(__xludf.DUMMYFUNCTION("""COMPUTED_VALUE"""),"AM")</f>
        <v>AM</v>
      </c>
      <c r="K212" s="40">
        <f ca="1">IFERROR(__xludf.DUMMYFUNCTION("""COMPUTED_VALUE"""),0)</f>
        <v>0</v>
      </c>
      <c r="L212" s="107" t="str">
        <f ca="1">IFERROR(__xludf.DUMMYFUNCTION("""COMPUTED_VALUE"""),"TRIMESTRE 1")</f>
        <v>TRIMESTRE 1</v>
      </c>
      <c r="M212" s="107" t="str">
        <f ca="1">IFERROR(__xludf.DUMMYFUNCTION("""COMPUTED_VALUE"""),"ADOLESCENTES MUJERES")</f>
        <v>ADOLESCENTES MUJERES</v>
      </c>
    </row>
    <row r="213" spans="1:13">
      <c r="A213" s="107" t="str">
        <f ca="1">IFERROR(__xludf.DUMMYFUNCTION("""COMPUTED_VALUE"""),"5.1.2.0")</f>
        <v>5.1.2.0</v>
      </c>
      <c r="B213" s="107" t="str">
        <f ca="1">IFERROR(__xludf.DUMMYFUNCTION("""COMPUTED_VALUE"""),"Atención Psicopedagógica Infantil/Jefatura del Departamento de CDI, CAIC  y CEDI/Dirección del Área de Centros de Atención Infantil/Coord.3. Operación")</f>
        <v>Atención Psicopedagógica Infantil/Jefatura del Departamento de CDI, CAIC  y CEDI/Dirección del Área de Centros de Atención Infantil/Coord.3. Operación</v>
      </c>
      <c r="C213" s="107" t="str">
        <f ca="1">IFERROR(__xludf.DUMMYFUNCTION("""COMPUTED_VALUE"""),"3. Operación")</f>
        <v>3. Operación</v>
      </c>
      <c r="D213" s="107" t="str">
        <f ca="1">IFERROR(__xludf.DUMMYFUNCTION("""COMPUTED_VALUE"""),"Guadalajara bien educada")</f>
        <v>Guadalajara bien educada</v>
      </c>
      <c r="E213" s="107" t="str">
        <f ca="1">IFERROR(__xludf.DUMMYFUNCTION("""COMPUTED_VALUE"""),"Atención Psicopedagógica Infantil")</f>
        <v>Atención Psicopedagógica Infantil</v>
      </c>
      <c r="F213" s="107" t="str">
        <f ca="1">IFERROR(__xludf.DUMMYFUNCTION("""COMPUTED_VALUE"""),"C2. Atenciones terapéuticas brindadas a niñas y niños con barreras de aprendizaje en el Centro de Atención Psicopedagógica Infantil")</f>
        <v>C2. Atenciones terapéuticas brindadas a niñas y niños con barreras de aprendizaje en el Centro de Atención Psicopedagógica Infantil</v>
      </c>
      <c r="G213" s="107" t="str">
        <f ca="1">IFERROR(__xludf.DUMMYFUNCTION("""COMPUTED_VALUE"""),"Promedio de personas atendidas con atención terapéutica - educativa en el Centro de Atención Psicopedagógica Infantil durante el 2024")</f>
        <v>Promedio de personas atendidas con atención terapéutica - educativa en el Centro de Atención Psicopedagógica Infantil durante el 2024</v>
      </c>
      <c r="H213" s="107" t="str">
        <f ca="1">IFERROR(__xludf.DUMMYFUNCTION("""COMPUTED_VALUE"""),"AH febrero")</f>
        <v>AH febrero</v>
      </c>
      <c r="I213" s="107" t="str">
        <f ca="1">IFERROR(__xludf.DUMMYFUNCTION("""COMPUTED_VALUE"""),"febrero")</f>
        <v>febrero</v>
      </c>
      <c r="J213" s="107" t="str">
        <f ca="1">IFERROR(__xludf.DUMMYFUNCTION("""COMPUTED_VALUE"""),"AH")</f>
        <v>AH</v>
      </c>
      <c r="K213" s="40">
        <f ca="1">IFERROR(__xludf.DUMMYFUNCTION("""COMPUTED_VALUE"""),0)</f>
        <v>0</v>
      </c>
      <c r="L213" s="107" t="str">
        <f ca="1">IFERROR(__xludf.DUMMYFUNCTION("""COMPUTED_VALUE"""),"TRIMESTRE 1")</f>
        <v>TRIMESTRE 1</v>
      </c>
      <c r="M213" s="107" t="str">
        <f ca="1">IFERROR(__xludf.DUMMYFUNCTION("""COMPUTED_VALUE"""),"ADOLESCENTES HOMBRES")</f>
        <v>ADOLESCENTES HOMBRES</v>
      </c>
    </row>
    <row r="214" spans="1:13">
      <c r="A214" s="107" t="str">
        <f ca="1">IFERROR(__xludf.DUMMYFUNCTION("""COMPUTED_VALUE"""),"5.1.2.0")</f>
        <v>5.1.2.0</v>
      </c>
      <c r="B214" s="107" t="str">
        <f ca="1">IFERROR(__xludf.DUMMYFUNCTION("""COMPUTED_VALUE"""),"Atención Psicopedagógica Infantil/Jefatura del Departamento de CDI, CAIC  y CEDI/Dirección del Área de Centros de Atención Infantil/Coord.3. Operación")</f>
        <v>Atención Psicopedagógica Infantil/Jefatura del Departamento de CDI, CAIC  y CEDI/Dirección del Área de Centros de Atención Infantil/Coord.3. Operación</v>
      </c>
      <c r="C214" s="107" t="str">
        <f ca="1">IFERROR(__xludf.DUMMYFUNCTION("""COMPUTED_VALUE"""),"3. Operación")</f>
        <v>3. Operación</v>
      </c>
      <c r="D214" s="107" t="str">
        <f ca="1">IFERROR(__xludf.DUMMYFUNCTION("""COMPUTED_VALUE"""),"Guadalajara bien educada")</f>
        <v>Guadalajara bien educada</v>
      </c>
      <c r="E214" s="107" t="str">
        <f ca="1">IFERROR(__xludf.DUMMYFUNCTION("""COMPUTED_VALUE"""),"Atención Psicopedagógica Infantil")</f>
        <v>Atención Psicopedagógica Infantil</v>
      </c>
      <c r="F214" s="107" t="str">
        <f ca="1">IFERROR(__xludf.DUMMYFUNCTION("""COMPUTED_VALUE"""),"C2. Atenciones terapéuticas brindadas a niñas y niños con barreras de aprendizaje en el Centro de Atención Psicopedagógica Infantil")</f>
        <v>C2. Atenciones terapéuticas brindadas a niñas y niños con barreras de aprendizaje en el Centro de Atención Psicopedagógica Infantil</v>
      </c>
      <c r="G214" s="107" t="str">
        <f ca="1">IFERROR(__xludf.DUMMYFUNCTION("""COMPUTED_VALUE"""),"Promedio de personas atendidas con atención terapéutica - educativa en el Centro de Atención Psicopedagógica Infantil durante el 2024")</f>
        <v>Promedio de personas atendidas con atención terapéutica - educativa en el Centro de Atención Psicopedagógica Infantil durante el 2024</v>
      </c>
      <c r="H214" s="107" t="str">
        <f ca="1">IFERROR(__xludf.DUMMYFUNCTION("""COMPUTED_VALUE"""),"MUJ febrero")</f>
        <v>MUJ febrero</v>
      </c>
      <c r="I214" s="107" t="str">
        <f ca="1">IFERROR(__xludf.DUMMYFUNCTION("""COMPUTED_VALUE"""),"febrero")</f>
        <v>febrero</v>
      </c>
      <c r="J214" s="107" t="str">
        <f ca="1">IFERROR(__xludf.DUMMYFUNCTION("""COMPUTED_VALUE"""),"MUJ")</f>
        <v>MUJ</v>
      </c>
      <c r="K214" s="40"/>
      <c r="L214" s="107" t="str">
        <f ca="1">IFERROR(__xludf.DUMMYFUNCTION("""COMPUTED_VALUE"""),"TRIMESTRE 1")</f>
        <v>TRIMESTRE 1</v>
      </c>
      <c r="M214" s="107" t="str">
        <f ca="1">IFERROR(__xludf.DUMMYFUNCTION("""COMPUTED_VALUE"""),"MUJERES ADULTAS")</f>
        <v>MUJERES ADULTAS</v>
      </c>
    </row>
    <row r="215" spans="1:13">
      <c r="A215" s="107" t="str">
        <f ca="1">IFERROR(__xludf.DUMMYFUNCTION("""COMPUTED_VALUE"""),"5.1.2.0")</f>
        <v>5.1.2.0</v>
      </c>
      <c r="B215" s="107" t="str">
        <f ca="1">IFERROR(__xludf.DUMMYFUNCTION("""COMPUTED_VALUE"""),"Atención Psicopedagógica Infantil/Jefatura del Departamento de CDI, CAIC  y CEDI/Dirección del Área de Centros de Atención Infantil/Coord.3. Operación")</f>
        <v>Atención Psicopedagógica Infantil/Jefatura del Departamento de CDI, CAIC  y CEDI/Dirección del Área de Centros de Atención Infantil/Coord.3. Operación</v>
      </c>
      <c r="C215" s="107" t="str">
        <f ca="1">IFERROR(__xludf.DUMMYFUNCTION("""COMPUTED_VALUE"""),"3. Operación")</f>
        <v>3. Operación</v>
      </c>
      <c r="D215" s="107" t="str">
        <f ca="1">IFERROR(__xludf.DUMMYFUNCTION("""COMPUTED_VALUE"""),"Guadalajara bien educada")</f>
        <v>Guadalajara bien educada</v>
      </c>
      <c r="E215" s="107" t="str">
        <f ca="1">IFERROR(__xludf.DUMMYFUNCTION("""COMPUTED_VALUE"""),"Atención Psicopedagógica Infantil")</f>
        <v>Atención Psicopedagógica Infantil</v>
      </c>
      <c r="F215" s="107" t="str">
        <f ca="1">IFERROR(__xludf.DUMMYFUNCTION("""COMPUTED_VALUE"""),"C2. Atenciones terapéuticas brindadas a niñas y niños con barreras de aprendizaje en el Centro de Atención Psicopedagógica Infantil")</f>
        <v>C2. Atenciones terapéuticas brindadas a niñas y niños con barreras de aprendizaje en el Centro de Atención Psicopedagógica Infantil</v>
      </c>
      <c r="G215" s="107" t="str">
        <f ca="1">IFERROR(__xludf.DUMMYFUNCTION("""COMPUTED_VALUE"""),"Promedio de personas atendidas con atención terapéutica - educativa en el Centro de Atención Psicopedagógica Infantil durante el 2024")</f>
        <v>Promedio de personas atendidas con atención terapéutica - educativa en el Centro de Atención Psicopedagógica Infantil durante el 2024</v>
      </c>
      <c r="H215" s="107" t="str">
        <f ca="1">IFERROR(__xludf.DUMMYFUNCTION("""COMPUTED_VALUE"""),"HOM febrero")</f>
        <v>HOM febrero</v>
      </c>
      <c r="I215" s="107" t="str">
        <f ca="1">IFERROR(__xludf.DUMMYFUNCTION("""COMPUTED_VALUE"""),"febrero")</f>
        <v>febrero</v>
      </c>
      <c r="J215" s="107" t="str">
        <f ca="1">IFERROR(__xludf.DUMMYFUNCTION("""COMPUTED_VALUE"""),"HOM")</f>
        <v>HOM</v>
      </c>
      <c r="K215" s="40"/>
      <c r="L215" s="107" t="str">
        <f ca="1">IFERROR(__xludf.DUMMYFUNCTION("""COMPUTED_VALUE"""),"TRIMESTRE 1")</f>
        <v>TRIMESTRE 1</v>
      </c>
      <c r="M215" s="107" t="str">
        <f ca="1">IFERROR(__xludf.DUMMYFUNCTION("""COMPUTED_VALUE"""),"HOMBRES ADULTOS")</f>
        <v>HOMBRES ADULTOS</v>
      </c>
    </row>
    <row r="216" spans="1:13">
      <c r="A216" s="107" t="str">
        <f ca="1">IFERROR(__xludf.DUMMYFUNCTION("""COMPUTED_VALUE"""),"5.1.2.0")</f>
        <v>5.1.2.0</v>
      </c>
      <c r="B216" s="107" t="str">
        <f ca="1">IFERROR(__xludf.DUMMYFUNCTION("""COMPUTED_VALUE"""),"Atención Psicopedagógica Infantil/Jefatura del Departamento de CDI, CAIC  y CEDI/Dirección del Área de Centros de Atención Infantil/Coord.3. Operación")</f>
        <v>Atención Psicopedagógica Infantil/Jefatura del Departamento de CDI, CAIC  y CEDI/Dirección del Área de Centros de Atención Infantil/Coord.3. Operación</v>
      </c>
      <c r="C216" s="107" t="str">
        <f ca="1">IFERROR(__xludf.DUMMYFUNCTION("""COMPUTED_VALUE"""),"3. Operación")</f>
        <v>3. Operación</v>
      </c>
      <c r="D216" s="107" t="str">
        <f ca="1">IFERROR(__xludf.DUMMYFUNCTION("""COMPUTED_VALUE"""),"Guadalajara bien educada")</f>
        <v>Guadalajara bien educada</v>
      </c>
      <c r="E216" s="107" t="str">
        <f ca="1">IFERROR(__xludf.DUMMYFUNCTION("""COMPUTED_VALUE"""),"Atención Psicopedagógica Infantil")</f>
        <v>Atención Psicopedagógica Infantil</v>
      </c>
      <c r="F216" s="107" t="str">
        <f ca="1">IFERROR(__xludf.DUMMYFUNCTION("""COMPUTED_VALUE"""),"C2. Atenciones terapéuticas brindadas a niñas y niños con barreras de aprendizaje en el Centro de Atención Psicopedagógica Infantil")</f>
        <v>C2. Atenciones terapéuticas brindadas a niñas y niños con barreras de aprendizaje en el Centro de Atención Psicopedagógica Infantil</v>
      </c>
      <c r="G216" s="107" t="str">
        <f ca="1">IFERROR(__xludf.DUMMYFUNCTION("""COMPUTED_VALUE"""),"Promedio de personas atendidas con atención terapéutica - educativa en el Centro de Atención Psicopedagógica Infantil durante el 2024")</f>
        <v>Promedio de personas atendidas con atención terapéutica - educativa en el Centro de Atención Psicopedagógica Infantil durante el 2024</v>
      </c>
      <c r="H216" s="107" t="str">
        <f ca="1">IFERROR(__xludf.DUMMYFUNCTION("""COMPUTED_VALUE"""),"AMM febrero")</f>
        <v>AMM febrero</v>
      </c>
      <c r="I216" s="107" t="str">
        <f ca="1">IFERROR(__xludf.DUMMYFUNCTION("""COMPUTED_VALUE"""),"febrero")</f>
        <v>febrero</v>
      </c>
      <c r="J216" s="107" t="str">
        <f ca="1">IFERROR(__xludf.DUMMYFUNCTION("""COMPUTED_VALUE"""),"AMM")</f>
        <v>AMM</v>
      </c>
      <c r="K216" s="40"/>
      <c r="L216" s="107" t="str">
        <f ca="1">IFERROR(__xludf.DUMMYFUNCTION("""COMPUTED_VALUE"""),"TRIMESTRE 1")</f>
        <v>TRIMESTRE 1</v>
      </c>
      <c r="M216" s="107" t="str">
        <f ca="1">IFERROR(__xludf.DUMMYFUNCTION("""COMPUTED_VALUE"""),"ADULTA MAYOR MUJER")</f>
        <v>ADULTA MAYOR MUJER</v>
      </c>
    </row>
    <row r="217" spans="1:13">
      <c r="A217" s="107" t="str">
        <f ca="1">IFERROR(__xludf.DUMMYFUNCTION("""COMPUTED_VALUE"""),"5.1.2.0")</f>
        <v>5.1.2.0</v>
      </c>
      <c r="B217" s="107" t="str">
        <f ca="1">IFERROR(__xludf.DUMMYFUNCTION("""COMPUTED_VALUE"""),"Atención Psicopedagógica Infantil/Jefatura del Departamento de CDI, CAIC  y CEDI/Dirección del Área de Centros de Atención Infantil/Coord.3. Operación")</f>
        <v>Atención Psicopedagógica Infantil/Jefatura del Departamento de CDI, CAIC  y CEDI/Dirección del Área de Centros de Atención Infantil/Coord.3. Operación</v>
      </c>
      <c r="C217" s="107" t="str">
        <f ca="1">IFERROR(__xludf.DUMMYFUNCTION("""COMPUTED_VALUE"""),"3. Operación")</f>
        <v>3. Operación</v>
      </c>
      <c r="D217" s="107" t="str">
        <f ca="1">IFERROR(__xludf.DUMMYFUNCTION("""COMPUTED_VALUE"""),"Guadalajara bien educada")</f>
        <v>Guadalajara bien educada</v>
      </c>
      <c r="E217" s="107" t="str">
        <f ca="1">IFERROR(__xludf.DUMMYFUNCTION("""COMPUTED_VALUE"""),"Atención Psicopedagógica Infantil")</f>
        <v>Atención Psicopedagógica Infantil</v>
      </c>
      <c r="F217" s="107" t="str">
        <f ca="1">IFERROR(__xludf.DUMMYFUNCTION("""COMPUTED_VALUE"""),"C2. Atenciones terapéuticas brindadas a niñas y niños con barreras de aprendizaje en el Centro de Atención Psicopedagógica Infantil")</f>
        <v>C2. Atenciones terapéuticas brindadas a niñas y niños con barreras de aprendizaje en el Centro de Atención Psicopedagógica Infantil</v>
      </c>
      <c r="G217" s="107" t="str">
        <f ca="1">IFERROR(__xludf.DUMMYFUNCTION("""COMPUTED_VALUE"""),"Promedio de personas atendidas con atención terapéutica - educativa en el Centro de Atención Psicopedagógica Infantil durante el 2024")</f>
        <v>Promedio de personas atendidas con atención terapéutica - educativa en el Centro de Atención Psicopedagógica Infantil durante el 2024</v>
      </c>
      <c r="H217" s="107" t="str">
        <f ca="1">IFERROR(__xludf.DUMMYFUNCTION("""COMPUTED_VALUE"""),"AMH febrero")</f>
        <v>AMH febrero</v>
      </c>
      <c r="I217" s="107" t="str">
        <f ca="1">IFERROR(__xludf.DUMMYFUNCTION("""COMPUTED_VALUE"""),"febrero")</f>
        <v>febrero</v>
      </c>
      <c r="J217" s="107" t="str">
        <f ca="1">IFERROR(__xludf.DUMMYFUNCTION("""COMPUTED_VALUE"""),"AMH")</f>
        <v>AMH</v>
      </c>
      <c r="K217" s="40"/>
      <c r="L217" s="107" t="str">
        <f ca="1">IFERROR(__xludf.DUMMYFUNCTION("""COMPUTED_VALUE"""),"TRIMESTRE 1")</f>
        <v>TRIMESTRE 1</v>
      </c>
      <c r="M217" s="107" t="str">
        <f ca="1">IFERROR(__xludf.DUMMYFUNCTION("""COMPUTED_VALUE"""),"ADULTO MAYOR HOMBRE")</f>
        <v>ADULTO MAYOR HOMBRE</v>
      </c>
    </row>
    <row r="218" spans="1:13">
      <c r="A218" s="107" t="str">
        <f ca="1">IFERROR(__xludf.DUMMYFUNCTION("""COMPUTED_VALUE"""),"5.1.2.1")</f>
        <v>5.1.2.1</v>
      </c>
      <c r="B218" s="107" t="str">
        <f ca="1">IFERROR(__xludf.DUMMYFUNCTION("""COMPUTED_VALUE"""),"Atención Psicopedagógica Infantil/Dirección del Área de Centros de Inclusión/Dirección del Área de Centros de Inclusión/Coord.5. Inclusión")</f>
        <v>Atención Psicopedagógica Infantil/Dirección del Área de Centros de Inclusión/Dirección del Área de Centros de Inclusión/Coord.5. Inclusión</v>
      </c>
      <c r="C218" s="107" t="str">
        <f ca="1">IFERROR(__xludf.DUMMYFUNCTION("""COMPUTED_VALUE"""),"5. Inclusión")</f>
        <v>5. Inclusión</v>
      </c>
      <c r="D218" s="107" t="str">
        <f ca="1">IFERROR(__xludf.DUMMYFUNCTION("""COMPUTED_VALUE"""),"Guadalajara bien educada")</f>
        <v>Guadalajara bien educada</v>
      </c>
      <c r="E218" s="107" t="str">
        <f ca="1">IFERROR(__xludf.DUMMYFUNCTION("""COMPUTED_VALUE"""),"Atención Psicopedagógica Infantil")</f>
        <v>Atención Psicopedagógica Infantil</v>
      </c>
      <c r="F218" s="107" t="str">
        <f ca="1">IFERROR(__xludf.DUMMYFUNCTION("""COMPUTED_VALUE"""),"A1C2 Actividades de diagnóstico y valoración psicológica ejecutadas para niñas y niños que requieran atención en el CAPI")</f>
        <v>A1C2 Actividades de diagnóstico y valoración psicológica ejecutadas para niñas y niños que requieran atención en el CAPI</v>
      </c>
      <c r="G218" s="107" t="str">
        <f ca="1">IFERROR(__xludf.DUMMYFUNCTION("""COMPUTED_VALUE"""),"Porcentaje de diagnósticos y valoraciones realizados a niñas y niños que requieran atención en el CAPI en 2024")</f>
        <v>Porcentaje de diagnósticos y valoraciones realizados a niñas y niños que requieran atención en el CAPI en 2024</v>
      </c>
      <c r="H218" s="107" t="str">
        <f ca="1">IFERROR(__xludf.DUMMYFUNCTION("""COMPUTED_VALUE"""),"NAS febrero")</f>
        <v>NAS febrero</v>
      </c>
      <c r="I218" s="107" t="str">
        <f ca="1">IFERROR(__xludf.DUMMYFUNCTION("""COMPUTED_VALUE"""),"febrero")</f>
        <v>febrero</v>
      </c>
      <c r="J218" s="107" t="str">
        <f ca="1">IFERROR(__xludf.DUMMYFUNCTION("""COMPUTED_VALUE"""),"NAS")</f>
        <v>NAS</v>
      </c>
      <c r="K218" s="40">
        <f ca="1">IFERROR(__xludf.DUMMYFUNCTION("""COMPUTED_VALUE"""),5)</f>
        <v>5</v>
      </c>
      <c r="L218" s="107" t="str">
        <f ca="1">IFERROR(__xludf.DUMMYFUNCTION("""COMPUTED_VALUE"""),"TRIMESTRE 1")</f>
        <v>TRIMESTRE 1</v>
      </c>
      <c r="M218" s="107" t="str">
        <f ca="1">IFERROR(__xludf.DUMMYFUNCTION("""COMPUTED_VALUE"""),"NIÑAS")</f>
        <v>NIÑAS</v>
      </c>
    </row>
    <row r="219" spans="1:13">
      <c r="A219" s="107" t="str">
        <f ca="1">IFERROR(__xludf.DUMMYFUNCTION("""COMPUTED_VALUE"""),"5.1.2.1")</f>
        <v>5.1.2.1</v>
      </c>
      <c r="B219" s="107" t="str">
        <f ca="1">IFERROR(__xludf.DUMMYFUNCTION("""COMPUTED_VALUE"""),"Atención Psicopedagógica Infantil/Dirección del Área de Centros de Inclusión/Dirección del Área de Centros de Inclusión/Coord.5. Inclusión")</f>
        <v>Atención Psicopedagógica Infantil/Dirección del Área de Centros de Inclusión/Dirección del Área de Centros de Inclusión/Coord.5. Inclusión</v>
      </c>
      <c r="C219" s="107" t="str">
        <f ca="1">IFERROR(__xludf.DUMMYFUNCTION("""COMPUTED_VALUE"""),"5. Inclusión")</f>
        <v>5. Inclusión</v>
      </c>
      <c r="D219" s="107" t="str">
        <f ca="1">IFERROR(__xludf.DUMMYFUNCTION("""COMPUTED_VALUE"""),"Guadalajara bien educada")</f>
        <v>Guadalajara bien educada</v>
      </c>
      <c r="E219" s="107" t="str">
        <f ca="1">IFERROR(__xludf.DUMMYFUNCTION("""COMPUTED_VALUE"""),"Atención Psicopedagógica Infantil")</f>
        <v>Atención Psicopedagógica Infantil</v>
      </c>
      <c r="F219" s="107" t="str">
        <f ca="1">IFERROR(__xludf.DUMMYFUNCTION("""COMPUTED_VALUE"""),"A1C2 Actividades de diagnóstico y valoración psicológica ejecutadas para niñas y niños que requieran atención en el CAPI")</f>
        <v>A1C2 Actividades de diagnóstico y valoración psicológica ejecutadas para niñas y niños que requieran atención en el CAPI</v>
      </c>
      <c r="G219" s="107" t="str">
        <f ca="1">IFERROR(__xludf.DUMMYFUNCTION("""COMPUTED_VALUE"""),"Porcentaje de diagnósticos y valoraciones realizados a niñas y niños que requieran atención en el CAPI en 2024")</f>
        <v>Porcentaje de diagnósticos y valoraciones realizados a niñas y niños que requieran atención en el CAPI en 2024</v>
      </c>
      <c r="H219" s="107" t="str">
        <f ca="1">IFERROR(__xludf.DUMMYFUNCTION("""COMPUTED_VALUE"""),"NOS febrero")</f>
        <v>NOS febrero</v>
      </c>
      <c r="I219" s="107" t="str">
        <f ca="1">IFERROR(__xludf.DUMMYFUNCTION("""COMPUTED_VALUE"""),"febrero")</f>
        <v>febrero</v>
      </c>
      <c r="J219" s="107" t="str">
        <f ca="1">IFERROR(__xludf.DUMMYFUNCTION("""COMPUTED_VALUE"""),"NOS")</f>
        <v>NOS</v>
      </c>
      <c r="K219" s="40">
        <f ca="1">IFERROR(__xludf.DUMMYFUNCTION("""COMPUTED_VALUE"""),8)</f>
        <v>8</v>
      </c>
      <c r="L219" s="107" t="str">
        <f ca="1">IFERROR(__xludf.DUMMYFUNCTION("""COMPUTED_VALUE"""),"TRIMESTRE 1")</f>
        <v>TRIMESTRE 1</v>
      </c>
      <c r="M219" s="107" t="str">
        <f ca="1">IFERROR(__xludf.DUMMYFUNCTION("""COMPUTED_VALUE"""),"NIÑOS")</f>
        <v>NIÑOS</v>
      </c>
    </row>
    <row r="220" spans="1:13">
      <c r="A220" s="107" t="str">
        <f ca="1">IFERROR(__xludf.DUMMYFUNCTION("""COMPUTED_VALUE"""),"5.1.2.1")</f>
        <v>5.1.2.1</v>
      </c>
      <c r="B220" s="107" t="str">
        <f ca="1">IFERROR(__xludf.DUMMYFUNCTION("""COMPUTED_VALUE"""),"Atención Psicopedagógica Infantil/Dirección del Área de Centros de Inclusión/Dirección del Área de Centros de Inclusión/Coord.5. Inclusión")</f>
        <v>Atención Psicopedagógica Infantil/Dirección del Área de Centros de Inclusión/Dirección del Área de Centros de Inclusión/Coord.5. Inclusión</v>
      </c>
      <c r="C220" s="107" t="str">
        <f ca="1">IFERROR(__xludf.DUMMYFUNCTION("""COMPUTED_VALUE"""),"5. Inclusión")</f>
        <v>5. Inclusión</v>
      </c>
      <c r="D220" s="107" t="str">
        <f ca="1">IFERROR(__xludf.DUMMYFUNCTION("""COMPUTED_VALUE"""),"Guadalajara bien educada")</f>
        <v>Guadalajara bien educada</v>
      </c>
      <c r="E220" s="107" t="str">
        <f ca="1">IFERROR(__xludf.DUMMYFUNCTION("""COMPUTED_VALUE"""),"Atención Psicopedagógica Infantil")</f>
        <v>Atención Psicopedagógica Infantil</v>
      </c>
      <c r="F220" s="107" t="str">
        <f ca="1">IFERROR(__xludf.DUMMYFUNCTION("""COMPUTED_VALUE"""),"A1C2 Actividades de diagnóstico y valoración psicológica ejecutadas para niñas y niños que requieran atención en el CAPI")</f>
        <v>A1C2 Actividades de diagnóstico y valoración psicológica ejecutadas para niñas y niños que requieran atención en el CAPI</v>
      </c>
      <c r="G220" s="107" t="str">
        <f ca="1">IFERROR(__xludf.DUMMYFUNCTION("""COMPUTED_VALUE"""),"Porcentaje de diagnósticos y valoraciones realizados a niñas y niños que requieran atención en el CAPI en 2024")</f>
        <v>Porcentaje de diagnósticos y valoraciones realizados a niñas y niños que requieran atención en el CAPI en 2024</v>
      </c>
      <c r="H220" s="107" t="str">
        <f ca="1">IFERROR(__xludf.DUMMYFUNCTION("""COMPUTED_VALUE"""),"AM febrero")</f>
        <v>AM febrero</v>
      </c>
      <c r="I220" s="107" t="str">
        <f ca="1">IFERROR(__xludf.DUMMYFUNCTION("""COMPUTED_VALUE"""),"febrero")</f>
        <v>febrero</v>
      </c>
      <c r="J220" s="107" t="str">
        <f ca="1">IFERROR(__xludf.DUMMYFUNCTION("""COMPUTED_VALUE"""),"AM")</f>
        <v>AM</v>
      </c>
      <c r="K220" s="40">
        <f ca="1">IFERROR(__xludf.DUMMYFUNCTION("""COMPUTED_VALUE"""),0)</f>
        <v>0</v>
      </c>
      <c r="L220" s="107" t="str">
        <f ca="1">IFERROR(__xludf.DUMMYFUNCTION("""COMPUTED_VALUE"""),"TRIMESTRE 1")</f>
        <v>TRIMESTRE 1</v>
      </c>
      <c r="M220" s="107" t="str">
        <f ca="1">IFERROR(__xludf.DUMMYFUNCTION("""COMPUTED_VALUE"""),"ADOLESCENTES MUJERES")</f>
        <v>ADOLESCENTES MUJERES</v>
      </c>
    </row>
    <row r="221" spans="1:13">
      <c r="A221" s="107" t="str">
        <f ca="1">IFERROR(__xludf.DUMMYFUNCTION("""COMPUTED_VALUE"""),"5.1.2.1")</f>
        <v>5.1.2.1</v>
      </c>
      <c r="B221" s="107" t="str">
        <f ca="1">IFERROR(__xludf.DUMMYFUNCTION("""COMPUTED_VALUE"""),"Atención Psicopedagógica Infantil/Dirección del Área de Centros de Inclusión/Dirección del Área de Centros de Inclusión/Coord.5. Inclusión")</f>
        <v>Atención Psicopedagógica Infantil/Dirección del Área de Centros de Inclusión/Dirección del Área de Centros de Inclusión/Coord.5. Inclusión</v>
      </c>
      <c r="C221" s="107" t="str">
        <f ca="1">IFERROR(__xludf.DUMMYFUNCTION("""COMPUTED_VALUE"""),"5. Inclusión")</f>
        <v>5. Inclusión</v>
      </c>
      <c r="D221" s="107" t="str">
        <f ca="1">IFERROR(__xludf.DUMMYFUNCTION("""COMPUTED_VALUE"""),"Guadalajara bien educada")</f>
        <v>Guadalajara bien educada</v>
      </c>
      <c r="E221" s="107" t="str">
        <f ca="1">IFERROR(__xludf.DUMMYFUNCTION("""COMPUTED_VALUE"""),"Atención Psicopedagógica Infantil")</f>
        <v>Atención Psicopedagógica Infantil</v>
      </c>
      <c r="F221" s="107" t="str">
        <f ca="1">IFERROR(__xludf.DUMMYFUNCTION("""COMPUTED_VALUE"""),"A1C2 Actividades de diagnóstico y valoración psicológica ejecutadas para niñas y niños que requieran atención en el CAPI")</f>
        <v>A1C2 Actividades de diagnóstico y valoración psicológica ejecutadas para niñas y niños que requieran atención en el CAPI</v>
      </c>
      <c r="G221" s="107" t="str">
        <f ca="1">IFERROR(__xludf.DUMMYFUNCTION("""COMPUTED_VALUE"""),"Porcentaje de diagnósticos y valoraciones realizados a niñas y niños que requieran atención en el CAPI en 2024")</f>
        <v>Porcentaje de diagnósticos y valoraciones realizados a niñas y niños que requieran atención en el CAPI en 2024</v>
      </c>
      <c r="H221" s="107" t="str">
        <f ca="1">IFERROR(__xludf.DUMMYFUNCTION("""COMPUTED_VALUE"""),"AH febrero")</f>
        <v>AH febrero</v>
      </c>
      <c r="I221" s="107" t="str">
        <f ca="1">IFERROR(__xludf.DUMMYFUNCTION("""COMPUTED_VALUE"""),"febrero")</f>
        <v>febrero</v>
      </c>
      <c r="J221" s="107" t="str">
        <f ca="1">IFERROR(__xludf.DUMMYFUNCTION("""COMPUTED_VALUE"""),"AH")</f>
        <v>AH</v>
      </c>
      <c r="K221" s="40">
        <f ca="1">IFERROR(__xludf.DUMMYFUNCTION("""COMPUTED_VALUE"""),0)</f>
        <v>0</v>
      </c>
      <c r="L221" s="107" t="str">
        <f ca="1">IFERROR(__xludf.DUMMYFUNCTION("""COMPUTED_VALUE"""),"TRIMESTRE 1")</f>
        <v>TRIMESTRE 1</v>
      </c>
      <c r="M221" s="107" t="str">
        <f ca="1">IFERROR(__xludf.DUMMYFUNCTION("""COMPUTED_VALUE"""),"ADOLESCENTES HOMBRES")</f>
        <v>ADOLESCENTES HOMBRES</v>
      </c>
    </row>
    <row r="222" spans="1:13">
      <c r="A222" s="107" t="str">
        <f ca="1">IFERROR(__xludf.DUMMYFUNCTION("""COMPUTED_VALUE"""),"5.1.2.1")</f>
        <v>5.1.2.1</v>
      </c>
      <c r="B222" s="107" t="str">
        <f ca="1">IFERROR(__xludf.DUMMYFUNCTION("""COMPUTED_VALUE"""),"Atención Psicopedagógica Infantil/Dirección del Área de Centros de Inclusión/Dirección del Área de Centros de Inclusión/Coord.5. Inclusión")</f>
        <v>Atención Psicopedagógica Infantil/Dirección del Área de Centros de Inclusión/Dirección del Área de Centros de Inclusión/Coord.5. Inclusión</v>
      </c>
      <c r="C222" s="107" t="str">
        <f ca="1">IFERROR(__xludf.DUMMYFUNCTION("""COMPUTED_VALUE"""),"5. Inclusión")</f>
        <v>5. Inclusión</v>
      </c>
      <c r="D222" s="107" t="str">
        <f ca="1">IFERROR(__xludf.DUMMYFUNCTION("""COMPUTED_VALUE"""),"Guadalajara bien educada")</f>
        <v>Guadalajara bien educada</v>
      </c>
      <c r="E222" s="107" t="str">
        <f ca="1">IFERROR(__xludf.DUMMYFUNCTION("""COMPUTED_VALUE"""),"Atención Psicopedagógica Infantil")</f>
        <v>Atención Psicopedagógica Infantil</v>
      </c>
      <c r="F222" s="107" t="str">
        <f ca="1">IFERROR(__xludf.DUMMYFUNCTION("""COMPUTED_VALUE"""),"A1C2 Actividades de diagnóstico y valoración psicológica ejecutadas para niñas y niños que requieran atención en el CAPI")</f>
        <v>A1C2 Actividades de diagnóstico y valoración psicológica ejecutadas para niñas y niños que requieran atención en el CAPI</v>
      </c>
      <c r="G222" s="107" t="str">
        <f ca="1">IFERROR(__xludf.DUMMYFUNCTION("""COMPUTED_VALUE"""),"Porcentaje de diagnósticos y valoraciones realizados a niñas y niños que requieran atención en el CAPI en 2024")</f>
        <v>Porcentaje de diagnósticos y valoraciones realizados a niñas y niños que requieran atención en el CAPI en 2024</v>
      </c>
      <c r="H222" s="107" t="str">
        <f ca="1">IFERROR(__xludf.DUMMYFUNCTION("""COMPUTED_VALUE"""),"MUJ febrero")</f>
        <v>MUJ febrero</v>
      </c>
      <c r="I222" s="107" t="str">
        <f ca="1">IFERROR(__xludf.DUMMYFUNCTION("""COMPUTED_VALUE"""),"febrero")</f>
        <v>febrero</v>
      </c>
      <c r="J222" s="107" t="str">
        <f ca="1">IFERROR(__xludf.DUMMYFUNCTION("""COMPUTED_VALUE"""),"MUJ")</f>
        <v>MUJ</v>
      </c>
      <c r="K222" s="40"/>
      <c r="L222" s="107" t="str">
        <f ca="1">IFERROR(__xludf.DUMMYFUNCTION("""COMPUTED_VALUE"""),"TRIMESTRE 1")</f>
        <v>TRIMESTRE 1</v>
      </c>
      <c r="M222" s="107" t="str">
        <f ca="1">IFERROR(__xludf.DUMMYFUNCTION("""COMPUTED_VALUE"""),"MUJERES ADULTAS")</f>
        <v>MUJERES ADULTAS</v>
      </c>
    </row>
    <row r="223" spans="1:13">
      <c r="A223" s="107" t="str">
        <f ca="1">IFERROR(__xludf.DUMMYFUNCTION("""COMPUTED_VALUE"""),"5.1.2.1")</f>
        <v>5.1.2.1</v>
      </c>
      <c r="B223" s="107" t="str">
        <f ca="1">IFERROR(__xludf.DUMMYFUNCTION("""COMPUTED_VALUE"""),"Atención Psicopedagógica Infantil/Dirección del Área de Centros de Inclusión/Dirección del Área de Centros de Inclusión/Coord.5. Inclusión")</f>
        <v>Atención Psicopedagógica Infantil/Dirección del Área de Centros de Inclusión/Dirección del Área de Centros de Inclusión/Coord.5. Inclusión</v>
      </c>
      <c r="C223" s="107" t="str">
        <f ca="1">IFERROR(__xludf.DUMMYFUNCTION("""COMPUTED_VALUE"""),"5. Inclusión")</f>
        <v>5. Inclusión</v>
      </c>
      <c r="D223" s="107" t="str">
        <f ca="1">IFERROR(__xludf.DUMMYFUNCTION("""COMPUTED_VALUE"""),"Guadalajara bien educada")</f>
        <v>Guadalajara bien educada</v>
      </c>
      <c r="E223" s="107" t="str">
        <f ca="1">IFERROR(__xludf.DUMMYFUNCTION("""COMPUTED_VALUE"""),"Atención Psicopedagógica Infantil")</f>
        <v>Atención Psicopedagógica Infantil</v>
      </c>
      <c r="F223" s="107" t="str">
        <f ca="1">IFERROR(__xludf.DUMMYFUNCTION("""COMPUTED_VALUE"""),"A1C2 Actividades de diagnóstico y valoración psicológica ejecutadas para niñas y niños que requieran atención en el CAPI")</f>
        <v>A1C2 Actividades de diagnóstico y valoración psicológica ejecutadas para niñas y niños que requieran atención en el CAPI</v>
      </c>
      <c r="G223" s="107" t="str">
        <f ca="1">IFERROR(__xludf.DUMMYFUNCTION("""COMPUTED_VALUE"""),"Porcentaje de diagnósticos y valoraciones realizados a niñas y niños que requieran atención en el CAPI en 2024")</f>
        <v>Porcentaje de diagnósticos y valoraciones realizados a niñas y niños que requieran atención en el CAPI en 2024</v>
      </c>
      <c r="H223" s="107" t="str">
        <f ca="1">IFERROR(__xludf.DUMMYFUNCTION("""COMPUTED_VALUE"""),"HOM febrero")</f>
        <v>HOM febrero</v>
      </c>
      <c r="I223" s="107" t="str">
        <f ca="1">IFERROR(__xludf.DUMMYFUNCTION("""COMPUTED_VALUE"""),"febrero")</f>
        <v>febrero</v>
      </c>
      <c r="J223" s="107" t="str">
        <f ca="1">IFERROR(__xludf.DUMMYFUNCTION("""COMPUTED_VALUE"""),"HOM")</f>
        <v>HOM</v>
      </c>
      <c r="K223" s="40"/>
      <c r="L223" s="107" t="str">
        <f ca="1">IFERROR(__xludf.DUMMYFUNCTION("""COMPUTED_VALUE"""),"TRIMESTRE 1")</f>
        <v>TRIMESTRE 1</v>
      </c>
      <c r="M223" s="107" t="str">
        <f ca="1">IFERROR(__xludf.DUMMYFUNCTION("""COMPUTED_VALUE"""),"HOMBRES ADULTOS")</f>
        <v>HOMBRES ADULTOS</v>
      </c>
    </row>
    <row r="224" spans="1:13">
      <c r="A224" s="107" t="str">
        <f ca="1">IFERROR(__xludf.DUMMYFUNCTION("""COMPUTED_VALUE"""),"5.1.2.1")</f>
        <v>5.1.2.1</v>
      </c>
      <c r="B224" s="107" t="str">
        <f ca="1">IFERROR(__xludf.DUMMYFUNCTION("""COMPUTED_VALUE"""),"Atención Psicopedagógica Infantil/Dirección del Área de Centros de Inclusión/Dirección del Área de Centros de Inclusión/Coord.5. Inclusión")</f>
        <v>Atención Psicopedagógica Infantil/Dirección del Área de Centros de Inclusión/Dirección del Área de Centros de Inclusión/Coord.5. Inclusión</v>
      </c>
      <c r="C224" s="107" t="str">
        <f ca="1">IFERROR(__xludf.DUMMYFUNCTION("""COMPUTED_VALUE"""),"5. Inclusión")</f>
        <v>5. Inclusión</v>
      </c>
      <c r="D224" s="107" t="str">
        <f ca="1">IFERROR(__xludf.DUMMYFUNCTION("""COMPUTED_VALUE"""),"Guadalajara bien educada")</f>
        <v>Guadalajara bien educada</v>
      </c>
      <c r="E224" s="107" t="str">
        <f ca="1">IFERROR(__xludf.DUMMYFUNCTION("""COMPUTED_VALUE"""),"Atención Psicopedagógica Infantil")</f>
        <v>Atención Psicopedagógica Infantil</v>
      </c>
      <c r="F224" s="107" t="str">
        <f ca="1">IFERROR(__xludf.DUMMYFUNCTION("""COMPUTED_VALUE"""),"A1C2 Actividades de diagnóstico y valoración psicológica ejecutadas para niñas y niños que requieran atención en el CAPI")</f>
        <v>A1C2 Actividades de diagnóstico y valoración psicológica ejecutadas para niñas y niños que requieran atención en el CAPI</v>
      </c>
      <c r="G224" s="107" t="str">
        <f ca="1">IFERROR(__xludf.DUMMYFUNCTION("""COMPUTED_VALUE"""),"Porcentaje de diagnósticos y valoraciones realizados a niñas y niños que requieran atención en el CAPI en 2024")</f>
        <v>Porcentaje de diagnósticos y valoraciones realizados a niñas y niños que requieran atención en el CAPI en 2024</v>
      </c>
      <c r="H224" s="107" t="str">
        <f ca="1">IFERROR(__xludf.DUMMYFUNCTION("""COMPUTED_VALUE"""),"AMM febrero")</f>
        <v>AMM febrero</v>
      </c>
      <c r="I224" s="107" t="str">
        <f ca="1">IFERROR(__xludf.DUMMYFUNCTION("""COMPUTED_VALUE"""),"febrero")</f>
        <v>febrero</v>
      </c>
      <c r="J224" s="107" t="str">
        <f ca="1">IFERROR(__xludf.DUMMYFUNCTION("""COMPUTED_VALUE"""),"AMM")</f>
        <v>AMM</v>
      </c>
      <c r="K224" s="40"/>
      <c r="L224" s="107" t="str">
        <f ca="1">IFERROR(__xludf.DUMMYFUNCTION("""COMPUTED_VALUE"""),"TRIMESTRE 1")</f>
        <v>TRIMESTRE 1</v>
      </c>
      <c r="M224" s="107" t="str">
        <f ca="1">IFERROR(__xludf.DUMMYFUNCTION("""COMPUTED_VALUE"""),"ADULTA MAYOR MUJER")</f>
        <v>ADULTA MAYOR MUJER</v>
      </c>
    </row>
    <row r="225" spans="1:13">
      <c r="A225" s="107" t="str">
        <f ca="1">IFERROR(__xludf.DUMMYFUNCTION("""COMPUTED_VALUE"""),"5.1.2.1")</f>
        <v>5.1.2.1</v>
      </c>
      <c r="B225" s="107" t="str">
        <f ca="1">IFERROR(__xludf.DUMMYFUNCTION("""COMPUTED_VALUE"""),"Atención Psicopedagógica Infantil/Dirección del Área de Centros de Inclusión/Dirección del Área de Centros de Inclusión/Coord.5. Inclusión")</f>
        <v>Atención Psicopedagógica Infantil/Dirección del Área de Centros de Inclusión/Dirección del Área de Centros de Inclusión/Coord.5. Inclusión</v>
      </c>
      <c r="C225" s="107" t="str">
        <f ca="1">IFERROR(__xludf.DUMMYFUNCTION("""COMPUTED_VALUE"""),"5. Inclusión")</f>
        <v>5. Inclusión</v>
      </c>
      <c r="D225" s="107" t="str">
        <f ca="1">IFERROR(__xludf.DUMMYFUNCTION("""COMPUTED_VALUE"""),"Guadalajara bien educada")</f>
        <v>Guadalajara bien educada</v>
      </c>
      <c r="E225" s="107" t="str">
        <f ca="1">IFERROR(__xludf.DUMMYFUNCTION("""COMPUTED_VALUE"""),"Atención Psicopedagógica Infantil")</f>
        <v>Atención Psicopedagógica Infantil</v>
      </c>
      <c r="F225" s="107" t="str">
        <f ca="1">IFERROR(__xludf.DUMMYFUNCTION("""COMPUTED_VALUE"""),"A1C2 Actividades de diagnóstico y valoración psicológica ejecutadas para niñas y niños que requieran atención en el CAPI")</f>
        <v>A1C2 Actividades de diagnóstico y valoración psicológica ejecutadas para niñas y niños que requieran atención en el CAPI</v>
      </c>
      <c r="G225" s="107" t="str">
        <f ca="1">IFERROR(__xludf.DUMMYFUNCTION("""COMPUTED_VALUE"""),"Porcentaje de diagnósticos y valoraciones realizados a niñas y niños que requieran atención en el CAPI en 2024")</f>
        <v>Porcentaje de diagnósticos y valoraciones realizados a niñas y niños que requieran atención en el CAPI en 2024</v>
      </c>
      <c r="H225" s="107" t="str">
        <f ca="1">IFERROR(__xludf.DUMMYFUNCTION("""COMPUTED_VALUE"""),"AMH febrero")</f>
        <v>AMH febrero</v>
      </c>
      <c r="I225" s="107" t="str">
        <f ca="1">IFERROR(__xludf.DUMMYFUNCTION("""COMPUTED_VALUE"""),"febrero")</f>
        <v>febrero</v>
      </c>
      <c r="J225" s="107" t="str">
        <f ca="1">IFERROR(__xludf.DUMMYFUNCTION("""COMPUTED_VALUE"""),"AMH")</f>
        <v>AMH</v>
      </c>
      <c r="K225" s="40"/>
      <c r="L225" s="107" t="str">
        <f ca="1">IFERROR(__xludf.DUMMYFUNCTION("""COMPUTED_VALUE"""),"TRIMESTRE 1")</f>
        <v>TRIMESTRE 1</v>
      </c>
      <c r="M225" s="107" t="str">
        <f ca="1">IFERROR(__xludf.DUMMYFUNCTION("""COMPUTED_VALUE"""),"ADULTO MAYOR HOMBRE")</f>
        <v>ADULTO MAYOR HOMBRE</v>
      </c>
    </row>
    <row r="226" spans="1:13">
      <c r="A226" s="107" t="str">
        <f ca="1">IFERROR(__xludf.DUMMYFUNCTION("""COMPUTED_VALUE"""),"5.1.2.0")</f>
        <v>5.1.2.0</v>
      </c>
      <c r="B226" s="107" t="str">
        <f ca="1">IFERROR(__xludf.DUMMYFUNCTION("""COMPUTED_VALUE"""),"Atención Psicopedagógica Infantil/Jefatura del Departamento de CDI, CAIC  y CEDI/Dirección del Área de Centros de Atención Infantil/Coord.3. Operación")</f>
        <v>Atención Psicopedagógica Infantil/Jefatura del Departamento de CDI, CAIC  y CEDI/Dirección del Área de Centros de Atención Infantil/Coord.3. Operación</v>
      </c>
      <c r="C226" s="107" t="str">
        <f ca="1">IFERROR(__xludf.DUMMYFUNCTION("""COMPUTED_VALUE"""),"3. Operación")</f>
        <v>3. Operación</v>
      </c>
      <c r="D226" s="107" t="str">
        <f ca="1">IFERROR(__xludf.DUMMYFUNCTION("""COMPUTED_VALUE"""),"Guadalajara bien educada")</f>
        <v>Guadalajara bien educada</v>
      </c>
      <c r="E226" s="107" t="str">
        <f ca="1">IFERROR(__xludf.DUMMYFUNCTION("""COMPUTED_VALUE"""),"Atención Psicopedagógica Infantil")</f>
        <v>Atención Psicopedagógica Infantil</v>
      </c>
      <c r="F226" s="107" t="str">
        <f ca="1">IFERROR(__xludf.DUMMYFUNCTION("""COMPUTED_VALUE"""),"C2. Atenciones terapéuticas brindadas a niñas y niños con barreras de aprendizaje en el Centro de Atención Psicopedagógica Infantil")</f>
        <v>C2. Atenciones terapéuticas brindadas a niñas y niños con barreras de aprendizaje en el Centro de Atención Psicopedagógica Infantil</v>
      </c>
      <c r="G226" s="107" t="str">
        <f ca="1">IFERROR(__xludf.DUMMYFUNCTION("""COMPUTED_VALUE"""),"Promedio de personas atendidas con atención terapéutica - educativa en el Centro de Atención Psicopedagógica Infantil durante el 2024")</f>
        <v>Promedio de personas atendidas con atención terapéutica - educativa en el Centro de Atención Psicopedagógica Infantil durante el 2024</v>
      </c>
      <c r="H226" s="107" t="str">
        <f ca="1">IFERROR(__xludf.DUMMYFUNCTION("""COMPUTED_VALUE"""),"NAS marzo")</f>
        <v>NAS marzo</v>
      </c>
      <c r="I226" s="107" t="str">
        <f ca="1">IFERROR(__xludf.DUMMYFUNCTION("""COMPUTED_VALUE"""),"marzo")</f>
        <v>marzo</v>
      </c>
      <c r="J226" s="107" t="str">
        <f ca="1">IFERROR(__xludf.DUMMYFUNCTION("""COMPUTED_VALUE"""),"NAS")</f>
        <v>NAS</v>
      </c>
      <c r="K226" s="40">
        <f ca="1">IFERROR(__xludf.DUMMYFUNCTION("""COMPUTED_VALUE"""),59)</f>
        <v>59</v>
      </c>
      <c r="L226" s="107" t="str">
        <f ca="1">IFERROR(__xludf.DUMMYFUNCTION("""COMPUTED_VALUE"""),"TRIMESTRE 1")</f>
        <v>TRIMESTRE 1</v>
      </c>
      <c r="M226" s="107" t="str">
        <f ca="1">IFERROR(__xludf.DUMMYFUNCTION("""COMPUTED_VALUE"""),"NIÑAS")</f>
        <v>NIÑAS</v>
      </c>
    </row>
    <row r="227" spans="1:13">
      <c r="A227" s="107" t="str">
        <f ca="1">IFERROR(__xludf.DUMMYFUNCTION("""COMPUTED_VALUE"""),"5.1.2.0")</f>
        <v>5.1.2.0</v>
      </c>
      <c r="B227" s="107" t="str">
        <f ca="1">IFERROR(__xludf.DUMMYFUNCTION("""COMPUTED_VALUE"""),"Atención Psicopedagógica Infantil/Jefatura del Departamento de CDI, CAIC  y CEDI/Dirección del Área de Centros de Atención Infantil/Coord.3. Operación")</f>
        <v>Atención Psicopedagógica Infantil/Jefatura del Departamento de CDI, CAIC  y CEDI/Dirección del Área de Centros de Atención Infantil/Coord.3. Operación</v>
      </c>
      <c r="C227" s="107" t="str">
        <f ca="1">IFERROR(__xludf.DUMMYFUNCTION("""COMPUTED_VALUE"""),"3. Operación")</f>
        <v>3. Operación</v>
      </c>
      <c r="D227" s="107" t="str">
        <f ca="1">IFERROR(__xludf.DUMMYFUNCTION("""COMPUTED_VALUE"""),"Guadalajara bien educada")</f>
        <v>Guadalajara bien educada</v>
      </c>
      <c r="E227" s="107" t="str">
        <f ca="1">IFERROR(__xludf.DUMMYFUNCTION("""COMPUTED_VALUE"""),"Atención Psicopedagógica Infantil")</f>
        <v>Atención Psicopedagógica Infantil</v>
      </c>
      <c r="F227" s="107" t="str">
        <f ca="1">IFERROR(__xludf.DUMMYFUNCTION("""COMPUTED_VALUE"""),"C2. Atenciones terapéuticas brindadas a niñas y niños con barreras de aprendizaje en el Centro de Atención Psicopedagógica Infantil")</f>
        <v>C2. Atenciones terapéuticas brindadas a niñas y niños con barreras de aprendizaje en el Centro de Atención Psicopedagógica Infantil</v>
      </c>
      <c r="G227" s="107" t="str">
        <f ca="1">IFERROR(__xludf.DUMMYFUNCTION("""COMPUTED_VALUE"""),"Promedio de personas atendidas con atención terapéutica - educativa en el Centro de Atención Psicopedagógica Infantil durante el 2024")</f>
        <v>Promedio de personas atendidas con atención terapéutica - educativa en el Centro de Atención Psicopedagógica Infantil durante el 2024</v>
      </c>
      <c r="H227" s="107" t="str">
        <f ca="1">IFERROR(__xludf.DUMMYFUNCTION("""COMPUTED_VALUE"""),"NOS marzo")</f>
        <v>NOS marzo</v>
      </c>
      <c r="I227" s="107" t="str">
        <f ca="1">IFERROR(__xludf.DUMMYFUNCTION("""COMPUTED_VALUE"""),"marzo")</f>
        <v>marzo</v>
      </c>
      <c r="J227" s="107" t="str">
        <f ca="1">IFERROR(__xludf.DUMMYFUNCTION("""COMPUTED_VALUE"""),"NOS")</f>
        <v>NOS</v>
      </c>
      <c r="K227" s="40">
        <f ca="1">IFERROR(__xludf.DUMMYFUNCTION("""COMPUTED_VALUE"""),109)</f>
        <v>109</v>
      </c>
      <c r="L227" s="107" t="str">
        <f ca="1">IFERROR(__xludf.DUMMYFUNCTION("""COMPUTED_VALUE"""),"TRIMESTRE 1")</f>
        <v>TRIMESTRE 1</v>
      </c>
      <c r="M227" s="107" t="str">
        <f ca="1">IFERROR(__xludf.DUMMYFUNCTION("""COMPUTED_VALUE"""),"NIÑOS")</f>
        <v>NIÑOS</v>
      </c>
    </row>
    <row r="228" spans="1:13">
      <c r="A228" s="107" t="str">
        <f ca="1">IFERROR(__xludf.DUMMYFUNCTION("""COMPUTED_VALUE"""),"5.1.2.0")</f>
        <v>5.1.2.0</v>
      </c>
      <c r="B228" s="107" t="str">
        <f ca="1">IFERROR(__xludf.DUMMYFUNCTION("""COMPUTED_VALUE"""),"Atención Psicopedagógica Infantil/Jefatura del Departamento de CDI, CAIC  y CEDI/Dirección del Área de Centros de Atención Infantil/Coord.3. Operación")</f>
        <v>Atención Psicopedagógica Infantil/Jefatura del Departamento de CDI, CAIC  y CEDI/Dirección del Área de Centros de Atención Infantil/Coord.3. Operación</v>
      </c>
      <c r="C228" s="107" t="str">
        <f ca="1">IFERROR(__xludf.DUMMYFUNCTION("""COMPUTED_VALUE"""),"3. Operación")</f>
        <v>3. Operación</v>
      </c>
      <c r="D228" s="107" t="str">
        <f ca="1">IFERROR(__xludf.DUMMYFUNCTION("""COMPUTED_VALUE"""),"Guadalajara bien educada")</f>
        <v>Guadalajara bien educada</v>
      </c>
      <c r="E228" s="107" t="str">
        <f ca="1">IFERROR(__xludf.DUMMYFUNCTION("""COMPUTED_VALUE"""),"Atención Psicopedagógica Infantil")</f>
        <v>Atención Psicopedagógica Infantil</v>
      </c>
      <c r="F228" s="107" t="str">
        <f ca="1">IFERROR(__xludf.DUMMYFUNCTION("""COMPUTED_VALUE"""),"C2. Atenciones terapéuticas brindadas a niñas y niños con barreras de aprendizaje en el Centro de Atención Psicopedagógica Infantil")</f>
        <v>C2. Atenciones terapéuticas brindadas a niñas y niños con barreras de aprendizaje en el Centro de Atención Psicopedagógica Infantil</v>
      </c>
      <c r="G228" s="107" t="str">
        <f ca="1">IFERROR(__xludf.DUMMYFUNCTION("""COMPUTED_VALUE"""),"Promedio de personas atendidas con atención terapéutica - educativa en el Centro de Atención Psicopedagógica Infantil durante el 2024")</f>
        <v>Promedio de personas atendidas con atención terapéutica - educativa en el Centro de Atención Psicopedagógica Infantil durante el 2024</v>
      </c>
      <c r="H228" s="107" t="str">
        <f ca="1">IFERROR(__xludf.DUMMYFUNCTION("""COMPUTED_VALUE"""),"AM marzo")</f>
        <v>AM marzo</v>
      </c>
      <c r="I228" s="107" t="str">
        <f ca="1">IFERROR(__xludf.DUMMYFUNCTION("""COMPUTED_VALUE"""),"marzo")</f>
        <v>marzo</v>
      </c>
      <c r="J228" s="107" t="str">
        <f ca="1">IFERROR(__xludf.DUMMYFUNCTION("""COMPUTED_VALUE"""),"AM")</f>
        <v>AM</v>
      </c>
      <c r="K228" s="40">
        <f ca="1">IFERROR(__xludf.DUMMYFUNCTION("""COMPUTED_VALUE"""),0)</f>
        <v>0</v>
      </c>
      <c r="L228" s="107" t="str">
        <f ca="1">IFERROR(__xludf.DUMMYFUNCTION("""COMPUTED_VALUE"""),"TRIMESTRE 1")</f>
        <v>TRIMESTRE 1</v>
      </c>
      <c r="M228" s="107" t="str">
        <f ca="1">IFERROR(__xludf.DUMMYFUNCTION("""COMPUTED_VALUE"""),"ADOLESCENTES MUJERES")</f>
        <v>ADOLESCENTES MUJERES</v>
      </c>
    </row>
    <row r="229" spans="1:13">
      <c r="A229" s="107" t="str">
        <f ca="1">IFERROR(__xludf.DUMMYFUNCTION("""COMPUTED_VALUE"""),"5.1.2.0")</f>
        <v>5.1.2.0</v>
      </c>
      <c r="B229" s="107" t="str">
        <f ca="1">IFERROR(__xludf.DUMMYFUNCTION("""COMPUTED_VALUE"""),"Atención Psicopedagógica Infantil/Jefatura del Departamento de CDI, CAIC  y CEDI/Dirección del Área de Centros de Atención Infantil/Coord.3. Operación")</f>
        <v>Atención Psicopedagógica Infantil/Jefatura del Departamento de CDI, CAIC  y CEDI/Dirección del Área de Centros de Atención Infantil/Coord.3. Operación</v>
      </c>
      <c r="C229" s="107" t="str">
        <f ca="1">IFERROR(__xludf.DUMMYFUNCTION("""COMPUTED_VALUE"""),"3. Operación")</f>
        <v>3. Operación</v>
      </c>
      <c r="D229" s="107" t="str">
        <f ca="1">IFERROR(__xludf.DUMMYFUNCTION("""COMPUTED_VALUE"""),"Guadalajara bien educada")</f>
        <v>Guadalajara bien educada</v>
      </c>
      <c r="E229" s="107" t="str">
        <f ca="1">IFERROR(__xludf.DUMMYFUNCTION("""COMPUTED_VALUE"""),"Atención Psicopedagógica Infantil")</f>
        <v>Atención Psicopedagógica Infantil</v>
      </c>
      <c r="F229" s="107" t="str">
        <f ca="1">IFERROR(__xludf.DUMMYFUNCTION("""COMPUTED_VALUE"""),"C2. Atenciones terapéuticas brindadas a niñas y niños con barreras de aprendizaje en el Centro de Atención Psicopedagógica Infantil")</f>
        <v>C2. Atenciones terapéuticas brindadas a niñas y niños con barreras de aprendizaje en el Centro de Atención Psicopedagógica Infantil</v>
      </c>
      <c r="G229" s="107" t="str">
        <f ca="1">IFERROR(__xludf.DUMMYFUNCTION("""COMPUTED_VALUE"""),"Promedio de personas atendidas con atención terapéutica - educativa en el Centro de Atención Psicopedagógica Infantil durante el 2024")</f>
        <v>Promedio de personas atendidas con atención terapéutica - educativa en el Centro de Atención Psicopedagógica Infantil durante el 2024</v>
      </c>
      <c r="H229" s="107" t="str">
        <f ca="1">IFERROR(__xludf.DUMMYFUNCTION("""COMPUTED_VALUE"""),"AH marzo")</f>
        <v>AH marzo</v>
      </c>
      <c r="I229" s="107" t="str">
        <f ca="1">IFERROR(__xludf.DUMMYFUNCTION("""COMPUTED_VALUE"""),"marzo")</f>
        <v>marzo</v>
      </c>
      <c r="J229" s="107" t="str">
        <f ca="1">IFERROR(__xludf.DUMMYFUNCTION("""COMPUTED_VALUE"""),"AH")</f>
        <v>AH</v>
      </c>
      <c r="K229" s="40">
        <f ca="1">IFERROR(__xludf.DUMMYFUNCTION("""COMPUTED_VALUE"""),0)</f>
        <v>0</v>
      </c>
      <c r="L229" s="107" t="str">
        <f ca="1">IFERROR(__xludf.DUMMYFUNCTION("""COMPUTED_VALUE"""),"TRIMESTRE 1")</f>
        <v>TRIMESTRE 1</v>
      </c>
      <c r="M229" s="107" t="str">
        <f ca="1">IFERROR(__xludf.DUMMYFUNCTION("""COMPUTED_VALUE"""),"ADOLESCENTES HOMBRES")</f>
        <v>ADOLESCENTES HOMBRES</v>
      </c>
    </row>
    <row r="230" spans="1:13">
      <c r="A230" s="107" t="str">
        <f ca="1">IFERROR(__xludf.DUMMYFUNCTION("""COMPUTED_VALUE"""),"5.1.2.0")</f>
        <v>5.1.2.0</v>
      </c>
      <c r="B230" s="107" t="str">
        <f ca="1">IFERROR(__xludf.DUMMYFUNCTION("""COMPUTED_VALUE"""),"Atención Psicopedagógica Infantil/Jefatura del Departamento de CDI, CAIC  y CEDI/Dirección del Área de Centros de Atención Infantil/Coord.3. Operación")</f>
        <v>Atención Psicopedagógica Infantil/Jefatura del Departamento de CDI, CAIC  y CEDI/Dirección del Área de Centros de Atención Infantil/Coord.3. Operación</v>
      </c>
      <c r="C230" s="107" t="str">
        <f ca="1">IFERROR(__xludf.DUMMYFUNCTION("""COMPUTED_VALUE"""),"3. Operación")</f>
        <v>3. Operación</v>
      </c>
      <c r="D230" s="107" t="str">
        <f ca="1">IFERROR(__xludf.DUMMYFUNCTION("""COMPUTED_VALUE"""),"Guadalajara bien educada")</f>
        <v>Guadalajara bien educada</v>
      </c>
      <c r="E230" s="107" t="str">
        <f ca="1">IFERROR(__xludf.DUMMYFUNCTION("""COMPUTED_VALUE"""),"Atención Psicopedagógica Infantil")</f>
        <v>Atención Psicopedagógica Infantil</v>
      </c>
      <c r="F230" s="107" t="str">
        <f ca="1">IFERROR(__xludf.DUMMYFUNCTION("""COMPUTED_VALUE"""),"C2. Atenciones terapéuticas brindadas a niñas y niños con barreras de aprendizaje en el Centro de Atención Psicopedagógica Infantil")</f>
        <v>C2. Atenciones terapéuticas brindadas a niñas y niños con barreras de aprendizaje en el Centro de Atención Psicopedagógica Infantil</v>
      </c>
      <c r="G230" s="107" t="str">
        <f ca="1">IFERROR(__xludf.DUMMYFUNCTION("""COMPUTED_VALUE"""),"Promedio de personas atendidas con atención terapéutica - educativa en el Centro de Atención Psicopedagógica Infantil durante el 2024")</f>
        <v>Promedio de personas atendidas con atención terapéutica - educativa en el Centro de Atención Psicopedagógica Infantil durante el 2024</v>
      </c>
      <c r="H230" s="107" t="str">
        <f ca="1">IFERROR(__xludf.DUMMYFUNCTION("""COMPUTED_VALUE"""),"MUJ marzo")</f>
        <v>MUJ marzo</v>
      </c>
      <c r="I230" s="107" t="str">
        <f ca="1">IFERROR(__xludf.DUMMYFUNCTION("""COMPUTED_VALUE"""),"marzo")</f>
        <v>marzo</v>
      </c>
      <c r="J230" s="107" t="str">
        <f ca="1">IFERROR(__xludf.DUMMYFUNCTION("""COMPUTED_VALUE"""),"MUJ")</f>
        <v>MUJ</v>
      </c>
      <c r="K230" s="40"/>
      <c r="L230" s="107" t="str">
        <f ca="1">IFERROR(__xludf.DUMMYFUNCTION("""COMPUTED_VALUE"""),"TRIMESTRE 1")</f>
        <v>TRIMESTRE 1</v>
      </c>
      <c r="M230" s="107" t="str">
        <f ca="1">IFERROR(__xludf.DUMMYFUNCTION("""COMPUTED_VALUE"""),"MUJERES ADULTAS")</f>
        <v>MUJERES ADULTAS</v>
      </c>
    </row>
    <row r="231" spans="1:13">
      <c r="A231" s="107" t="str">
        <f ca="1">IFERROR(__xludf.DUMMYFUNCTION("""COMPUTED_VALUE"""),"5.1.2.0")</f>
        <v>5.1.2.0</v>
      </c>
      <c r="B231" s="107" t="str">
        <f ca="1">IFERROR(__xludf.DUMMYFUNCTION("""COMPUTED_VALUE"""),"Atención Psicopedagógica Infantil/Jefatura del Departamento de CDI, CAIC  y CEDI/Dirección del Área de Centros de Atención Infantil/Coord.3. Operación")</f>
        <v>Atención Psicopedagógica Infantil/Jefatura del Departamento de CDI, CAIC  y CEDI/Dirección del Área de Centros de Atención Infantil/Coord.3. Operación</v>
      </c>
      <c r="C231" s="107" t="str">
        <f ca="1">IFERROR(__xludf.DUMMYFUNCTION("""COMPUTED_VALUE"""),"3. Operación")</f>
        <v>3. Operación</v>
      </c>
      <c r="D231" s="107" t="str">
        <f ca="1">IFERROR(__xludf.DUMMYFUNCTION("""COMPUTED_VALUE"""),"Guadalajara bien educada")</f>
        <v>Guadalajara bien educada</v>
      </c>
      <c r="E231" s="107" t="str">
        <f ca="1">IFERROR(__xludf.DUMMYFUNCTION("""COMPUTED_VALUE"""),"Atención Psicopedagógica Infantil")</f>
        <v>Atención Psicopedagógica Infantil</v>
      </c>
      <c r="F231" s="107" t="str">
        <f ca="1">IFERROR(__xludf.DUMMYFUNCTION("""COMPUTED_VALUE"""),"C2. Atenciones terapéuticas brindadas a niñas y niños con barreras de aprendizaje en el Centro de Atención Psicopedagógica Infantil")</f>
        <v>C2. Atenciones terapéuticas brindadas a niñas y niños con barreras de aprendizaje en el Centro de Atención Psicopedagógica Infantil</v>
      </c>
      <c r="G231" s="107" t="str">
        <f ca="1">IFERROR(__xludf.DUMMYFUNCTION("""COMPUTED_VALUE"""),"Promedio de personas atendidas con atención terapéutica - educativa en el Centro de Atención Psicopedagógica Infantil durante el 2024")</f>
        <v>Promedio de personas atendidas con atención terapéutica - educativa en el Centro de Atención Psicopedagógica Infantil durante el 2024</v>
      </c>
      <c r="H231" s="107" t="str">
        <f ca="1">IFERROR(__xludf.DUMMYFUNCTION("""COMPUTED_VALUE"""),"HOM marzo")</f>
        <v>HOM marzo</v>
      </c>
      <c r="I231" s="107" t="str">
        <f ca="1">IFERROR(__xludf.DUMMYFUNCTION("""COMPUTED_VALUE"""),"marzo")</f>
        <v>marzo</v>
      </c>
      <c r="J231" s="107" t="str">
        <f ca="1">IFERROR(__xludf.DUMMYFUNCTION("""COMPUTED_VALUE"""),"HOM")</f>
        <v>HOM</v>
      </c>
      <c r="K231" s="40"/>
      <c r="L231" s="107" t="str">
        <f ca="1">IFERROR(__xludf.DUMMYFUNCTION("""COMPUTED_VALUE"""),"TRIMESTRE 1")</f>
        <v>TRIMESTRE 1</v>
      </c>
      <c r="M231" s="107" t="str">
        <f ca="1">IFERROR(__xludf.DUMMYFUNCTION("""COMPUTED_VALUE"""),"HOMBRES ADULTOS")</f>
        <v>HOMBRES ADULTOS</v>
      </c>
    </row>
    <row r="232" spans="1:13">
      <c r="A232" s="107" t="str">
        <f ca="1">IFERROR(__xludf.DUMMYFUNCTION("""COMPUTED_VALUE"""),"5.1.2.0")</f>
        <v>5.1.2.0</v>
      </c>
      <c r="B232" s="107" t="str">
        <f ca="1">IFERROR(__xludf.DUMMYFUNCTION("""COMPUTED_VALUE"""),"Atención Psicopedagógica Infantil/Jefatura del Departamento de CDI, CAIC  y CEDI/Dirección del Área de Centros de Atención Infantil/Coord.3. Operación")</f>
        <v>Atención Psicopedagógica Infantil/Jefatura del Departamento de CDI, CAIC  y CEDI/Dirección del Área de Centros de Atención Infantil/Coord.3. Operación</v>
      </c>
      <c r="C232" s="107" t="str">
        <f ca="1">IFERROR(__xludf.DUMMYFUNCTION("""COMPUTED_VALUE"""),"3. Operación")</f>
        <v>3. Operación</v>
      </c>
      <c r="D232" s="107" t="str">
        <f ca="1">IFERROR(__xludf.DUMMYFUNCTION("""COMPUTED_VALUE"""),"Guadalajara bien educada")</f>
        <v>Guadalajara bien educada</v>
      </c>
      <c r="E232" s="107" t="str">
        <f ca="1">IFERROR(__xludf.DUMMYFUNCTION("""COMPUTED_VALUE"""),"Atención Psicopedagógica Infantil")</f>
        <v>Atención Psicopedagógica Infantil</v>
      </c>
      <c r="F232" s="107" t="str">
        <f ca="1">IFERROR(__xludf.DUMMYFUNCTION("""COMPUTED_VALUE"""),"C2. Atenciones terapéuticas brindadas a niñas y niños con barreras de aprendizaje en el Centro de Atención Psicopedagógica Infantil")</f>
        <v>C2. Atenciones terapéuticas brindadas a niñas y niños con barreras de aprendizaje en el Centro de Atención Psicopedagógica Infantil</v>
      </c>
      <c r="G232" s="107" t="str">
        <f ca="1">IFERROR(__xludf.DUMMYFUNCTION("""COMPUTED_VALUE"""),"Promedio de personas atendidas con atención terapéutica - educativa en el Centro de Atención Psicopedagógica Infantil durante el 2024")</f>
        <v>Promedio de personas atendidas con atención terapéutica - educativa en el Centro de Atención Psicopedagógica Infantil durante el 2024</v>
      </c>
      <c r="H232" s="107" t="str">
        <f ca="1">IFERROR(__xludf.DUMMYFUNCTION("""COMPUTED_VALUE"""),"AMM marzo")</f>
        <v>AMM marzo</v>
      </c>
      <c r="I232" s="107" t="str">
        <f ca="1">IFERROR(__xludf.DUMMYFUNCTION("""COMPUTED_VALUE"""),"marzo")</f>
        <v>marzo</v>
      </c>
      <c r="J232" s="107" t="str">
        <f ca="1">IFERROR(__xludf.DUMMYFUNCTION("""COMPUTED_VALUE"""),"AMM")</f>
        <v>AMM</v>
      </c>
      <c r="K232" s="40"/>
      <c r="L232" s="107" t="str">
        <f ca="1">IFERROR(__xludf.DUMMYFUNCTION("""COMPUTED_VALUE"""),"TRIMESTRE 1")</f>
        <v>TRIMESTRE 1</v>
      </c>
      <c r="M232" s="107" t="str">
        <f ca="1">IFERROR(__xludf.DUMMYFUNCTION("""COMPUTED_VALUE"""),"ADULTA MAYOR MUJER")</f>
        <v>ADULTA MAYOR MUJER</v>
      </c>
    </row>
    <row r="233" spans="1:13">
      <c r="A233" s="107" t="str">
        <f ca="1">IFERROR(__xludf.DUMMYFUNCTION("""COMPUTED_VALUE"""),"5.1.2.0")</f>
        <v>5.1.2.0</v>
      </c>
      <c r="B233" s="107" t="str">
        <f ca="1">IFERROR(__xludf.DUMMYFUNCTION("""COMPUTED_VALUE"""),"Atención Psicopedagógica Infantil/Jefatura del Departamento de CDI, CAIC  y CEDI/Dirección del Área de Centros de Atención Infantil/Coord.3. Operación")</f>
        <v>Atención Psicopedagógica Infantil/Jefatura del Departamento de CDI, CAIC  y CEDI/Dirección del Área de Centros de Atención Infantil/Coord.3. Operación</v>
      </c>
      <c r="C233" s="107" t="str">
        <f ca="1">IFERROR(__xludf.DUMMYFUNCTION("""COMPUTED_VALUE"""),"3. Operación")</f>
        <v>3. Operación</v>
      </c>
      <c r="D233" s="107" t="str">
        <f ca="1">IFERROR(__xludf.DUMMYFUNCTION("""COMPUTED_VALUE"""),"Guadalajara bien educada")</f>
        <v>Guadalajara bien educada</v>
      </c>
      <c r="E233" s="107" t="str">
        <f ca="1">IFERROR(__xludf.DUMMYFUNCTION("""COMPUTED_VALUE"""),"Atención Psicopedagógica Infantil")</f>
        <v>Atención Psicopedagógica Infantil</v>
      </c>
      <c r="F233" s="107" t="str">
        <f ca="1">IFERROR(__xludf.DUMMYFUNCTION("""COMPUTED_VALUE"""),"C2. Atenciones terapéuticas brindadas a niñas y niños con barreras de aprendizaje en el Centro de Atención Psicopedagógica Infantil")</f>
        <v>C2. Atenciones terapéuticas brindadas a niñas y niños con barreras de aprendizaje en el Centro de Atención Psicopedagógica Infantil</v>
      </c>
      <c r="G233" s="107" t="str">
        <f ca="1">IFERROR(__xludf.DUMMYFUNCTION("""COMPUTED_VALUE"""),"Promedio de personas atendidas con atención terapéutica - educativa en el Centro de Atención Psicopedagógica Infantil durante el 2024")</f>
        <v>Promedio de personas atendidas con atención terapéutica - educativa en el Centro de Atención Psicopedagógica Infantil durante el 2024</v>
      </c>
      <c r="H233" s="107" t="str">
        <f ca="1">IFERROR(__xludf.DUMMYFUNCTION("""COMPUTED_VALUE"""),"AMH marzo")</f>
        <v>AMH marzo</v>
      </c>
      <c r="I233" s="107" t="str">
        <f ca="1">IFERROR(__xludf.DUMMYFUNCTION("""COMPUTED_VALUE"""),"marzo")</f>
        <v>marzo</v>
      </c>
      <c r="J233" s="107" t="str">
        <f ca="1">IFERROR(__xludf.DUMMYFUNCTION("""COMPUTED_VALUE"""),"AMH")</f>
        <v>AMH</v>
      </c>
      <c r="K233" s="40"/>
      <c r="L233" s="107" t="str">
        <f ca="1">IFERROR(__xludf.DUMMYFUNCTION("""COMPUTED_VALUE"""),"TRIMESTRE 1")</f>
        <v>TRIMESTRE 1</v>
      </c>
      <c r="M233" s="107" t="str">
        <f ca="1">IFERROR(__xludf.DUMMYFUNCTION("""COMPUTED_VALUE"""),"ADULTO MAYOR HOMBRE")</f>
        <v>ADULTO MAYOR HOMBRE</v>
      </c>
    </row>
    <row r="234" spans="1:13">
      <c r="A234" s="107" t="str">
        <f ca="1">IFERROR(__xludf.DUMMYFUNCTION("""COMPUTED_VALUE"""),"5.1.2.1")</f>
        <v>5.1.2.1</v>
      </c>
      <c r="B234" s="107" t="str">
        <f ca="1">IFERROR(__xludf.DUMMYFUNCTION("""COMPUTED_VALUE"""),"Atención Psicopedagógica Infantil/Dirección del Área de Centros de Inclusión/Dirección del Área de Centros de Inclusión/Coord.5. Inclusión")</f>
        <v>Atención Psicopedagógica Infantil/Dirección del Área de Centros de Inclusión/Dirección del Área de Centros de Inclusión/Coord.5. Inclusión</v>
      </c>
      <c r="C234" s="107" t="str">
        <f ca="1">IFERROR(__xludf.DUMMYFUNCTION("""COMPUTED_VALUE"""),"5. Inclusión")</f>
        <v>5. Inclusión</v>
      </c>
      <c r="D234" s="107" t="str">
        <f ca="1">IFERROR(__xludf.DUMMYFUNCTION("""COMPUTED_VALUE"""),"Guadalajara bien educada")</f>
        <v>Guadalajara bien educada</v>
      </c>
      <c r="E234" s="107" t="str">
        <f ca="1">IFERROR(__xludf.DUMMYFUNCTION("""COMPUTED_VALUE"""),"Atención Psicopedagógica Infantil")</f>
        <v>Atención Psicopedagógica Infantil</v>
      </c>
      <c r="F234" s="107" t="str">
        <f ca="1">IFERROR(__xludf.DUMMYFUNCTION("""COMPUTED_VALUE"""),"A1C2 Actividades de diagnóstico y valoración psicológica ejecutadas para niñas y niños que requieran atención en el CAPI")</f>
        <v>A1C2 Actividades de diagnóstico y valoración psicológica ejecutadas para niñas y niños que requieran atención en el CAPI</v>
      </c>
      <c r="G234" s="107" t="str">
        <f ca="1">IFERROR(__xludf.DUMMYFUNCTION("""COMPUTED_VALUE"""),"Porcentaje de diagnósticos y valoraciones realizados a niñas y niños que requieran atención en el CAPI en 2024")</f>
        <v>Porcentaje de diagnósticos y valoraciones realizados a niñas y niños que requieran atención en el CAPI en 2024</v>
      </c>
      <c r="H234" s="107" t="str">
        <f ca="1">IFERROR(__xludf.DUMMYFUNCTION("""COMPUTED_VALUE"""),"NAS marzo")</f>
        <v>NAS marzo</v>
      </c>
      <c r="I234" s="107" t="str">
        <f ca="1">IFERROR(__xludf.DUMMYFUNCTION("""COMPUTED_VALUE"""),"marzo")</f>
        <v>marzo</v>
      </c>
      <c r="J234" s="107" t="str">
        <f ca="1">IFERROR(__xludf.DUMMYFUNCTION("""COMPUTED_VALUE"""),"NAS")</f>
        <v>NAS</v>
      </c>
      <c r="K234" s="40">
        <f ca="1">IFERROR(__xludf.DUMMYFUNCTION("""COMPUTED_VALUE"""),6)</f>
        <v>6</v>
      </c>
      <c r="L234" s="107" t="str">
        <f ca="1">IFERROR(__xludf.DUMMYFUNCTION("""COMPUTED_VALUE"""),"TRIMESTRE 1")</f>
        <v>TRIMESTRE 1</v>
      </c>
      <c r="M234" s="107" t="str">
        <f ca="1">IFERROR(__xludf.DUMMYFUNCTION("""COMPUTED_VALUE"""),"NIÑAS")</f>
        <v>NIÑAS</v>
      </c>
    </row>
    <row r="235" spans="1:13">
      <c r="A235" s="107" t="str">
        <f ca="1">IFERROR(__xludf.DUMMYFUNCTION("""COMPUTED_VALUE"""),"5.1.2.1")</f>
        <v>5.1.2.1</v>
      </c>
      <c r="B235" s="107" t="str">
        <f ca="1">IFERROR(__xludf.DUMMYFUNCTION("""COMPUTED_VALUE"""),"Atención Psicopedagógica Infantil/Dirección del Área de Centros de Inclusión/Dirección del Área de Centros de Inclusión/Coord.5. Inclusión")</f>
        <v>Atención Psicopedagógica Infantil/Dirección del Área de Centros de Inclusión/Dirección del Área de Centros de Inclusión/Coord.5. Inclusión</v>
      </c>
      <c r="C235" s="107" t="str">
        <f ca="1">IFERROR(__xludf.DUMMYFUNCTION("""COMPUTED_VALUE"""),"5. Inclusión")</f>
        <v>5. Inclusión</v>
      </c>
      <c r="D235" s="107" t="str">
        <f ca="1">IFERROR(__xludf.DUMMYFUNCTION("""COMPUTED_VALUE"""),"Guadalajara bien educada")</f>
        <v>Guadalajara bien educada</v>
      </c>
      <c r="E235" s="107" t="str">
        <f ca="1">IFERROR(__xludf.DUMMYFUNCTION("""COMPUTED_VALUE"""),"Atención Psicopedagógica Infantil")</f>
        <v>Atención Psicopedagógica Infantil</v>
      </c>
      <c r="F235" s="107" t="str">
        <f ca="1">IFERROR(__xludf.DUMMYFUNCTION("""COMPUTED_VALUE"""),"A1C2 Actividades de diagnóstico y valoración psicológica ejecutadas para niñas y niños que requieran atención en el CAPI")</f>
        <v>A1C2 Actividades de diagnóstico y valoración psicológica ejecutadas para niñas y niños que requieran atención en el CAPI</v>
      </c>
      <c r="G235" s="107" t="str">
        <f ca="1">IFERROR(__xludf.DUMMYFUNCTION("""COMPUTED_VALUE"""),"Porcentaje de diagnósticos y valoraciones realizados a niñas y niños que requieran atención en el CAPI en 2024")</f>
        <v>Porcentaje de diagnósticos y valoraciones realizados a niñas y niños que requieran atención en el CAPI en 2024</v>
      </c>
      <c r="H235" s="107" t="str">
        <f ca="1">IFERROR(__xludf.DUMMYFUNCTION("""COMPUTED_VALUE"""),"NOS marzo")</f>
        <v>NOS marzo</v>
      </c>
      <c r="I235" s="107" t="str">
        <f ca="1">IFERROR(__xludf.DUMMYFUNCTION("""COMPUTED_VALUE"""),"marzo")</f>
        <v>marzo</v>
      </c>
      <c r="J235" s="107" t="str">
        <f ca="1">IFERROR(__xludf.DUMMYFUNCTION("""COMPUTED_VALUE"""),"NOS")</f>
        <v>NOS</v>
      </c>
      <c r="K235" s="40">
        <f ca="1">IFERROR(__xludf.DUMMYFUNCTION("""COMPUTED_VALUE"""),3)</f>
        <v>3</v>
      </c>
      <c r="L235" s="107" t="str">
        <f ca="1">IFERROR(__xludf.DUMMYFUNCTION("""COMPUTED_VALUE"""),"TRIMESTRE 1")</f>
        <v>TRIMESTRE 1</v>
      </c>
      <c r="M235" s="107" t="str">
        <f ca="1">IFERROR(__xludf.DUMMYFUNCTION("""COMPUTED_VALUE"""),"NIÑOS")</f>
        <v>NIÑOS</v>
      </c>
    </row>
    <row r="236" spans="1:13">
      <c r="A236" s="107" t="str">
        <f ca="1">IFERROR(__xludf.DUMMYFUNCTION("""COMPUTED_VALUE"""),"5.1.2.1")</f>
        <v>5.1.2.1</v>
      </c>
      <c r="B236" s="107" t="str">
        <f ca="1">IFERROR(__xludf.DUMMYFUNCTION("""COMPUTED_VALUE"""),"Atención Psicopedagógica Infantil/Dirección del Área de Centros de Inclusión/Dirección del Área de Centros de Inclusión/Coord.5. Inclusión")</f>
        <v>Atención Psicopedagógica Infantil/Dirección del Área de Centros de Inclusión/Dirección del Área de Centros de Inclusión/Coord.5. Inclusión</v>
      </c>
      <c r="C236" s="107" t="str">
        <f ca="1">IFERROR(__xludf.DUMMYFUNCTION("""COMPUTED_VALUE"""),"5. Inclusión")</f>
        <v>5. Inclusión</v>
      </c>
      <c r="D236" s="107" t="str">
        <f ca="1">IFERROR(__xludf.DUMMYFUNCTION("""COMPUTED_VALUE"""),"Guadalajara bien educada")</f>
        <v>Guadalajara bien educada</v>
      </c>
      <c r="E236" s="107" t="str">
        <f ca="1">IFERROR(__xludf.DUMMYFUNCTION("""COMPUTED_VALUE"""),"Atención Psicopedagógica Infantil")</f>
        <v>Atención Psicopedagógica Infantil</v>
      </c>
      <c r="F236" s="107" t="str">
        <f ca="1">IFERROR(__xludf.DUMMYFUNCTION("""COMPUTED_VALUE"""),"A1C2 Actividades de diagnóstico y valoración psicológica ejecutadas para niñas y niños que requieran atención en el CAPI")</f>
        <v>A1C2 Actividades de diagnóstico y valoración psicológica ejecutadas para niñas y niños que requieran atención en el CAPI</v>
      </c>
      <c r="G236" s="107" t="str">
        <f ca="1">IFERROR(__xludf.DUMMYFUNCTION("""COMPUTED_VALUE"""),"Porcentaje de diagnósticos y valoraciones realizados a niñas y niños que requieran atención en el CAPI en 2024")</f>
        <v>Porcentaje de diagnósticos y valoraciones realizados a niñas y niños que requieran atención en el CAPI en 2024</v>
      </c>
      <c r="H236" s="107" t="str">
        <f ca="1">IFERROR(__xludf.DUMMYFUNCTION("""COMPUTED_VALUE"""),"AM marzo")</f>
        <v>AM marzo</v>
      </c>
      <c r="I236" s="107" t="str">
        <f ca="1">IFERROR(__xludf.DUMMYFUNCTION("""COMPUTED_VALUE"""),"marzo")</f>
        <v>marzo</v>
      </c>
      <c r="J236" s="107" t="str">
        <f ca="1">IFERROR(__xludf.DUMMYFUNCTION("""COMPUTED_VALUE"""),"AM")</f>
        <v>AM</v>
      </c>
      <c r="K236" s="40">
        <f ca="1">IFERROR(__xludf.DUMMYFUNCTION("""COMPUTED_VALUE"""),0)</f>
        <v>0</v>
      </c>
      <c r="L236" s="107" t="str">
        <f ca="1">IFERROR(__xludf.DUMMYFUNCTION("""COMPUTED_VALUE"""),"TRIMESTRE 1")</f>
        <v>TRIMESTRE 1</v>
      </c>
      <c r="M236" s="107" t="str">
        <f ca="1">IFERROR(__xludf.DUMMYFUNCTION("""COMPUTED_VALUE"""),"ADOLESCENTES MUJERES")</f>
        <v>ADOLESCENTES MUJERES</v>
      </c>
    </row>
    <row r="237" spans="1:13">
      <c r="A237" s="107" t="str">
        <f ca="1">IFERROR(__xludf.DUMMYFUNCTION("""COMPUTED_VALUE"""),"5.1.2.1")</f>
        <v>5.1.2.1</v>
      </c>
      <c r="B237" s="107" t="str">
        <f ca="1">IFERROR(__xludf.DUMMYFUNCTION("""COMPUTED_VALUE"""),"Atención Psicopedagógica Infantil/Dirección del Área de Centros de Inclusión/Dirección del Área de Centros de Inclusión/Coord.5. Inclusión")</f>
        <v>Atención Psicopedagógica Infantil/Dirección del Área de Centros de Inclusión/Dirección del Área de Centros de Inclusión/Coord.5. Inclusión</v>
      </c>
      <c r="C237" s="107" t="str">
        <f ca="1">IFERROR(__xludf.DUMMYFUNCTION("""COMPUTED_VALUE"""),"5. Inclusión")</f>
        <v>5. Inclusión</v>
      </c>
      <c r="D237" s="107" t="str">
        <f ca="1">IFERROR(__xludf.DUMMYFUNCTION("""COMPUTED_VALUE"""),"Guadalajara bien educada")</f>
        <v>Guadalajara bien educada</v>
      </c>
      <c r="E237" s="107" t="str">
        <f ca="1">IFERROR(__xludf.DUMMYFUNCTION("""COMPUTED_VALUE"""),"Atención Psicopedagógica Infantil")</f>
        <v>Atención Psicopedagógica Infantil</v>
      </c>
      <c r="F237" s="107" t="str">
        <f ca="1">IFERROR(__xludf.DUMMYFUNCTION("""COMPUTED_VALUE"""),"A1C2 Actividades de diagnóstico y valoración psicológica ejecutadas para niñas y niños que requieran atención en el CAPI")</f>
        <v>A1C2 Actividades de diagnóstico y valoración psicológica ejecutadas para niñas y niños que requieran atención en el CAPI</v>
      </c>
      <c r="G237" s="107" t="str">
        <f ca="1">IFERROR(__xludf.DUMMYFUNCTION("""COMPUTED_VALUE"""),"Porcentaje de diagnósticos y valoraciones realizados a niñas y niños que requieran atención en el CAPI en 2024")</f>
        <v>Porcentaje de diagnósticos y valoraciones realizados a niñas y niños que requieran atención en el CAPI en 2024</v>
      </c>
      <c r="H237" s="107" t="str">
        <f ca="1">IFERROR(__xludf.DUMMYFUNCTION("""COMPUTED_VALUE"""),"AH marzo")</f>
        <v>AH marzo</v>
      </c>
      <c r="I237" s="107" t="str">
        <f ca="1">IFERROR(__xludf.DUMMYFUNCTION("""COMPUTED_VALUE"""),"marzo")</f>
        <v>marzo</v>
      </c>
      <c r="J237" s="107" t="str">
        <f ca="1">IFERROR(__xludf.DUMMYFUNCTION("""COMPUTED_VALUE"""),"AH")</f>
        <v>AH</v>
      </c>
      <c r="K237" s="40">
        <f ca="1">IFERROR(__xludf.DUMMYFUNCTION("""COMPUTED_VALUE"""),0)</f>
        <v>0</v>
      </c>
      <c r="L237" s="107" t="str">
        <f ca="1">IFERROR(__xludf.DUMMYFUNCTION("""COMPUTED_VALUE"""),"TRIMESTRE 1")</f>
        <v>TRIMESTRE 1</v>
      </c>
      <c r="M237" s="107" t="str">
        <f ca="1">IFERROR(__xludf.DUMMYFUNCTION("""COMPUTED_VALUE"""),"ADOLESCENTES HOMBRES")</f>
        <v>ADOLESCENTES HOMBRES</v>
      </c>
    </row>
    <row r="238" spans="1:13">
      <c r="A238" s="107" t="str">
        <f ca="1">IFERROR(__xludf.DUMMYFUNCTION("""COMPUTED_VALUE"""),"5.1.2.1")</f>
        <v>5.1.2.1</v>
      </c>
      <c r="B238" s="107" t="str">
        <f ca="1">IFERROR(__xludf.DUMMYFUNCTION("""COMPUTED_VALUE"""),"Atención Psicopedagógica Infantil/Dirección del Área de Centros de Inclusión/Dirección del Área de Centros de Inclusión/Coord.5. Inclusión")</f>
        <v>Atención Psicopedagógica Infantil/Dirección del Área de Centros de Inclusión/Dirección del Área de Centros de Inclusión/Coord.5. Inclusión</v>
      </c>
      <c r="C238" s="107" t="str">
        <f ca="1">IFERROR(__xludf.DUMMYFUNCTION("""COMPUTED_VALUE"""),"5. Inclusión")</f>
        <v>5. Inclusión</v>
      </c>
      <c r="D238" s="107" t="str">
        <f ca="1">IFERROR(__xludf.DUMMYFUNCTION("""COMPUTED_VALUE"""),"Guadalajara bien educada")</f>
        <v>Guadalajara bien educada</v>
      </c>
      <c r="E238" s="107" t="str">
        <f ca="1">IFERROR(__xludf.DUMMYFUNCTION("""COMPUTED_VALUE"""),"Atención Psicopedagógica Infantil")</f>
        <v>Atención Psicopedagógica Infantil</v>
      </c>
      <c r="F238" s="107" t="str">
        <f ca="1">IFERROR(__xludf.DUMMYFUNCTION("""COMPUTED_VALUE"""),"A1C2 Actividades de diagnóstico y valoración psicológica ejecutadas para niñas y niños que requieran atención en el CAPI")</f>
        <v>A1C2 Actividades de diagnóstico y valoración psicológica ejecutadas para niñas y niños que requieran atención en el CAPI</v>
      </c>
      <c r="G238" s="107" t="str">
        <f ca="1">IFERROR(__xludf.DUMMYFUNCTION("""COMPUTED_VALUE"""),"Porcentaje de diagnósticos y valoraciones realizados a niñas y niños que requieran atención en el CAPI en 2024")</f>
        <v>Porcentaje de diagnósticos y valoraciones realizados a niñas y niños que requieran atención en el CAPI en 2024</v>
      </c>
      <c r="H238" s="107" t="str">
        <f ca="1">IFERROR(__xludf.DUMMYFUNCTION("""COMPUTED_VALUE"""),"MUJ marzo")</f>
        <v>MUJ marzo</v>
      </c>
      <c r="I238" s="107" t="str">
        <f ca="1">IFERROR(__xludf.DUMMYFUNCTION("""COMPUTED_VALUE"""),"marzo")</f>
        <v>marzo</v>
      </c>
      <c r="J238" s="107" t="str">
        <f ca="1">IFERROR(__xludf.DUMMYFUNCTION("""COMPUTED_VALUE"""),"MUJ")</f>
        <v>MUJ</v>
      </c>
      <c r="K238" s="40"/>
      <c r="L238" s="107" t="str">
        <f ca="1">IFERROR(__xludf.DUMMYFUNCTION("""COMPUTED_VALUE"""),"TRIMESTRE 1")</f>
        <v>TRIMESTRE 1</v>
      </c>
      <c r="M238" s="107" t="str">
        <f ca="1">IFERROR(__xludf.DUMMYFUNCTION("""COMPUTED_VALUE"""),"MUJERES ADULTAS")</f>
        <v>MUJERES ADULTAS</v>
      </c>
    </row>
    <row r="239" spans="1:13">
      <c r="A239" s="107" t="str">
        <f ca="1">IFERROR(__xludf.DUMMYFUNCTION("""COMPUTED_VALUE"""),"5.1.2.1")</f>
        <v>5.1.2.1</v>
      </c>
      <c r="B239" s="107" t="str">
        <f ca="1">IFERROR(__xludf.DUMMYFUNCTION("""COMPUTED_VALUE"""),"Atención Psicopedagógica Infantil/Dirección del Área de Centros de Inclusión/Dirección del Área de Centros de Inclusión/Coord.5. Inclusión")</f>
        <v>Atención Psicopedagógica Infantil/Dirección del Área de Centros de Inclusión/Dirección del Área de Centros de Inclusión/Coord.5. Inclusión</v>
      </c>
      <c r="C239" s="107" t="str">
        <f ca="1">IFERROR(__xludf.DUMMYFUNCTION("""COMPUTED_VALUE"""),"5. Inclusión")</f>
        <v>5. Inclusión</v>
      </c>
      <c r="D239" s="107" t="str">
        <f ca="1">IFERROR(__xludf.DUMMYFUNCTION("""COMPUTED_VALUE"""),"Guadalajara bien educada")</f>
        <v>Guadalajara bien educada</v>
      </c>
      <c r="E239" s="107" t="str">
        <f ca="1">IFERROR(__xludf.DUMMYFUNCTION("""COMPUTED_VALUE"""),"Atención Psicopedagógica Infantil")</f>
        <v>Atención Psicopedagógica Infantil</v>
      </c>
      <c r="F239" s="107" t="str">
        <f ca="1">IFERROR(__xludf.DUMMYFUNCTION("""COMPUTED_VALUE"""),"A1C2 Actividades de diagnóstico y valoración psicológica ejecutadas para niñas y niños que requieran atención en el CAPI")</f>
        <v>A1C2 Actividades de diagnóstico y valoración psicológica ejecutadas para niñas y niños que requieran atención en el CAPI</v>
      </c>
      <c r="G239" s="107" t="str">
        <f ca="1">IFERROR(__xludf.DUMMYFUNCTION("""COMPUTED_VALUE"""),"Porcentaje de diagnósticos y valoraciones realizados a niñas y niños que requieran atención en el CAPI en 2024")</f>
        <v>Porcentaje de diagnósticos y valoraciones realizados a niñas y niños que requieran atención en el CAPI en 2024</v>
      </c>
      <c r="H239" s="107" t="str">
        <f ca="1">IFERROR(__xludf.DUMMYFUNCTION("""COMPUTED_VALUE"""),"HOM marzo")</f>
        <v>HOM marzo</v>
      </c>
      <c r="I239" s="107" t="str">
        <f ca="1">IFERROR(__xludf.DUMMYFUNCTION("""COMPUTED_VALUE"""),"marzo")</f>
        <v>marzo</v>
      </c>
      <c r="J239" s="107" t="str">
        <f ca="1">IFERROR(__xludf.DUMMYFUNCTION("""COMPUTED_VALUE"""),"HOM")</f>
        <v>HOM</v>
      </c>
      <c r="K239" s="40"/>
      <c r="L239" s="107" t="str">
        <f ca="1">IFERROR(__xludf.DUMMYFUNCTION("""COMPUTED_VALUE"""),"TRIMESTRE 1")</f>
        <v>TRIMESTRE 1</v>
      </c>
      <c r="M239" s="107" t="str">
        <f ca="1">IFERROR(__xludf.DUMMYFUNCTION("""COMPUTED_VALUE"""),"HOMBRES ADULTOS")</f>
        <v>HOMBRES ADULTOS</v>
      </c>
    </row>
    <row r="240" spans="1:13">
      <c r="A240" s="107" t="str">
        <f ca="1">IFERROR(__xludf.DUMMYFUNCTION("""COMPUTED_VALUE"""),"5.1.2.1")</f>
        <v>5.1.2.1</v>
      </c>
      <c r="B240" s="107" t="str">
        <f ca="1">IFERROR(__xludf.DUMMYFUNCTION("""COMPUTED_VALUE"""),"Atención Psicopedagógica Infantil/Dirección del Área de Centros de Inclusión/Dirección del Área de Centros de Inclusión/Coord.5. Inclusión")</f>
        <v>Atención Psicopedagógica Infantil/Dirección del Área de Centros de Inclusión/Dirección del Área de Centros de Inclusión/Coord.5. Inclusión</v>
      </c>
      <c r="C240" s="107" t="str">
        <f ca="1">IFERROR(__xludf.DUMMYFUNCTION("""COMPUTED_VALUE"""),"5. Inclusión")</f>
        <v>5. Inclusión</v>
      </c>
      <c r="D240" s="107" t="str">
        <f ca="1">IFERROR(__xludf.DUMMYFUNCTION("""COMPUTED_VALUE"""),"Guadalajara bien educada")</f>
        <v>Guadalajara bien educada</v>
      </c>
      <c r="E240" s="107" t="str">
        <f ca="1">IFERROR(__xludf.DUMMYFUNCTION("""COMPUTED_VALUE"""),"Atención Psicopedagógica Infantil")</f>
        <v>Atención Psicopedagógica Infantil</v>
      </c>
      <c r="F240" s="107" t="str">
        <f ca="1">IFERROR(__xludf.DUMMYFUNCTION("""COMPUTED_VALUE"""),"A1C2 Actividades de diagnóstico y valoración psicológica ejecutadas para niñas y niños que requieran atención en el CAPI")</f>
        <v>A1C2 Actividades de diagnóstico y valoración psicológica ejecutadas para niñas y niños que requieran atención en el CAPI</v>
      </c>
      <c r="G240" s="107" t="str">
        <f ca="1">IFERROR(__xludf.DUMMYFUNCTION("""COMPUTED_VALUE"""),"Porcentaje de diagnósticos y valoraciones realizados a niñas y niños que requieran atención en el CAPI en 2024")</f>
        <v>Porcentaje de diagnósticos y valoraciones realizados a niñas y niños que requieran atención en el CAPI en 2024</v>
      </c>
      <c r="H240" s="107" t="str">
        <f ca="1">IFERROR(__xludf.DUMMYFUNCTION("""COMPUTED_VALUE"""),"AMM marzo")</f>
        <v>AMM marzo</v>
      </c>
      <c r="I240" s="107" t="str">
        <f ca="1">IFERROR(__xludf.DUMMYFUNCTION("""COMPUTED_VALUE"""),"marzo")</f>
        <v>marzo</v>
      </c>
      <c r="J240" s="107" t="str">
        <f ca="1">IFERROR(__xludf.DUMMYFUNCTION("""COMPUTED_VALUE"""),"AMM")</f>
        <v>AMM</v>
      </c>
      <c r="K240" s="40"/>
      <c r="L240" s="107" t="str">
        <f ca="1">IFERROR(__xludf.DUMMYFUNCTION("""COMPUTED_VALUE"""),"TRIMESTRE 1")</f>
        <v>TRIMESTRE 1</v>
      </c>
      <c r="M240" s="107" t="str">
        <f ca="1">IFERROR(__xludf.DUMMYFUNCTION("""COMPUTED_VALUE"""),"ADULTA MAYOR MUJER")</f>
        <v>ADULTA MAYOR MUJER</v>
      </c>
    </row>
    <row r="241" spans="1:13">
      <c r="A241" s="107" t="str">
        <f ca="1">IFERROR(__xludf.DUMMYFUNCTION("""COMPUTED_VALUE"""),"5.1.2.1")</f>
        <v>5.1.2.1</v>
      </c>
      <c r="B241" s="107" t="str">
        <f ca="1">IFERROR(__xludf.DUMMYFUNCTION("""COMPUTED_VALUE"""),"Atención Psicopedagógica Infantil/Dirección del Área de Centros de Inclusión/Dirección del Área de Centros de Inclusión/Coord.5. Inclusión")</f>
        <v>Atención Psicopedagógica Infantil/Dirección del Área de Centros de Inclusión/Dirección del Área de Centros de Inclusión/Coord.5. Inclusión</v>
      </c>
      <c r="C241" s="107" t="str">
        <f ca="1">IFERROR(__xludf.DUMMYFUNCTION("""COMPUTED_VALUE"""),"5. Inclusión")</f>
        <v>5. Inclusión</v>
      </c>
      <c r="D241" s="107" t="str">
        <f ca="1">IFERROR(__xludf.DUMMYFUNCTION("""COMPUTED_VALUE"""),"Guadalajara bien educada")</f>
        <v>Guadalajara bien educada</v>
      </c>
      <c r="E241" s="107" t="str">
        <f ca="1">IFERROR(__xludf.DUMMYFUNCTION("""COMPUTED_VALUE"""),"Atención Psicopedagógica Infantil")</f>
        <v>Atención Psicopedagógica Infantil</v>
      </c>
      <c r="F241" s="107" t="str">
        <f ca="1">IFERROR(__xludf.DUMMYFUNCTION("""COMPUTED_VALUE"""),"A1C2 Actividades de diagnóstico y valoración psicológica ejecutadas para niñas y niños que requieran atención en el CAPI")</f>
        <v>A1C2 Actividades de diagnóstico y valoración psicológica ejecutadas para niñas y niños que requieran atención en el CAPI</v>
      </c>
      <c r="G241" s="107" t="str">
        <f ca="1">IFERROR(__xludf.DUMMYFUNCTION("""COMPUTED_VALUE"""),"Porcentaje de diagnósticos y valoraciones realizados a niñas y niños que requieran atención en el CAPI en 2024")</f>
        <v>Porcentaje de diagnósticos y valoraciones realizados a niñas y niños que requieran atención en el CAPI en 2024</v>
      </c>
      <c r="H241" s="107" t="str">
        <f ca="1">IFERROR(__xludf.DUMMYFUNCTION("""COMPUTED_VALUE"""),"AMH marzo")</f>
        <v>AMH marzo</v>
      </c>
      <c r="I241" s="107" t="str">
        <f ca="1">IFERROR(__xludf.DUMMYFUNCTION("""COMPUTED_VALUE"""),"marzo")</f>
        <v>marzo</v>
      </c>
      <c r="J241" s="107" t="str">
        <f ca="1">IFERROR(__xludf.DUMMYFUNCTION("""COMPUTED_VALUE"""),"AMH")</f>
        <v>AMH</v>
      </c>
      <c r="K241" s="40"/>
      <c r="L241" s="107" t="str">
        <f ca="1">IFERROR(__xludf.DUMMYFUNCTION("""COMPUTED_VALUE"""),"TRIMESTRE 1")</f>
        <v>TRIMESTRE 1</v>
      </c>
      <c r="M241" s="107" t="str">
        <f ca="1">IFERROR(__xludf.DUMMYFUNCTION("""COMPUTED_VALUE"""),"ADULTO MAYOR HOMBRE")</f>
        <v>ADULTO MAYOR HOMBRE</v>
      </c>
    </row>
    <row r="242" spans="1:13">
      <c r="A242" s="107" t="str">
        <f ca="1">IFERROR(__xludf.DUMMYFUNCTION("""COMPUTED_VALUE"""),"5.1.2.0")</f>
        <v>5.1.2.0</v>
      </c>
      <c r="B242" s="107" t="str">
        <f ca="1">IFERROR(__xludf.DUMMYFUNCTION("""COMPUTED_VALUE"""),"Atención Psicopedagógica Infantil/Jefatura del Departamento de CDI, CAIC  y CEDI/Dirección del Área de Centros de Atención Infantil/Coord.3. Operación")</f>
        <v>Atención Psicopedagógica Infantil/Jefatura del Departamento de CDI, CAIC  y CEDI/Dirección del Área de Centros de Atención Infantil/Coord.3. Operación</v>
      </c>
      <c r="C242" s="107" t="str">
        <f ca="1">IFERROR(__xludf.DUMMYFUNCTION("""COMPUTED_VALUE"""),"3. Operación")</f>
        <v>3. Operación</v>
      </c>
      <c r="D242" s="107" t="str">
        <f ca="1">IFERROR(__xludf.DUMMYFUNCTION("""COMPUTED_VALUE"""),"Guadalajara bien educada")</f>
        <v>Guadalajara bien educada</v>
      </c>
      <c r="E242" s="107" t="str">
        <f ca="1">IFERROR(__xludf.DUMMYFUNCTION("""COMPUTED_VALUE"""),"Atención Psicopedagógica Infantil")</f>
        <v>Atención Psicopedagógica Infantil</v>
      </c>
      <c r="F242" s="107" t="str">
        <f ca="1">IFERROR(__xludf.DUMMYFUNCTION("""COMPUTED_VALUE"""),"C2. Atenciones terapéuticas brindadas a niñas y niños con barreras de aprendizaje en el Centro de Atención Psicopedagógica Infantil")</f>
        <v>C2. Atenciones terapéuticas brindadas a niñas y niños con barreras de aprendizaje en el Centro de Atención Psicopedagógica Infantil</v>
      </c>
      <c r="G242" s="107" t="str">
        <f ca="1">IFERROR(__xludf.DUMMYFUNCTION("""COMPUTED_VALUE"""),"Promedio de personas atendidas con atención terapéutica - educativa en el Centro de Atención Psicopedagógica Infantil durante el 2024")</f>
        <v>Promedio de personas atendidas con atención terapéutica - educativa en el Centro de Atención Psicopedagógica Infantil durante el 2024</v>
      </c>
      <c r="H242" s="107" t="str">
        <f ca="1">IFERROR(__xludf.DUMMYFUNCTION("""COMPUTED_VALUE"""),"NAS abril")</f>
        <v>NAS abril</v>
      </c>
      <c r="I242" s="107" t="str">
        <f ca="1">IFERROR(__xludf.DUMMYFUNCTION("""COMPUTED_VALUE"""),"abril")</f>
        <v>abril</v>
      </c>
      <c r="J242" s="107" t="str">
        <f ca="1">IFERROR(__xludf.DUMMYFUNCTION("""COMPUTED_VALUE"""),"NAS")</f>
        <v>NAS</v>
      </c>
      <c r="K242" s="40">
        <f ca="1">IFERROR(__xludf.DUMMYFUNCTION("""COMPUTED_VALUE"""),57)</f>
        <v>57</v>
      </c>
      <c r="L242" s="107" t="str">
        <f ca="1">IFERROR(__xludf.DUMMYFUNCTION("""COMPUTED_VALUE"""),"TRIMESTRE 2")</f>
        <v>TRIMESTRE 2</v>
      </c>
      <c r="M242" s="107" t="str">
        <f ca="1">IFERROR(__xludf.DUMMYFUNCTION("""COMPUTED_VALUE"""),"NIÑAS")</f>
        <v>NIÑAS</v>
      </c>
    </row>
    <row r="243" spans="1:13">
      <c r="A243" s="107" t="str">
        <f ca="1">IFERROR(__xludf.DUMMYFUNCTION("""COMPUTED_VALUE"""),"5.1.2.0")</f>
        <v>5.1.2.0</v>
      </c>
      <c r="B243" s="107" t="str">
        <f ca="1">IFERROR(__xludf.DUMMYFUNCTION("""COMPUTED_VALUE"""),"Atención Psicopedagógica Infantil/Jefatura del Departamento de CDI, CAIC  y CEDI/Dirección del Área de Centros de Atención Infantil/Coord.3. Operación")</f>
        <v>Atención Psicopedagógica Infantil/Jefatura del Departamento de CDI, CAIC  y CEDI/Dirección del Área de Centros de Atención Infantil/Coord.3. Operación</v>
      </c>
      <c r="C243" s="107" t="str">
        <f ca="1">IFERROR(__xludf.DUMMYFUNCTION("""COMPUTED_VALUE"""),"3. Operación")</f>
        <v>3. Operación</v>
      </c>
      <c r="D243" s="107" t="str">
        <f ca="1">IFERROR(__xludf.DUMMYFUNCTION("""COMPUTED_VALUE"""),"Guadalajara bien educada")</f>
        <v>Guadalajara bien educada</v>
      </c>
      <c r="E243" s="107" t="str">
        <f ca="1">IFERROR(__xludf.DUMMYFUNCTION("""COMPUTED_VALUE"""),"Atención Psicopedagógica Infantil")</f>
        <v>Atención Psicopedagógica Infantil</v>
      </c>
      <c r="F243" s="107" t="str">
        <f ca="1">IFERROR(__xludf.DUMMYFUNCTION("""COMPUTED_VALUE"""),"C2. Atenciones terapéuticas brindadas a niñas y niños con barreras de aprendizaje en el Centro de Atención Psicopedagógica Infantil")</f>
        <v>C2. Atenciones terapéuticas brindadas a niñas y niños con barreras de aprendizaje en el Centro de Atención Psicopedagógica Infantil</v>
      </c>
      <c r="G243" s="107" t="str">
        <f ca="1">IFERROR(__xludf.DUMMYFUNCTION("""COMPUTED_VALUE"""),"Promedio de personas atendidas con atención terapéutica - educativa en el Centro de Atención Psicopedagógica Infantil durante el 2024")</f>
        <v>Promedio de personas atendidas con atención terapéutica - educativa en el Centro de Atención Psicopedagógica Infantil durante el 2024</v>
      </c>
      <c r="H243" s="107" t="str">
        <f ca="1">IFERROR(__xludf.DUMMYFUNCTION("""COMPUTED_VALUE"""),"NOS abril")</f>
        <v>NOS abril</v>
      </c>
      <c r="I243" s="107" t="str">
        <f ca="1">IFERROR(__xludf.DUMMYFUNCTION("""COMPUTED_VALUE"""),"abril")</f>
        <v>abril</v>
      </c>
      <c r="J243" s="107" t="str">
        <f ca="1">IFERROR(__xludf.DUMMYFUNCTION("""COMPUTED_VALUE"""),"NOS")</f>
        <v>NOS</v>
      </c>
      <c r="K243" s="40">
        <f ca="1">IFERROR(__xludf.DUMMYFUNCTION("""COMPUTED_VALUE"""),110)</f>
        <v>110</v>
      </c>
      <c r="L243" s="107" t="str">
        <f ca="1">IFERROR(__xludf.DUMMYFUNCTION("""COMPUTED_VALUE"""),"TRIMESTRE 2")</f>
        <v>TRIMESTRE 2</v>
      </c>
      <c r="M243" s="107" t="str">
        <f ca="1">IFERROR(__xludf.DUMMYFUNCTION("""COMPUTED_VALUE"""),"NIÑOS")</f>
        <v>NIÑOS</v>
      </c>
    </row>
    <row r="244" spans="1:13">
      <c r="A244" s="107" t="str">
        <f ca="1">IFERROR(__xludf.DUMMYFUNCTION("""COMPUTED_VALUE"""),"5.1.2.0")</f>
        <v>5.1.2.0</v>
      </c>
      <c r="B244" s="107" t="str">
        <f ca="1">IFERROR(__xludf.DUMMYFUNCTION("""COMPUTED_VALUE"""),"Atención Psicopedagógica Infantil/Jefatura del Departamento de CDI, CAIC  y CEDI/Dirección del Área de Centros de Atención Infantil/Coord.3. Operación")</f>
        <v>Atención Psicopedagógica Infantil/Jefatura del Departamento de CDI, CAIC  y CEDI/Dirección del Área de Centros de Atención Infantil/Coord.3. Operación</v>
      </c>
      <c r="C244" s="107" t="str">
        <f ca="1">IFERROR(__xludf.DUMMYFUNCTION("""COMPUTED_VALUE"""),"3. Operación")</f>
        <v>3. Operación</v>
      </c>
      <c r="D244" s="107" t="str">
        <f ca="1">IFERROR(__xludf.DUMMYFUNCTION("""COMPUTED_VALUE"""),"Guadalajara bien educada")</f>
        <v>Guadalajara bien educada</v>
      </c>
      <c r="E244" s="107" t="str">
        <f ca="1">IFERROR(__xludf.DUMMYFUNCTION("""COMPUTED_VALUE"""),"Atención Psicopedagógica Infantil")</f>
        <v>Atención Psicopedagógica Infantil</v>
      </c>
      <c r="F244" s="107" t="str">
        <f ca="1">IFERROR(__xludf.DUMMYFUNCTION("""COMPUTED_VALUE"""),"C2. Atenciones terapéuticas brindadas a niñas y niños con barreras de aprendizaje en el Centro de Atención Psicopedagógica Infantil")</f>
        <v>C2. Atenciones terapéuticas brindadas a niñas y niños con barreras de aprendizaje en el Centro de Atención Psicopedagógica Infantil</v>
      </c>
      <c r="G244" s="107" t="str">
        <f ca="1">IFERROR(__xludf.DUMMYFUNCTION("""COMPUTED_VALUE"""),"Promedio de personas atendidas con atención terapéutica - educativa en el Centro de Atención Psicopedagógica Infantil durante el 2024")</f>
        <v>Promedio de personas atendidas con atención terapéutica - educativa en el Centro de Atención Psicopedagógica Infantil durante el 2024</v>
      </c>
      <c r="H244" s="107" t="str">
        <f ca="1">IFERROR(__xludf.DUMMYFUNCTION("""COMPUTED_VALUE"""),"AM abril")</f>
        <v>AM abril</v>
      </c>
      <c r="I244" s="107" t="str">
        <f ca="1">IFERROR(__xludf.DUMMYFUNCTION("""COMPUTED_VALUE"""),"abril")</f>
        <v>abril</v>
      </c>
      <c r="J244" s="107" t="str">
        <f ca="1">IFERROR(__xludf.DUMMYFUNCTION("""COMPUTED_VALUE"""),"AM")</f>
        <v>AM</v>
      </c>
      <c r="K244" s="40">
        <f ca="1">IFERROR(__xludf.DUMMYFUNCTION("""COMPUTED_VALUE"""),0)</f>
        <v>0</v>
      </c>
      <c r="L244" s="107" t="str">
        <f ca="1">IFERROR(__xludf.DUMMYFUNCTION("""COMPUTED_VALUE"""),"TRIMESTRE 2")</f>
        <v>TRIMESTRE 2</v>
      </c>
      <c r="M244" s="107" t="str">
        <f ca="1">IFERROR(__xludf.DUMMYFUNCTION("""COMPUTED_VALUE"""),"ADOLESCENTES MUJERES")</f>
        <v>ADOLESCENTES MUJERES</v>
      </c>
    </row>
    <row r="245" spans="1:13">
      <c r="A245" s="107" t="str">
        <f ca="1">IFERROR(__xludf.DUMMYFUNCTION("""COMPUTED_VALUE"""),"5.1.2.0")</f>
        <v>5.1.2.0</v>
      </c>
      <c r="B245" s="107" t="str">
        <f ca="1">IFERROR(__xludf.DUMMYFUNCTION("""COMPUTED_VALUE"""),"Atención Psicopedagógica Infantil/Jefatura del Departamento de CDI, CAIC  y CEDI/Dirección del Área de Centros de Atención Infantil/Coord.3. Operación")</f>
        <v>Atención Psicopedagógica Infantil/Jefatura del Departamento de CDI, CAIC  y CEDI/Dirección del Área de Centros de Atención Infantil/Coord.3. Operación</v>
      </c>
      <c r="C245" s="107" t="str">
        <f ca="1">IFERROR(__xludf.DUMMYFUNCTION("""COMPUTED_VALUE"""),"3. Operación")</f>
        <v>3. Operación</v>
      </c>
      <c r="D245" s="107" t="str">
        <f ca="1">IFERROR(__xludf.DUMMYFUNCTION("""COMPUTED_VALUE"""),"Guadalajara bien educada")</f>
        <v>Guadalajara bien educada</v>
      </c>
      <c r="E245" s="107" t="str">
        <f ca="1">IFERROR(__xludf.DUMMYFUNCTION("""COMPUTED_VALUE"""),"Atención Psicopedagógica Infantil")</f>
        <v>Atención Psicopedagógica Infantil</v>
      </c>
      <c r="F245" s="107" t="str">
        <f ca="1">IFERROR(__xludf.DUMMYFUNCTION("""COMPUTED_VALUE"""),"C2. Atenciones terapéuticas brindadas a niñas y niños con barreras de aprendizaje en el Centro de Atención Psicopedagógica Infantil")</f>
        <v>C2. Atenciones terapéuticas brindadas a niñas y niños con barreras de aprendizaje en el Centro de Atención Psicopedagógica Infantil</v>
      </c>
      <c r="G245" s="107" t="str">
        <f ca="1">IFERROR(__xludf.DUMMYFUNCTION("""COMPUTED_VALUE"""),"Promedio de personas atendidas con atención terapéutica - educativa en el Centro de Atención Psicopedagógica Infantil durante el 2024")</f>
        <v>Promedio de personas atendidas con atención terapéutica - educativa en el Centro de Atención Psicopedagógica Infantil durante el 2024</v>
      </c>
      <c r="H245" s="107" t="str">
        <f ca="1">IFERROR(__xludf.DUMMYFUNCTION("""COMPUTED_VALUE"""),"AH abril")</f>
        <v>AH abril</v>
      </c>
      <c r="I245" s="107" t="str">
        <f ca="1">IFERROR(__xludf.DUMMYFUNCTION("""COMPUTED_VALUE"""),"abril")</f>
        <v>abril</v>
      </c>
      <c r="J245" s="107" t="str">
        <f ca="1">IFERROR(__xludf.DUMMYFUNCTION("""COMPUTED_VALUE"""),"AH")</f>
        <v>AH</v>
      </c>
      <c r="K245" s="40">
        <f ca="1">IFERROR(__xludf.DUMMYFUNCTION("""COMPUTED_VALUE"""),0)</f>
        <v>0</v>
      </c>
      <c r="L245" s="107" t="str">
        <f ca="1">IFERROR(__xludf.DUMMYFUNCTION("""COMPUTED_VALUE"""),"TRIMESTRE 2")</f>
        <v>TRIMESTRE 2</v>
      </c>
      <c r="M245" s="107" t="str">
        <f ca="1">IFERROR(__xludf.DUMMYFUNCTION("""COMPUTED_VALUE"""),"ADOLESCENTES HOMBRES")</f>
        <v>ADOLESCENTES HOMBRES</v>
      </c>
    </row>
    <row r="246" spans="1:13">
      <c r="A246" s="107" t="str">
        <f ca="1">IFERROR(__xludf.DUMMYFUNCTION("""COMPUTED_VALUE"""),"5.1.2.0")</f>
        <v>5.1.2.0</v>
      </c>
      <c r="B246" s="107" t="str">
        <f ca="1">IFERROR(__xludf.DUMMYFUNCTION("""COMPUTED_VALUE"""),"Atención Psicopedagógica Infantil/Jefatura del Departamento de CDI, CAIC  y CEDI/Dirección del Área de Centros de Atención Infantil/Coord.3. Operación")</f>
        <v>Atención Psicopedagógica Infantil/Jefatura del Departamento de CDI, CAIC  y CEDI/Dirección del Área de Centros de Atención Infantil/Coord.3. Operación</v>
      </c>
      <c r="C246" s="107" t="str">
        <f ca="1">IFERROR(__xludf.DUMMYFUNCTION("""COMPUTED_VALUE"""),"3. Operación")</f>
        <v>3. Operación</v>
      </c>
      <c r="D246" s="107" t="str">
        <f ca="1">IFERROR(__xludf.DUMMYFUNCTION("""COMPUTED_VALUE"""),"Guadalajara bien educada")</f>
        <v>Guadalajara bien educada</v>
      </c>
      <c r="E246" s="107" t="str">
        <f ca="1">IFERROR(__xludf.DUMMYFUNCTION("""COMPUTED_VALUE"""),"Atención Psicopedagógica Infantil")</f>
        <v>Atención Psicopedagógica Infantil</v>
      </c>
      <c r="F246" s="107" t="str">
        <f ca="1">IFERROR(__xludf.DUMMYFUNCTION("""COMPUTED_VALUE"""),"C2. Atenciones terapéuticas brindadas a niñas y niños con barreras de aprendizaje en el Centro de Atención Psicopedagógica Infantil")</f>
        <v>C2. Atenciones terapéuticas brindadas a niñas y niños con barreras de aprendizaje en el Centro de Atención Psicopedagógica Infantil</v>
      </c>
      <c r="G246" s="107" t="str">
        <f ca="1">IFERROR(__xludf.DUMMYFUNCTION("""COMPUTED_VALUE"""),"Promedio de personas atendidas con atención terapéutica - educativa en el Centro de Atención Psicopedagógica Infantil durante el 2024")</f>
        <v>Promedio de personas atendidas con atención terapéutica - educativa en el Centro de Atención Psicopedagógica Infantil durante el 2024</v>
      </c>
      <c r="H246" s="107" t="str">
        <f ca="1">IFERROR(__xludf.DUMMYFUNCTION("""COMPUTED_VALUE"""),"MUJ abril")</f>
        <v>MUJ abril</v>
      </c>
      <c r="I246" s="107" t="str">
        <f ca="1">IFERROR(__xludf.DUMMYFUNCTION("""COMPUTED_VALUE"""),"abril")</f>
        <v>abril</v>
      </c>
      <c r="J246" s="107" t="str">
        <f ca="1">IFERROR(__xludf.DUMMYFUNCTION("""COMPUTED_VALUE"""),"MUJ")</f>
        <v>MUJ</v>
      </c>
      <c r="K246" s="40"/>
      <c r="L246" s="107" t="str">
        <f ca="1">IFERROR(__xludf.DUMMYFUNCTION("""COMPUTED_VALUE"""),"TRIMESTRE 2")</f>
        <v>TRIMESTRE 2</v>
      </c>
      <c r="M246" s="107" t="str">
        <f ca="1">IFERROR(__xludf.DUMMYFUNCTION("""COMPUTED_VALUE"""),"MUJERES ADULTAS")</f>
        <v>MUJERES ADULTAS</v>
      </c>
    </row>
    <row r="247" spans="1:13">
      <c r="A247" s="107" t="str">
        <f ca="1">IFERROR(__xludf.DUMMYFUNCTION("""COMPUTED_VALUE"""),"5.1.2.0")</f>
        <v>5.1.2.0</v>
      </c>
      <c r="B247" s="107" t="str">
        <f ca="1">IFERROR(__xludf.DUMMYFUNCTION("""COMPUTED_VALUE"""),"Atención Psicopedagógica Infantil/Jefatura del Departamento de CDI, CAIC  y CEDI/Dirección del Área de Centros de Atención Infantil/Coord.3. Operación")</f>
        <v>Atención Psicopedagógica Infantil/Jefatura del Departamento de CDI, CAIC  y CEDI/Dirección del Área de Centros de Atención Infantil/Coord.3. Operación</v>
      </c>
      <c r="C247" s="107" t="str">
        <f ca="1">IFERROR(__xludf.DUMMYFUNCTION("""COMPUTED_VALUE"""),"3. Operación")</f>
        <v>3. Operación</v>
      </c>
      <c r="D247" s="107" t="str">
        <f ca="1">IFERROR(__xludf.DUMMYFUNCTION("""COMPUTED_VALUE"""),"Guadalajara bien educada")</f>
        <v>Guadalajara bien educada</v>
      </c>
      <c r="E247" s="107" t="str">
        <f ca="1">IFERROR(__xludf.DUMMYFUNCTION("""COMPUTED_VALUE"""),"Atención Psicopedagógica Infantil")</f>
        <v>Atención Psicopedagógica Infantil</v>
      </c>
      <c r="F247" s="107" t="str">
        <f ca="1">IFERROR(__xludf.DUMMYFUNCTION("""COMPUTED_VALUE"""),"C2. Atenciones terapéuticas brindadas a niñas y niños con barreras de aprendizaje en el Centro de Atención Psicopedagógica Infantil")</f>
        <v>C2. Atenciones terapéuticas brindadas a niñas y niños con barreras de aprendizaje en el Centro de Atención Psicopedagógica Infantil</v>
      </c>
      <c r="G247" s="107" t="str">
        <f ca="1">IFERROR(__xludf.DUMMYFUNCTION("""COMPUTED_VALUE"""),"Promedio de personas atendidas con atención terapéutica - educativa en el Centro de Atención Psicopedagógica Infantil durante el 2024")</f>
        <v>Promedio de personas atendidas con atención terapéutica - educativa en el Centro de Atención Psicopedagógica Infantil durante el 2024</v>
      </c>
      <c r="H247" s="107" t="str">
        <f ca="1">IFERROR(__xludf.DUMMYFUNCTION("""COMPUTED_VALUE"""),"HOM abril")</f>
        <v>HOM abril</v>
      </c>
      <c r="I247" s="107" t="str">
        <f ca="1">IFERROR(__xludf.DUMMYFUNCTION("""COMPUTED_VALUE"""),"abril")</f>
        <v>abril</v>
      </c>
      <c r="J247" s="107" t="str">
        <f ca="1">IFERROR(__xludf.DUMMYFUNCTION("""COMPUTED_VALUE"""),"HOM")</f>
        <v>HOM</v>
      </c>
      <c r="K247" s="40"/>
      <c r="L247" s="107" t="str">
        <f ca="1">IFERROR(__xludf.DUMMYFUNCTION("""COMPUTED_VALUE"""),"TRIMESTRE 2")</f>
        <v>TRIMESTRE 2</v>
      </c>
      <c r="M247" s="107" t="str">
        <f ca="1">IFERROR(__xludf.DUMMYFUNCTION("""COMPUTED_VALUE"""),"HOMBRES ADULTOS")</f>
        <v>HOMBRES ADULTOS</v>
      </c>
    </row>
    <row r="248" spans="1:13">
      <c r="A248" s="107" t="str">
        <f ca="1">IFERROR(__xludf.DUMMYFUNCTION("""COMPUTED_VALUE"""),"5.1.2.0")</f>
        <v>5.1.2.0</v>
      </c>
      <c r="B248" s="107" t="str">
        <f ca="1">IFERROR(__xludf.DUMMYFUNCTION("""COMPUTED_VALUE"""),"Atención Psicopedagógica Infantil/Jefatura del Departamento de CDI, CAIC  y CEDI/Dirección del Área de Centros de Atención Infantil/Coord.3. Operación")</f>
        <v>Atención Psicopedagógica Infantil/Jefatura del Departamento de CDI, CAIC  y CEDI/Dirección del Área de Centros de Atención Infantil/Coord.3. Operación</v>
      </c>
      <c r="C248" s="107" t="str">
        <f ca="1">IFERROR(__xludf.DUMMYFUNCTION("""COMPUTED_VALUE"""),"3. Operación")</f>
        <v>3. Operación</v>
      </c>
      <c r="D248" s="107" t="str">
        <f ca="1">IFERROR(__xludf.DUMMYFUNCTION("""COMPUTED_VALUE"""),"Guadalajara bien educada")</f>
        <v>Guadalajara bien educada</v>
      </c>
      <c r="E248" s="107" t="str">
        <f ca="1">IFERROR(__xludf.DUMMYFUNCTION("""COMPUTED_VALUE"""),"Atención Psicopedagógica Infantil")</f>
        <v>Atención Psicopedagógica Infantil</v>
      </c>
      <c r="F248" s="107" t="str">
        <f ca="1">IFERROR(__xludf.DUMMYFUNCTION("""COMPUTED_VALUE"""),"C2. Atenciones terapéuticas brindadas a niñas y niños con barreras de aprendizaje en el Centro de Atención Psicopedagógica Infantil")</f>
        <v>C2. Atenciones terapéuticas brindadas a niñas y niños con barreras de aprendizaje en el Centro de Atención Psicopedagógica Infantil</v>
      </c>
      <c r="G248" s="107" t="str">
        <f ca="1">IFERROR(__xludf.DUMMYFUNCTION("""COMPUTED_VALUE"""),"Promedio de personas atendidas con atención terapéutica - educativa en el Centro de Atención Psicopedagógica Infantil durante el 2024")</f>
        <v>Promedio de personas atendidas con atención terapéutica - educativa en el Centro de Atención Psicopedagógica Infantil durante el 2024</v>
      </c>
      <c r="H248" s="107" t="str">
        <f ca="1">IFERROR(__xludf.DUMMYFUNCTION("""COMPUTED_VALUE"""),"AMM abril")</f>
        <v>AMM abril</v>
      </c>
      <c r="I248" s="107" t="str">
        <f ca="1">IFERROR(__xludf.DUMMYFUNCTION("""COMPUTED_VALUE"""),"abril")</f>
        <v>abril</v>
      </c>
      <c r="J248" s="107" t="str">
        <f ca="1">IFERROR(__xludf.DUMMYFUNCTION("""COMPUTED_VALUE"""),"AMM")</f>
        <v>AMM</v>
      </c>
      <c r="K248" s="40"/>
      <c r="L248" s="107" t="str">
        <f ca="1">IFERROR(__xludf.DUMMYFUNCTION("""COMPUTED_VALUE"""),"TRIMESTRE 2")</f>
        <v>TRIMESTRE 2</v>
      </c>
      <c r="M248" s="107" t="str">
        <f ca="1">IFERROR(__xludf.DUMMYFUNCTION("""COMPUTED_VALUE"""),"ADULTA MAYOR MUJER")</f>
        <v>ADULTA MAYOR MUJER</v>
      </c>
    </row>
    <row r="249" spans="1:13">
      <c r="A249" s="107" t="str">
        <f ca="1">IFERROR(__xludf.DUMMYFUNCTION("""COMPUTED_VALUE"""),"5.1.2.0")</f>
        <v>5.1.2.0</v>
      </c>
      <c r="B249" s="107" t="str">
        <f ca="1">IFERROR(__xludf.DUMMYFUNCTION("""COMPUTED_VALUE"""),"Atención Psicopedagógica Infantil/Jefatura del Departamento de CDI, CAIC  y CEDI/Dirección del Área de Centros de Atención Infantil/Coord.3. Operación")</f>
        <v>Atención Psicopedagógica Infantil/Jefatura del Departamento de CDI, CAIC  y CEDI/Dirección del Área de Centros de Atención Infantil/Coord.3. Operación</v>
      </c>
      <c r="C249" s="107" t="str">
        <f ca="1">IFERROR(__xludf.DUMMYFUNCTION("""COMPUTED_VALUE"""),"3. Operación")</f>
        <v>3. Operación</v>
      </c>
      <c r="D249" s="107" t="str">
        <f ca="1">IFERROR(__xludf.DUMMYFUNCTION("""COMPUTED_VALUE"""),"Guadalajara bien educada")</f>
        <v>Guadalajara bien educada</v>
      </c>
      <c r="E249" s="107" t="str">
        <f ca="1">IFERROR(__xludf.DUMMYFUNCTION("""COMPUTED_VALUE"""),"Atención Psicopedagógica Infantil")</f>
        <v>Atención Psicopedagógica Infantil</v>
      </c>
      <c r="F249" s="107" t="str">
        <f ca="1">IFERROR(__xludf.DUMMYFUNCTION("""COMPUTED_VALUE"""),"C2. Atenciones terapéuticas brindadas a niñas y niños con barreras de aprendizaje en el Centro de Atención Psicopedagógica Infantil")</f>
        <v>C2. Atenciones terapéuticas brindadas a niñas y niños con barreras de aprendizaje en el Centro de Atención Psicopedagógica Infantil</v>
      </c>
      <c r="G249" s="107" t="str">
        <f ca="1">IFERROR(__xludf.DUMMYFUNCTION("""COMPUTED_VALUE"""),"Promedio de personas atendidas con atención terapéutica - educativa en el Centro de Atención Psicopedagógica Infantil durante el 2024")</f>
        <v>Promedio de personas atendidas con atención terapéutica - educativa en el Centro de Atención Psicopedagógica Infantil durante el 2024</v>
      </c>
      <c r="H249" s="107" t="str">
        <f ca="1">IFERROR(__xludf.DUMMYFUNCTION("""COMPUTED_VALUE"""),"AMH abril")</f>
        <v>AMH abril</v>
      </c>
      <c r="I249" s="107" t="str">
        <f ca="1">IFERROR(__xludf.DUMMYFUNCTION("""COMPUTED_VALUE"""),"abril")</f>
        <v>abril</v>
      </c>
      <c r="J249" s="107" t="str">
        <f ca="1">IFERROR(__xludf.DUMMYFUNCTION("""COMPUTED_VALUE"""),"AMH")</f>
        <v>AMH</v>
      </c>
      <c r="K249" s="40"/>
      <c r="L249" s="107" t="str">
        <f ca="1">IFERROR(__xludf.DUMMYFUNCTION("""COMPUTED_VALUE"""),"TRIMESTRE 2")</f>
        <v>TRIMESTRE 2</v>
      </c>
      <c r="M249" s="107" t="str">
        <f ca="1">IFERROR(__xludf.DUMMYFUNCTION("""COMPUTED_VALUE"""),"ADULTO MAYOR HOMBRE")</f>
        <v>ADULTO MAYOR HOMBRE</v>
      </c>
    </row>
    <row r="250" spans="1:13">
      <c r="A250" s="107" t="str">
        <f ca="1">IFERROR(__xludf.DUMMYFUNCTION("""COMPUTED_VALUE"""),"5.1.2.1")</f>
        <v>5.1.2.1</v>
      </c>
      <c r="B250" s="107" t="str">
        <f ca="1">IFERROR(__xludf.DUMMYFUNCTION("""COMPUTED_VALUE"""),"Atención Psicopedagógica Infantil/Dirección del Área de Centros de Inclusión/Dirección del Área de Centros de Inclusión/Coord.5. Inclusión")</f>
        <v>Atención Psicopedagógica Infantil/Dirección del Área de Centros de Inclusión/Dirección del Área de Centros de Inclusión/Coord.5. Inclusión</v>
      </c>
      <c r="C250" s="107" t="str">
        <f ca="1">IFERROR(__xludf.DUMMYFUNCTION("""COMPUTED_VALUE"""),"5. Inclusión")</f>
        <v>5. Inclusión</v>
      </c>
      <c r="D250" s="107" t="str">
        <f ca="1">IFERROR(__xludf.DUMMYFUNCTION("""COMPUTED_VALUE"""),"Guadalajara bien educada")</f>
        <v>Guadalajara bien educada</v>
      </c>
      <c r="E250" s="107" t="str">
        <f ca="1">IFERROR(__xludf.DUMMYFUNCTION("""COMPUTED_VALUE"""),"Atención Psicopedagógica Infantil")</f>
        <v>Atención Psicopedagógica Infantil</v>
      </c>
      <c r="F250" s="107" t="str">
        <f ca="1">IFERROR(__xludf.DUMMYFUNCTION("""COMPUTED_VALUE"""),"A1C2 Actividades de diagnóstico y valoración psicológica ejecutadas para niñas y niños que requieran atención en el CAPI")</f>
        <v>A1C2 Actividades de diagnóstico y valoración psicológica ejecutadas para niñas y niños que requieran atención en el CAPI</v>
      </c>
      <c r="G250" s="107" t="str">
        <f ca="1">IFERROR(__xludf.DUMMYFUNCTION("""COMPUTED_VALUE"""),"Porcentaje de diagnósticos y valoraciones realizados a niñas y niños que requieran atención en el CAPI en 2024")</f>
        <v>Porcentaje de diagnósticos y valoraciones realizados a niñas y niños que requieran atención en el CAPI en 2024</v>
      </c>
      <c r="H250" s="107" t="str">
        <f ca="1">IFERROR(__xludf.DUMMYFUNCTION("""COMPUTED_VALUE"""),"NAS abril")</f>
        <v>NAS abril</v>
      </c>
      <c r="I250" s="107" t="str">
        <f ca="1">IFERROR(__xludf.DUMMYFUNCTION("""COMPUTED_VALUE"""),"abril")</f>
        <v>abril</v>
      </c>
      <c r="J250" s="107" t="str">
        <f ca="1">IFERROR(__xludf.DUMMYFUNCTION("""COMPUTED_VALUE"""),"NAS")</f>
        <v>NAS</v>
      </c>
      <c r="K250" s="40">
        <f ca="1">IFERROR(__xludf.DUMMYFUNCTION("""COMPUTED_VALUE"""),1)</f>
        <v>1</v>
      </c>
      <c r="L250" s="107" t="str">
        <f ca="1">IFERROR(__xludf.DUMMYFUNCTION("""COMPUTED_VALUE"""),"TRIMESTRE 2")</f>
        <v>TRIMESTRE 2</v>
      </c>
      <c r="M250" s="107" t="str">
        <f ca="1">IFERROR(__xludf.DUMMYFUNCTION("""COMPUTED_VALUE"""),"NIÑAS")</f>
        <v>NIÑAS</v>
      </c>
    </row>
    <row r="251" spans="1:13">
      <c r="A251" s="107" t="str">
        <f ca="1">IFERROR(__xludf.DUMMYFUNCTION("""COMPUTED_VALUE"""),"5.1.2.1")</f>
        <v>5.1.2.1</v>
      </c>
      <c r="B251" s="107" t="str">
        <f ca="1">IFERROR(__xludf.DUMMYFUNCTION("""COMPUTED_VALUE"""),"Atención Psicopedagógica Infantil/Dirección del Área de Centros de Inclusión/Dirección del Área de Centros de Inclusión/Coord.5. Inclusión")</f>
        <v>Atención Psicopedagógica Infantil/Dirección del Área de Centros de Inclusión/Dirección del Área de Centros de Inclusión/Coord.5. Inclusión</v>
      </c>
      <c r="C251" s="107" t="str">
        <f ca="1">IFERROR(__xludf.DUMMYFUNCTION("""COMPUTED_VALUE"""),"5. Inclusión")</f>
        <v>5. Inclusión</v>
      </c>
      <c r="D251" s="107" t="str">
        <f ca="1">IFERROR(__xludf.DUMMYFUNCTION("""COMPUTED_VALUE"""),"Guadalajara bien educada")</f>
        <v>Guadalajara bien educada</v>
      </c>
      <c r="E251" s="107" t="str">
        <f ca="1">IFERROR(__xludf.DUMMYFUNCTION("""COMPUTED_VALUE"""),"Atención Psicopedagógica Infantil")</f>
        <v>Atención Psicopedagógica Infantil</v>
      </c>
      <c r="F251" s="107" t="str">
        <f ca="1">IFERROR(__xludf.DUMMYFUNCTION("""COMPUTED_VALUE"""),"A1C2 Actividades de diagnóstico y valoración psicológica ejecutadas para niñas y niños que requieran atención en el CAPI")</f>
        <v>A1C2 Actividades de diagnóstico y valoración psicológica ejecutadas para niñas y niños que requieran atención en el CAPI</v>
      </c>
      <c r="G251" s="107" t="str">
        <f ca="1">IFERROR(__xludf.DUMMYFUNCTION("""COMPUTED_VALUE"""),"Porcentaje de diagnósticos y valoraciones realizados a niñas y niños que requieran atención en el CAPI en 2024")</f>
        <v>Porcentaje de diagnósticos y valoraciones realizados a niñas y niños que requieran atención en el CAPI en 2024</v>
      </c>
      <c r="H251" s="107" t="str">
        <f ca="1">IFERROR(__xludf.DUMMYFUNCTION("""COMPUTED_VALUE"""),"NOS abril")</f>
        <v>NOS abril</v>
      </c>
      <c r="I251" s="107" t="str">
        <f ca="1">IFERROR(__xludf.DUMMYFUNCTION("""COMPUTED_VALUE"""),"abril")</f>
        <v>abril</v>
      </c>
      <c r="J251" s="107" t="str">
        <f ca="1">IFERROR(__xludf.DUMMYFUNCTION("""COMPUTED_VALUE"""),"NOS")</f>
        <v>NOS</v>
      </c>
      <c r="K251" s="40">
        <f ca="1">IFERROR(__xludf.DUMMYFUNCTION("""COMPUTED_VALUE"""),4)</f>
        <v>4</v>
      </c>
      <c r="L251" s="107" t="str">
        <f ca="1">IFERROR(__xludf.DUMMYFUNCTION("""COMPUTED_VALUE"""),"TRIMESTRE 2")</f>
        <v>TRIMESTRE 2</v>
      </c>
      <c r="M251" s="107" t="str">
        <f ca="1">IFERROR(__xludf.DUMMYFUNCTION("""COMPUTED_VALUE"""),"NIÑOS")</f>
        <v>NIÑOS</v>
      </c>
    </row>
    <row r="252" spans="1:13">
      <c r="A252" s="107" t="str">
        <f ca="1">IFERROR(__xludf.DUMMYFUNCTION("""COMPUTED_VALUE"""),"5.1.2.1")</f>
        <v>5.1.2.1</v>
      </c>
      <c r="B252" s="107" t="str">
        <f ca="1">IFERROR(__xludf.DUMMYFUNCTION("""COMPUTED_VALUE"""),"Atención Psicopedagógica Infantil/Dirección del Área de Centros de Inclusión/Dirección del Área de Centros de Inclusión/Coord.5. Inclusión")</f>
        <v>Atención Psicopedagógica Infantil/Dirección del Área de Centros de Inclusión/Dirección del Área de Centros de Inclusión/Coord.5. Inclusión</v>
      </c>
      <c r="C252" s="107" t="str">
        <f ca="1">IFERROR(__xludf.DUMMYFUNCTION("""COMPUTED_VALUE"""),"5. Inclusión")</f>
        <v>5. Inclusión</v>
      </c>
      <c r="D252" s="107" t="str">
        <f ca="1">IFERROR(__xludf.DUMMYFUNCTION("""COMPUTED_VALUE"""),"Guadalajara bien educada")</f>
        <v>Guadalajara bien educada</v>
      </c>
      <c r="E252" s="107" t="str">
        <f ca="1">IFERROR(__xludf.DUMMYFUNCTION("""COMPUTED_VALUE"""),"Atención Psicopedagógica Infantil")</f>
        <v>Atención Psicopedagógica Infantil</v>
      </c>
      <c r="F252" s="107" t="str">
        <f ca="1">IFERROR(__xludf.DUMMYFUNCTION("""COMPUTED_VALUE"""),"A1C2 Actividades de diagnóstico y valoración psicológica ejecutadas para niñas y niños que requieran atención en el CAPI")</f>
        <v>A1C2 Actividades de diagnóstico y valoración psicológica ejecutadas para niñas y niños que requieran atención en el CAPI</v>
      </c>
      <c r="G252" s="107" t="str">
        <f ca="1">IFERROR(__xludf.DUMMYFUNCTION("""COMPUTED_VALUE"""),"Porcentaje de diagnósticos y valoraciones realizados a niñas y niños que requieran atención en el CAPI en 2024")</f>
        <v>Porcentaje de diagnósticos y valoraciones realizados a niñas y niños que requieran atención en el CAPI en 2024</v>
      </c>
      <c r="H252" s="107" t="str">
        <f ca="1">IFERROR(__xludf.DUMMYFUNCTION("""COMPUTED_VALUE"""),"AM abril")</f>
        <v>AM abril</v>
      </c>
      <c r="I252" s="107" t="str">
        <f ca="1">IFERROR(__xludf.DUMMYFUNCTION("""COMPUTED_VALUE"""),"abril")</f>
        <v>abril</v>
      </c>
      <c r="J252" s="107" t="str">
        <f ca="1">IFERROR(__xludf.DUMMYFUNCTION("""COMPUTED_VALUE"""),"AM")</f>
        <v>AM</v>
      </c>
      <c r="K252" s="40">
        <f ca="1">IFERROR(__xludf.DUMMYFUNCTION("""COMPUTED_VALUE"""),0)</f>
        <v>0</v>
      </c>
      <c r="L252" s="107" t="str">
        <f ca="1">IFERROR(__xludf.DUMMYFUNCTION("""COMPUTED_VALUE"""),"TRIMESTRE 2")</f>
        <v>TRIMESTRE 2</v>
      </c>
      <c r="M252" s="107" t="str">
        <f ca="1">IFERROR(__xludf.DUMMYFUNCTION("""COMPUTED_VALUE"""),"ADOLESCENTES MUJERES")</f>
        <v>ADOLESCENTES MUJERES</v>
      </c>
    </row>
    <row r="253" spans="1:13">
      <c r="A253" s="107" t="str">
        <f ca="1">IFERROR(__xludf.DUMMYFUNCTION("""COMPUTED_VALUE"""),"5.1.2.1")</f>
        <v>5.1.2.1</v>
      </c>
      <c r="B253" s="107" t="str">
        <f ca="1">IFERROR(__xludf.DUMMYFUNCTION("""COMPUTED_VALUE"""),"Atención Psicopedagógica Infantil/Dirección del Área de Centros de Inclusión/Dirección del Área de Centros de Inclusión/Coord.5. Inclusión")</f>
        <v>Atención Psicopedagógica Infantil/Dirección del Área de Centros de Inclusión/Dirección del Área de Centros de Inclusión/Coord.5. Inclusión</v>
      </c>
      <c r="C253" s="107" t="str">
        <f ca="1">IFERROR(__xludf.DUMMYFUNCTION("""COMPUTED_VALUE"""),"5. Inclusión")</f>
        <v>5. Inclusión</v>
      </c>
      <c r="D253" s="107" t="str">
        <f ca="1">IFERROR(__xludf.DUMMYFUNCTION("""COMPUTED_VALUE"""),"Guadalajara bien educada")</f>
        <v>Guadalajara bien educada</v>
      </c>
      <c r="E253" s="107" t="str">
        <f ca="1">IFERROR(__xludf.DUMMYFUNCTION("""COMPUTED_VALUE"""),"Atención Psicopedagógica Infantil")</f>
        <v>Atención Psicopedagógica Infantil</v>
      </c>
      <c r="F253" s="107" t="str">
        <f ca="1">IFERROR(__xludf.DUMMYFUNCTION("""COMPUTED_VALUE"""),"A1C2 Actividades de diagnóstico y valoración psicológica ejecutadas para niñas y niños que requieran atención en el CAPI")</f>
        <v>A1C2 Actividades de diagnóstico y valoración psicológica ejecutadas para niñas y niños que requieran atención en el CAPI</v>
      </c>
      <c r="G253" s="107" t="str">
        <f ca="1">IFERROR(__xludf.DUMMYFUNCTION("""COMPUTED_VALUE"""),"Porcentaje de diagnósticos y valoraciones realizados a niñas y niños que requieran atención en el CAPI en 2024")</f>
        <v>Porcentaje de diagnósticos y valoraciones realizados a niñas y niños que requieran atención en el CAPI en 2024</v>
      </c>
      <c r="H253" s="107" t="str">
        <f ca="1">IFERROR(__xludf.DUMMYFUNCTION("""COMPUTED_VALUE"""),"AH abril")</f>
        <v>AH abril</v>
      </c>
      <c r="I253" s="107" t="str">
        <f ca="1">IFERROR(__xludf.DUMMYFUNCTION("""COMPUTED_VALUE"""),"abril")</f>
        <v>abril</v>
      </c>
      <c r="J253" s="107" t="str">
        <f ca="1">IFERROR(__xludf.DUMMYFUNCTION("""COMPUTED_VALUE"""),"AH")</f>
        <v>AH</v>
      </c>
      <c r="K253" s="40">
        <f ca="1">IFERROR(__xludf.DUMMYFUNCTION("""COMPUTED_VALUE"""),0)</f>
        <v>0</v>
      </c>
      <c r="L253" s="107" t="str">
        <f ca="1">IFERROR(__xludf.DUMMYFUNCTION("""COMPUTED_VALUE"""),"TRIMESTRE 2")</f>
        <v>TRIMESTRE 2</v>
      </c>
      <c r="M253" s="107" t="str">
        <f ca="1">IFERROR(__xludf.DUMMYFUNCTION("""COMPUTED_VALUE"""),"ADOLESCENTES HOMBRES")</f>
        <v>ADOLESCENTES HOMBRES</v>
      </c>
    </row>
    <row r="254" spans="1:13">
      <c r="A254" s="107" t="str">
        <f ca="1">IFERROR(__xludf.DUMMYFUNCTION("""COMPUTED_VALUE"""),"5.1.2.1")</f>
        <v>5.1.2.1</v>
      </c>
      <c r="B254" s="107" t="str">
        <f ca="1">IFERROR(__xludf.DUMMYFUNCTION("""COMPUTED_VALUE"""),"Atención Psicopedagógica Infantil/Dirección del Área de Centros de Inclusión/Dirección del Área de Centros de Inclusión/Coord.5. Inclusión")</f>
        <v>Atención Psicopedagógica Infantil/Dirección del Área de Centros de Inclusión/Dirección del Área de Centros de Inclusión/Coord.5. Inclusión</v>
      </c>
      <c r="C254" s="107" t="str">
        <f ca="1">IFERROR(__xludf.DUMMYFUNCTION("""COMPUTED_VALUE"""),"5. Inclusión")</f>
        <v>5. Inclusión</v>
      </c>
      <c r="D254" s="107" t="str">
        <f ca="1">IFERROR(__xludf.DUMMYFUNCTION("""COMPUTED_VALUE"""),"Guadalajara bien educada")</f>
        <v>Guadalajara bien educada</v>
      </c>
      <c r="E254" s="107" t="str">
        <f ca="1">IFERROR(__xludf.DUMMYFUNCTION("""COMPUTED_VALUE"""),"Atención Psicopedagógica Infantil")</f>
        <v>Atención Psicopedagógica Infantil</v>
      </c>
      <c r="F254" s="107" t="str">
        <f ca="1">IFERROR(__xludf.DUMMYFUNCTION("""COMPUTED_VALUE"""),"A1C2 Actividades de diagnóstico y valoración psicológica ejecutadas para niñas y niños que requieran atención en el CAPI")</f>
        <v>A1C2 Actividades de diagnóstico y valoración psicológica ejecutadas para niñas y niños que requieran atención en el CAPI</v>
      </c>
      <c r="G254" s="107" t="str">
        <f ca="1">IFERROR(__xludf.DUMMYFUNCTION("""COMPUTED_VALUE"""),"Porcentaje de diagnósticos y valoraciones realizados a niñas y niños que requieran atención en el CAPI en 2024")</f>
        <v>Porcentaje de diagnósticos y valoraciones realizados a niñas y niños que requieran atención en el CAPI en 2024</v>
      </c>
      <c r="H254" s="107" t="str">
        <f ca="1">IFERROR(__xludf.DUMMYFUNCTION("""COMPUTED_VALUE"""),"MUJ abril")</f>
        <v>MUJ abril</v>
      </c>
      <c r="I254" s="107" t="str">
        <f ca="1">IFERROR(__xludf.DUMMYFUNCTION("""COMPUTED_VALUE"""),"abril")</f>
        <v>abril</v>
      </c>
      <c r="J254" s="107" t="str">
        <f ca="1">IFERROR(__xludf.DUMMYFUNCTION("""COMPUTED_VALUE"""),"MUJ")</f>
        <v>MUJ</v>
      </c>
      <c r="K254" s="40"/>
      <c r="L254" s="107" t="str">
        <f ca="1">IFERROR(__xludf.DUMMYFUNCTION("""COMPUTED_VALUE"""),"TRIMESTRE 2")</f>
        <v>TRIMESTRE 2</v>
      </c>
      <c r="M254" s="107" t="str">
        <f ca="1">IFERROR(__xludf.DUMMYFUNCTION("""COMPUTED_VALUE"""),"MUJERES ADULTAS")</f>
        <v>MUJERES ADULTAS</v>
      </c>
    </row>
    <row r="255" spans="1:13">
      <c r="A255" s="107" t="str">
        <f ca="1">IFERROR(__xludf.DUMMYFUNCTION("""COMPUTED_VALUE"""),"5.1.2.1")</f>
        <v>5.1.2.1</v>
      </c>
      <c r="B255" s="107" t="str">
        <f ca="1">IFERROR(__xludf.DUMMYFUNCTION("""COMPUTED_VALUE"""),"Atención Psicopedagógica Infantil/Dirección del Área de Centros de Inclusión/Dirección del Área de Centros de Inclusión/Coord.5. Inclusión")</f>
        <v>Atención Psicopedagógica Infantil/Dirección del Área de Centros de Inclusión/Dirección del Área de Centros de Inclusión/Coord.5. Inclusión</v>
      </c>
      <c r="C255" s="107" t="str">
        <f ca="1">IFERROR(__xludf.DUMMYFUNCTION("""COMPUTED_VALUE"""),"5. Inclusión")</f>
        <v>5. Inclusión</v>
      </c>
      <c r="D255" s="107" t="str">
        <f ca="1">IFERROR(__xludf.DUMMYFUNCTION("""COMPUTED_VALUE"""),"Guadalajara bien educada")</f>
        <v>Guadalajara bien educada</v>
      </c>
      <c r="E255" s="107" t="str">
        <f ca="1">IFERROR(__xludf.DUMMYFUNCTION("""COMPUTED_VALUE"""),"Atención Psicopedagógica Infantil")</f>
        <v>Atención Psicopedagógica Infantil</v>
      </c>
      <c r="F255" s="107" t="str">
        <f ca="1">IFERROR(__xludf.DUMMYFUNCTION("""COMPUTED_VALUE"""),"A1C2 Actividades de diagnóstico y valoración psicológica ejecutadas para niñas y niños que requieran atención en el CAPI")</f>
        <v>A1C2 Actividades de diagnóstico y valoración psicológica ejecutadas para niñas y niños que requieran atención en el CAPI</v>
      </c>
      <c r="G255" s="107" t="str">
        <f ca="1">IFERROR(__xludf.DUMMYFUNCTION("""COMPUTED_VALUE"""),"Porcentaje de diagnósticos y valoraciones realizados a niñas y niños que requieran atención en el CAPI en 2024")</f>
        <v>Porcentaje de diagnósticos y valoraciones realizados a niñas y niños que requieran atención en el CAPI en 2024</v>
      </c>
      <c r="H255" s="107" t="str">
        <f ca="1">IFERROR(__xludf.DUMMYFUNCTION("""COMPUTED_VALUE"""),"HOM abril")</f>
        <v>HOM abril</v>
      </c>
      <c r="I255" s="107" t="str">
        <f ca="1">IFERROR(__xludf.DUMMYFUNCTION("""COMPUTED_VALUE"""),"abril")</f>
        <v>abril</v>
      </c>
      <c r="J255" s="107" t="str">
        <f ca="1">IFERROR(__xludf.DUMMYFUNCTION("""COMPUTED_VALUE"""),"HOM")</f>
        <v>HOM</v>
      </c>
      <c r="K255" s="40"/>
      <c r="L255" s="107" t="str">
        <f ca="1">IFERROR(__xludf.DUMMYFUNCTION("""COMPUTED_VALUE"""),"TRIMESTRE 2")</f>
        <v>TRIMESTRE 2</v>
      </c>
      <c r="M255" s="107" t="str">
        <f ca="1">IFERROR(__xludf.DUMMYFUNCTION("""COMPUTED_VALUE"""),"HOMBRES ADULTOS")</f>
        <v>HOMBRES ADULTOS</v>
      </c>
    </row>
    <row r="256" spans="1:13">
      <c r="A256" s="107" t="str">
        <f ca="1">IFERROR(__xludf.DUMMYFUNCTION("""COMPUTED_VALUE"""),"5.1.2.1")</f>
        <v>5.1.2.1</v>
      </c>
      <c r="B256" s="107" t="str">
        <f ca="1">IFERROR(__xludf.DUMMYFUNCTION("""COMPUTED_VALUE"""),"Atención Psicopedagógica Infantil/Dirección del Área de Centros de Inclusión/Dirección del Área de Centros de Inclusión/Coord.5. Inclusión")</f>
        <v>Atención Psicopedagógica Infantil/Dirección del Área de Centros de Inclusión/Dirección del Área de Centros de Inclusión/Coord.5. Inclusión</v>
      </c>
      <c r="C256" s="107" t="str">
        <f ca="1">IFERROR(__xludf.DUMMYFUNCTION("""COMPUTED_VALUE"""),"5. Inclusión")</f>
        <v>5. Inclusión</v>
      </c>
      <c r="D256" s="107" t="str">
        <f ca="1">IFERROR(__xludf.DUMMYFUNCTION("""COMPUTED_VALUE"""),"Guadalajara bien educada")</f>
        <v>Guadalajara bien educada</v>
      </c>
      <c r="E256" s="107" t="str">
        <f ca="1">IFERROR(__xludf.DUMMYFUNCTION("""COMPUTED_VALUE"""),"Atención Psicopedagógica Infantil")</f>
        <v>Atención Psicopedagógica Infantil</v>
      </c>
      <c r="F256" s="107" t="str">
        <f ca="1">IFERROR(__xludf.DUMMYFUNCTION("""COMPUTED_VALUE"""),"A1C2 Actividades de diagnóstico y valoración psicológica ejecutadas para niñas y niños que requieran atención en el CAPI")</f>
        <v>A1C2 Actividades de diagnóstico y valoración psicológica ejecutadas para niñas y niños que requieran atención en el CAPI</v>
      </c>
      <c r="G256" s="107" t="str">
        <f ca="1">IFERROR(__xludf.DUMMYFUNCTION("""COMPUTED_VALUE"""),"Porcentaje de diagnósticos y valoraciones realizados a niñas y niños que requieran atención en el CAPI en 2024")</f>
        <v>Porcentaje de diagnósticos y valoraciones realizados a niñas y niños que requieran atención en el CAPI en 2024</v>
      </c>
      <c r="H256" s="107" t="str">
        <f ca="1">IFERROR(__xludf.DUMMYFUNCTION("""COMPUTED_VALUE"""),"AMM abril")</f>
        <v>AMM abril</v>
      </c>
      <c r="I256" s="107" t="str">
        <f ca="1">IFERROR(__xludf.DUMMYFUNCTION("""COMPUTED_VALUE"""),"abril")</f>
        <v>abril</v>
      </c>
      <c r="J256" s="107" t="str">
        <f ca="1">IFERROR(__xludf.DUMMYFUNCTION("""COMPUTED_VALUE"""),"AMM")</f>
        <v>AMM</v>
      </c>
      <c r="K256" s="40"/>
      <c r="L256" s="107" t="str">
        <f ca="1">IFERROR(__xludf.DUMMYFUNCTION("""COMPUTED_VALUE"""),"TRIMESTRE 2")</f>
        <v>TRIMESTRE 2</v>
      </c>
      <c r="M256" s="107" t="str">
        <f ca="1">IFERROR(__xludf.DUMMYFUNCTION("""COMPUTED_VALUE"""),"ADULTA MAYOR MUJER")</f>
        <v>ADULTA MAYOR MUJER</v>
      </c>
    </row>
    <row r="257" spans="1:13">
      <c r="A257" s="107" t="str">
        <f ca="1">IFERROR(__xludf.DUMMYFUNCTION("""COMPUTED_VALUE"""),"5.1.2.1")</f>
        <v>5.1.2.1</v>
      </c>
      <c r="B257" s="107" t="str">
        <f ca="1">IFERROR(__xludf.DUMMYFUNCTION("""COMPUTED_VALUE"""),"Atención Psicopedagógica Infantil/Dirección del Área de Centros de Inclusión/Dirección del Área de Centros de Inclusión/Coord.5. Inclusión")</f>
        <v>Atención Psicopedagógica Infantil/Dirección del Área de Centros de Inclusión/Dirección del Área de Centros de Inclusión/Coord.5. Inclusión</v>
      </c>
      <c r="C257" s="107" t="str">
        <f ca="1">IFERROR(__xludf.DUMMYFUNCTION("""COMPUTED_VALUE"""),"5. Inclusión")</f>
        <v>5. Inclusión</v>
      </c>
      <c r="D257" s="107" t="str">
        <f ca="1">IFERROR(__xludf.DUMMYFUNCTION("""COMPUTED_VALUE"""),"Guadalajara bien educada")</f>
        <v>Guadalajara bien educada</v>
      </c>
      <c r="E257" s="107" t="str">
        <f ca="1">IFERROR(__xludf.DUMMYFUNCTION("""COMPUTED_VALUE"""),"Atención Psicopedagógica Infantil")</f>
        <v>Atención Psicopedagógica Infantil</v>
      </c>
      <c r="F257" s="107" t="str">
        <f ca="1">IFERROR(__xludf.DUMMYFUNCTION("""COMPUTED_VALUE"""),"A1C2 Actividades de diagnóstico y valoración psicológica ejecutadas para niñas y niños que requieran atención en el CAPI")</f>
        <v>A1C2 Actividades de diagnóstico y valoración psicológica ejecutadas para niñas y niños que requieran atención en el CAPI</v>
      </c>
      <c r="G257" s="107" t="str">
        <f ca="1">IFERROR(__xludf.DUMMYFUNCTION("""COMPUTED_VALUE"""),"Porcentaje de diagnósticos y valoraciones realizados a niñas y niños que requieran atención en el CAPI en 2024")</f>
        <v>Porcentaje de diagnósticos y valoraciones realizados a niñas y niños que requieran atención en el CAPI en 2024</v>
      </c>
      <c r="H257" s="107" t="str">
        <f ca="1">IFERROR(__xludf.DUMMYFUNCTION("""COMPUTED_VALUE"""),"AMH abril")</f>
        <v>AMH abril</v>
      </c>
      <c r="I257" s="107" t="str">
        <f ca="1">IFERROR(__xludf.DUMMYFUNCTION("""COMPUTED_VALUE"""),"abril")</f>
        <v>abril</v>
      </c>
      <c r="J257" s="107" t="str">
        <f ca="1">IFERROR(__xludf.DUMMYFUNCTION("""COMPUTED_VALUE"""),"AMH")</f>
        <v>AMH</v>
      </c>
      <c r="K257" s="40"/>
      <c r="L257" s="107" t="str">
        <f ca="1">IFERROR(__xludf.DUMMYFUNCTION("""COMPUTED_VALUE"""),"TRIMESTRE 2")</f>
        <v>TRIMESTRE 2</v>
      </c>
      <c r="M257" s="107" t="str">
        <f ca="1">IFERROR(__xludf.DUMMYFUNCTION("""COMPUTED_VALUE"""),"ADULTO MAYOR HOMBRE")</f>
        <v>ADULTO MAYOR HOMBRE</v>
      </c>
    </row>
    <row r="258" spans="1:13">
      <c r="A258" s="107" t="str">
        <f ca="1">IFERROR(__xludf.DUMMYFUNCTION("""COMPUTED_VALUE"""),"5.1.2.0")</f>
        <v>5.1.2.0</v>
      </c>
      <c r="B258" s="107" t="str">
        <f ca="1">IFERROR(__xludf.DUMMYFUNCTION("""COMPUTED_VALUE"""),"Atención Psicopedagógica Infantil/Jefatura del Departamento de CDI, CAIC  y CEDI/Dirección del Área de Centros de Atención Infantil/Coord.3. Operación")</f>
        <v>Atención Psicopedagógica Infantil/Jefatura del Departamento de CDI, CAIC  y CEDI/Dirección del Área de Centros de Atención Infantil/Coord.3. Operación</v>
      </c>
      <c r="C258" s="107" t="str">
        <f ca="1">IFERROR(__xludf.DUMMYFUNCTION("""COMPUTED_VALUE"""),"3. Operación")</f>
        <v>3. Operación</v>
      </c>
      <c r="D258" s="107" t="str">
        <f ca="1">IFERROR(__xludf.DUMMYFUNCTION("""COMPUTED_VALUE"""),"Guadalajara bien educada")</f>
        <v>Guadalajara bien educada</v>
      </c>
      <c r="E258" s="107" t="str">
        <f ca="1">IFERROR(__xludf.DUMMYFUNCTION("""COMPUTED_VALUE"""),"Atención Psicopedagógica Infantil")</f>
        <v>Atención Psicopedagógica Infantil</v>
      </c>
      <c r="F258" s="107" t="str">
        <f ca="1">IFERROR(__xludf.DUMMYFUNCTION("""COMPUTED_VALUE"""),"C2. Atenciones terapéuticas brindadas a niñas y niños con barreras de aprendizaje en el Centro de Atención Psicopedagógica Infantil")</f>
        <v>C2. Atenciones terapéuticas brindadas a niñas y niños con barreras de aprendizaje en el Centro de Atención Psicopedagógica Infantil</v>
      </c>
      <c r="G258" s="107" t="str">
        <f ca="1">IFERROR(__xludf.DUMMYFUNCTION("""COMPUTED_VALUE"""),"Promedio de personas atendidas con atención terapéutica - educativa en el Centro de Atención Psicopedagógica Infantil durante el 2024")</f>
        <v>Promedio de personas atendidas con atención terapéutica - educativa en el Centro de Atención Psicopedagógica Infantil durante el 2024</v>
      </c>
      <c r="H258" s="107" t="str">
        <f ca="1">IFERROR(__xludf.DUMMYFUNCTION("""COMPUTED_VALUE"""),"NAS mayo")</f>
        <v>NAS mayo</v>
      </c>
      <c r="I258" s="107" t="str">
        <f ca="1">IFERROR(__xludf.DUMMYFUNCTION("""COMPUTED_VALUE"""),"mayo")</f>
        <v>mayo</v>
      </c>
      <c r="J258" s="107" t="str">
        <f ca="1">IFERROR(__xludf.DUMMYFUNCTION("""COMPUTED_VALUE"""),"NAS")</f>
        <v>NAS</v>
      </c>
      <c r="K258" s="40">
        <f ca="1">IFERROR(__xludf.DUMMYFUNCTION("""COMPUTED_VALUE"""),60)</f>
        <v>60</v>
      </c>
      <c r="L258" s="107" t="str">
        <f ca="1">IFERROR(__xludf.DUMMYFUNCTION("""COMPUTED_VALUE"""),"TRIMESTRE 2")</f>
        <v>TRIMESTRE 2</v>
      </c>
      <c r="M258" s="107" t="str">
        <f ca="1">IFERROR(__xludf.DUMMYFUNCTION("""COMPUTED_VALUE"""),"NIÑAS")</f>
        <v>NIÑAS</v>
      </c>
    </row>
    <row r="259" spans="1:13">
      <c r="A259" s="107" t="str">
        <f ca="1">IFERROR(__xludf.DUMMYFUNCTION("""COMPUTED_VALUE"""),"5.1.2.0")</f>
        <v>5.1.2.0</v>
      </c>
      <c r="B259" s="107" t="str">
        <f ca="1">IFERROR(__xludf.DUMMYFUNCTION("""COMPUTED_VALUE"""),"Atención Psicopedagógica Infantil/Jefatura del Departamento de CDI, CAIC  y CEDI/Dirección del Área de Centros de Atención Infantil/Coord.3. Operación")</f>
        <v>Atención Psicopedagógica Infantil/Jefatura del Departamento de CDI, CAIC  y CEDI/Dirección del Área de Centros de Atención Infantil/Coord.3. Operación</v>
      </c>
      <c r="C259" s="107" t="str">
        <f ca="1">IFERROR(__xludf.DUMMYFUNCTION("""COMPUTED_VALUE"""),"3. Operación")</f>
        <v>3. Operación</v>
      </c>
      <c r="D259" s="107" t="str">
        <f ca="1">IFERROR(__xludf.DUMMYFUNCTION("""COMPUTED_VALUE"""),"Guadalajara bien educada")</f>
        <v>Guadalajara bien educada</v>
      </c>
      <c r="E259" s="107" t="str">
        <f ca="1">IFERROR(__xludf.DUMMYFUNCTION("""COMPUTED_VALUE"""),"Atención Psicopedagógica Infantil")</f>
        <v>Atención Psicopedagógica Infantil</v>
      </c>
      <c r="F259" s="107" t="str">
        <f ca="1">IFERROR(__xludf.DUMMYFUNCTION("""COMPUTED_VALUE"""),"C2. Atenciones terapéuticas brindadas a niñas y niños con barreras de aprendizaje en el Centro de Atención Psicopedagógica Infantil")</f>
        <v>C2. Atenciones terapéuticas brindadas a niñas y niños con barreras de aprendizaje en el Centro de Atención Psicopedagógica Infantil</v>
      </c>
      <c r="G259" s="107" t="str">
        <f ca="1">IFERROR(__xludf.DUMMYFUNCTION("""COMPUTED_VALUE"""),"Promedio de personas atendidas con atención terapéutica - educativa en el Centro de Atención Psicopedagógica Infantil durante el 2024")</f>
        <v>Promedio de personas atendidas con atención terapéutica - educativa en el Centro de Atención Psicopedagógica Infantil durante el 2024</v>
      </c>
      <c r="H259" s="107" t="str">
        <f ca="1">IFERROR(__xludf.DUMMYFUNCTION("""COMPUTED_VALUE"""),"NOS mayo")</f>
        <v>NOS mayo</v>
      </c>
      <c r="I259" s="107" t="str">
        <f ca="1">IFERROR(__xludf.DUMMYFUNCTION("""COMPUTED_VALUE"""),"mayo")</f>
        <v>mayo</v>
      </c>
      <c r="J259" s="107" t="str">
        <f ca="1">IFERROR(__xludf.DUMMYFUNCTION("""COMPUTED_VALUE"""),"NOS")</f>
        <v>NOS</v>
      </c>
      <c r="K259" s="40">
        <f ca="1">IFERROR(__xludf.DUMMYFUNCTION("""COMPUTED_VALUE"""),113)</f>
        <v>113</v>
      </c>
      <c r="L259" s="107" t="str">
        <f ca="1">IFERROR(__xludf.DUMMYFUNCTION("""COMPUTED_VALUE"""),"TRIMESTRE 2")</f>
        <v>TRIMESTRE 2</v>
      </c>
      <c r="M259" s="107" t="str">
        <f ca="1">IFERROR(__xludf.DUMMYFUNCTION("""COMPUTED_VALUE"""),"NIÑOS")</f>
        <v>NIÑOS</v>
      </c>
    </row>
    <row r="260" spans="1:13">
      <c r="A260" s="107" t="str">
        <f ca="1">IFERROR(__xludf.DUMMYFUNCTION("""COMPUTED_VALUE"""),"5.1.2.0")</f>
        <v>5.1.2.0</v>
      </c>
      <c r="B260" s="107" t="str">
        <f ca="1">IFERROR(__xludf.DUMMYFUNCTION("""COMPUTED_VALUE"""),"Atención Psicopedagógica Infantil/Jefatura del Departamento de CDI, CAIC  y CEDI/Dirección del Área de Centros de Atención Infantil/Coord.3. Operación")</f>
        <v>Atención Psicopedagógica Infantil/Jefatura del Departamento de CDI, CAIC  y CEDI/Dirección del Área de Centros de Atención Infantil/Coord.3. Operación</v>
      </c>
      <c r="C260" s="107" t="str">
        <f ca="1">IFERROR(__xludf.DUMMYFUNCTION("""COMPUTED_VALUE"""),"3. Operación")</f>
        <v>3. Operación</v>
      </c>
      <c r="D260" s="107" t="str">
        <f ca="1">IFERROR(__xludf.DUMMYFUNCTION("""COMPUTED_VALUE"""),"Guadalajara bien educada")</f>
        <v>Guadalajara bien educada</v>
      </c>
      <c r="E260" s="107" t="str">
        <f ca="1">IFERROR(__xludf.DUMMYFUNCTION("""COMPUTED_VALUE"""),"Atención Psicopedagógica Infantil")</f>
        <v>Atención Psicopedagógica Infantil</v>
      </c>
      <c r="F260" s="107" t="str">
        <f ca="1">IFERROR(__xludf.DUMMYFUNCTION("""COMPUTED_VALUE"""),"C2. Atenciones terapéuticas brindadas a niñas y niños con barreras de aprendizaje en el Centro de Atención Psicopedagógica Infantil")</f>
        <v>C2. Atenciones terapéuticas brindadas a niñas y niños con barreras de aprendizaje en el Centro de Atención Psicopedagógica Infantil</v>
      </c>
      <c r="G260" s="107" t="str">
        <f ca="1">IFERROR(__xludf.DUMMYFUNCTION("""COMPUTED_VALUE"""),"Promedio de personas atendidas con atención terapéutica - educativa en el Centro de Atención Psicopedagógica Infantil durante el 2024")</f>
        <v>Promedio de personas atendidas con atención terapéutica - educativa en el Centro de Atención Psicopedagógica Infantil durante el 2024</v>
      </c>
      <c r="H260" s="107" t="str">
        <f ca="1">IFERROR(__xludf.DUMMYFUNCTION("""COMPUTED_VALUE"""),"AM mayo")</f>
        <v>AM mayo</v>
      </c>
      <c r="I260" s="107" t="str">
        <f ca="1">IFERROR(__xludf.DUMMYFUNCTION("""COMPUTED_VALUE"""),"mayo")</f>
        <v>mayo</v>
      </c>
      <c r="J260" s="107" t="str">
        <f ca="1">IFERROR(__xludf.DUMMYFUNCTION("""COMPUTED_VALUE"""),"AM")</f>
        <v>AM</v>
      </c>
      <c r="K260" s="40">
        <f ca="1">IFERROR(__xludf.DUMMYFUNCTION("""COMPUTED_VALUE"""),0)</f>
        <v>0</v>
      </c>
      <c r="L260" s="107" t="str">
        <f ca="1">IFERROR(__xludf.DUMMYFUNCTION("""COMPUTED_VALUE"""),"TRIMESTRE 2")</f>
        <v>TRIMESTRE 2</v>
      </c>
      <c r="M260" s="107" t="str">
        <f ca="1">IFERROR(__xludf.DUMMYFUNCTION("""COMPUTED_VALUE"""),"ADOLESCENTES MUJERES")</f>
        <v>ADOLESCENTES MUJERES</v>
      </c>
    </row>
    <row r="261" spans="1:13">
      <c r="A261" s="107" t="str">
        <f ca="1">IFERROR(__xludf.DUMMYFUNCTION("""COMPUTED_VALUE"""),"5.1.2.0")</f>
        <v>5.1.2.0</v>
      </c>
      <c r="B261" s="107" t="str">
        <f ca="1">IFERROR(__xludf.DUMMYFUNCTION("""COMPUTED_VALUE"""),"Atención Psicopedagógica Infantil/Jefatura del Departamento de CDI, CAIC  y CEDI/Dirección del Área de Centros de Atención Infantil/Coord.3. Operación")</f>
        <v>Atención Psicopedagógica Infantil/Jefatura del Departamento de CDI, CAIC  y CEDI/Dirección del Área de Centros de Atención Infantil/Coord.3. Operación</v>
      </c>
      <c r="C261" s="107" t="str">
        <f ca="1">IFERROR(__xludf.DUMMYFUNCTION("""COMPUTED_VALUE"""),"3. Operación")</f>
        <v>3. Operación</v>
      </c>
      <c r="D261" s="107" t="str">
        <f ca="1">IFERROR(__xludf.DUMMYFUNCTION("""COMPUTED_VALUE"""),"Guadalajara bien educada")</f>
        <v>Guadalajara bien educada</v>
      </c>
      <c r="E261" s="107" t="str">
        <f ca="1">IFERROR(__xludf.DUMMYFUNCTION("""COMPUTED_VALUE"""),"Atención Psicopedagógica Infantil")</f>
        <v>Atención Psicopedagógica Infantil</v>
      </c>
      <c r="F261" s="107" t="str">
        <f ca="1">IFERROR(__xludf.DUMMYFUNCTION("""COMPUTED_VALUE"""),"C2. Atenciones terapéuticas brindadas a niñas y niños con barreras de aprendizaje en el Centro de Atención Psicopedagógica Infantil")</f>
        <v>C2. Atenciones terapéuticas brindadas a niñas y niños con barreras de aprendizaje en el Centro de Atención Psicopedagógica Infantil</v>
      </c>
      <c r="G261" s="107" t="str">
        <f ca="1">IFERROR(__xludf.DUMMYFUNCTION("""COMPUTED_VALUE"""),"Promedio de personas atendidas con atención terapéutica - educativa en el Centro de Atención Psicopedagógica Infantil durante el 2024")</f>
        <v>Promedio de personas atendidas con atención terapéutica - educativa en el Centro de Atención Psicopedagógica Infantil durante el 2024</v>
      </c>
      <c r="H261" s="107" t="str">
        <f ca="1">IFERROR(__xludf.DUMMYFUNCTION("""COMPUTED_VALUE"""),"AH mayo")</f>
        <v>AH mayo</v>
      </c>
      <c r="I261" s="107" t="str">
        <f ca="1">IFERROR(__xludf.DUMMYFUNCTION("""COMPUTED_VALUE"""),"mayo")</f>
        <v>mayo</v>
      </c>
      <c r="J261" s="107" t="str">
        <f ca="1">IFERROR(__xludf.DUMMYFUNCTION("""COMPUTED_VALUE"""),"AH")</f>
        <v>AH</v>
      </c>
      <c r="K261" s="40">
        <f ca="1">IFERROR(__xludf.DUMMYFUNCTION("""COMPUTED_VALUE"""),0)</f>
        <v>0</v>
      </c>
      <c r="L261" s="107" t="str">
        <f ca="1">IFERROR(__xludf.DUMMYFUNCTION("""COMPUTED_VALUE"""),"TRIMESTRE 2")</f>
        <v>TRIMESTRE 2</v>
      </c>
      <c r="M261" s="107" t="str">
        <f ca="1">IFERROR(__xludf.DUMMYFUNCTION("""COMPUTED_VALUE"""),"ADOLESCENTES HOMBRES")</f>
        <v>ADOLESCENTES HOMBRES</v>
      </c>
    </row>
    <row r="262" spans="1:13">
      <c r="A262" s="107" t="str">
        <f ca="1">IFERROR(__xludf.DUMMYFUNCTION("""COMPUTED_VALUE"""),"5.1.2.0")</f>
        <v>5.1.2.0</v>
      </c>
      <c r="B262" s="107" t="str">
        <f ca="1">IFERROR(__xludf.DUMMYFUNCTION("""COMPUTED_VALUE"""),"Atención Psicopedagógica Infantil/Jefatura del Departamento de CDI, CAIC  y CEDI/Dirección del Área de Centros de Atención Infantil/Coord.3. Operación")</f>
        <v>Atención Psicopedagógica Infantil/Jefatura del Departamento de CDI, CAIC  y CEDI/Dirección del Área de Centros de Atención Infantil/Coord.3. Operación</v>
      </c>
      <c r="C262" s="107" t="str">
        <f ca="1">IFERROR(__xludf.DUMMYFUNCTION("""COMPUTED_VALUE"""),"3. Operación")</f>
        <v>3. Operación</v>
      </c>
      <c r="D262" s="107" t="str">
        <f ca="1">IFERROR(__xludf.DUMMYFUNCTION("""COMPUTED_VALUE"""),"Guadalajara bien educada")</f>
        <v>Guadalajara bien educada</v>
      </c>
      <c r="E262" s="107" t="str">
        <f ca="1">IFERROR(__xludf.DUMMYFUNCTION("""COMPUTED_VALUE"""),"Atención Psicopedagógica Infantil")</f>
        <v>Atención Psicopedagógica Infantil</v>
      </c>
      <c r="F262" s="107" t="str">
        <f ca="1">IFERROR(__xludf.DUMMYFUNCTION("""COMPUTED_VALUE"""),"C2. Atenciones terapéuticas brindadas a niñas y niños con barreras de aprendizaje en el Centro de Atención Psicopedagógica Infantil")</f>
        <v>C2. Atenciones terapéuticas brindadas a niñas y niños con barreras de aprendizaje en el Centro de Atención Psicopedagógica Infantil</v>
      </c>
      <c r="G262" s="107" t="str">
        <f ca="1">IFERROR(__xludf.DUMMYFUNCTION("""COMPUTED_VALUE"""),"Promedio de personas atendidas con atención terapéutica - educativa en el Centro de Atención Psicopedagógica Infantil durante el 2024")</f>
        <v>Promedio de personas atendidas con atención terapéutica - educativa en el Centro de Atención Psicopedagógica Infantil durante el 2024</v>
      </c>
      <c r="H262" s="107" t="str">
        <f ca="1">IFERROR(__xludf.DUMMYFUNCTION("""COMPUTED_VALUE"""),"MUJ mayo")</f>
        <v>MUJ mayo</v>
      </c>
      <c r="I262" s="107" t="str">
        <f ca="1">IFERROR(__xludf.DUMMYFUNCTION("""COMPUTED_VALUE"""),"mayo")</f>
        <v>mayo</v>
      </c>
      <c r="J262" s="107" t="str">
        <f ca="1">IFERROR(__xludf.DUMMYFUNCTION("""COMPUTED_VALUE"""),"MUJ")</f>
        <v>MUJ</v>
      </c>
      <c r="K262" s="40"/>
      <c r="L262" s="107" t="str">
        <f ca="1">IFERROR(__xludf.DUMMYFUNCTION("""COMPUTED_VALUE"""),"TRIMESTRE 2")</f>
        <v>TRIMESTRE 2</v>
      </c>
      <c r="M262" s="107" t="str">
        <f ca="1">IFERROR(__xludf.DUMMYFUNCTION("""COMPUTED_VALUE"""),"MUJERES ADULTAS")</f>
        <v>MUJERES ADULTAS</v>
      </c>
    </row>
    <row r="263" spans="1:13">
      <c r="A263" s="107" t="str">
        <f ca="1">IFERROR(__xludf.DUMMYFUNCTION("""COMPUTED_VALUE"""),"5.1.2.0")</f>
        <v>5.1.2.0</v>
      </c>
      <c r="B263" s="107" t="str">
        <f ca="1">IFERROR(__xludf.DUMMYFUNCTION("""COMPUTED_VALUE"""),"Atención Psicopedagógica Infantil/Jefatura del Departamento de CDI, CAIC  y CEDI/Dirección del Área de Centros de Atención Infantil/Coord.3. Operación")</f>
        <v>Atención Psicopedagógica Infantil/Jefatura del Departamento de CDI, CAIC  y CEDI/Dirección del Área de Centros de Atención Infantil/Coord.3. Operación</v>
      </c>
      <c r="C263" s="107" t="str">
        <f ca="1">IFERROR(__xludf.DUMMYFUNCTION("""COMPUTED_VALUE"""),"3. Operación")</f>
        <v>3. Operación</v>
      </c>
      <c r="D263" s="107" t="str">
        <f ca="1">IFERROR(__xludf.DUMMYFUNCTION("""COMPUTED_VALUE"""),"Guadalajara bien educada")</f>
        <v>Guadalajara bien educada</v>
      </c>
      <c r="E263" s="107" t="str">
        <f ca="1">IFERROR(__xludf.DUMMYFUNCTION("""COMPUTED_VALUE"""),"Atención Psicopedagógica Infantil")</f>
        <v>Atención Psicopedagógica Infantil</v>
      </c>
      <c r="F263" s="107" t="str">
        <f ca="1">IFERROR(__xludf.DUMMYFUNCTION("""COMPUTED_VALUE"""),"C2. Atenciones terapéuticas brindadas a niñas y niños con barreras de aprendizaje en el Centro de Atención Psicopedagógica Infantil")</f>
        <v>C2. Atenciones terapéuticas brindadas a niñas y niños con barreras de aprendizaje en el Centro de Atención Psicopedagógica Infantil</v>
      </c>
      <c r="G263" s="107" t="str">
        <f ca="1">IFERROR(__xludf.DUMMYFUNCTION("""COMPUTED_VALUE"""),"Promedio de personas atendidas con atención terapéutica - educativa en el Centro de Atención Psicopedagógica Infantil durante el 2024")</f>
        <v>Promedio de personas atendidas con atención terapéutica - educativa en el Centro de Atención Psicopedagógica Infantil durante el 2024</v>
      </c>
      <c r="H263" s="107" t="str">
        <f ca="1">IFERROR(__xludf.DUMMYFUNCTION("""COMPUTED_VALUE"""),"HOM mayo")</f>
        <v>HOM mayo</v>
      </c>
      <c r="I263" s="107" t="str">
        <f ca="1">IFERROR(__xludf.DUMMYFUNCTION("""COMPUTED_VALUE"""),"mayo")</f>
        <v>mayo</v>
      </c>
      <c r="J263" s="107" t="str">
        <f ca="1">IFERROR(__xludf.DUMMYFUNCTION("""COMPUTED_VALUE"""),"HOM")</f>
        <v>HOM</v>
      </c>
      <c r="K263" s="40"/>
      <c r="L263" s="107" t="str">
        <f ca="1">IFERROR(__xludf.DUMMYFUNCTION("""COMPUTED_VALUE"""),"TRIMESTRE 2")</f>
        <v>TRIMESTRE 2</v>
      </c>
      <c r="M263" s="107" t="str">
        <f ca="1">IFERROR(__xludf.DUMMYFUNCTION("""COMPUTED_VALUE"""),"HOMBRES ADULTOS")</f>
        <v>HOMBRES ADULTOS</v>
      </c>
    </row>
    <row r="264" spans="1:13">
      <c r="A264" s="107" t="str">
        <f ca="1">IFERROR(__xludf.DUMMYFUNCTION("""COMPUTED_VALUE"""),"5.1.2.0")</f>
        <v>5.1.2.0</v>
      </c>
      <c r="B264" s="107" t="str">
        <f ca="1">IFERROR(__xludf.DUMMYFUNCTION("""COMPUTED_VALUE"""),"Atención Psicopedagógica Infantil/Jefatura del Departamento de CDI, CAIC  y CEDI/Dirección del Área de Centros de Atención Infantil/Coord.3. Operación")</f>
        <v>Atención Psicopedagógica Infantil/Jefatura del Departamento de CDI, CAIC  y CEDI/Dirección del Área de Centros de Atención Infantil/Coord.3. Operación</v>
      </c>
      <c r="C264" s="107" t="str">
        <f ca="1">IFERROR(__xludf.DUMMYFUNCTION("""COMPUTED_VALUE"""),"3. Operación")</f>
        <v>3. Operación</v>
      </c>
      <c r="D264" s="107" t="str">
        <f ca="1">IFERROR(__xludf.DUMMYFUNCTION("""COMPUTED_VALUE"""),"Guadalajara bien educada")</f>
        <v>Guadalajara bien educada</v>
      </c>
      <c r="E264" s="107" t="str">
        <f ca="1">IFERROR(__xludf.DUMMYFUNCTION("""COMPUTED_VALUE"""),"Atención Psicopedagógica Infantil")</f>
        <v>Atención Psicopedagógica Infantil</v>
      </c>
      <c r="F264" s="107" t="str">
        <f ca="1">IFERROR(__xludf.DUMMYFUNCTION("""COMPUTED_VALUE"""),"C2. Atenciones terapéuticas brindadas a niñas y niños con barreras de aprendizaje en el Centro de Atención Psicopedagógica Infantil")</f>
        <v>C2. Atenciones terapéuticas brindadas a niñas y niños con barreras de aprendizaje en el Centro de Atención Psicopedagógica Infantil</v>
      </c>
      <c r="G264" s="107" t="str">
        <f ca="1">IFERROR(__xludf.DUMMYFUNCTION("""COMPUTED_VALUE"""),"Promedio de personas atendidas con atención terapéutica - educativa en el Centro de Atención Psicopedagógica Infantil durante el 2024")</f>
        <v>Promedio de personas atendidas con atención terapéutica - educativa en el Centro de Atención Psicopedagógica Infantil durante el 2024</v>
      </c>
      <c r="H264" s="107" t="str">
        <f ca="1">IFERROR(__xludf.DUMMYFUNCTION("""COMPUTED_VALUE"""),"AMM mayo")</f>
        <v>AMM mayo</v>
      </c>
      <c r="I264" s="107" t="str">
        <f ca="1">IFERROR(__xludf.DUMMYFUNCTION("""COMPUTED_VALUE"""),"mayo")</f>
        <v>mayo</v>
      </c>
      <c r="J264" s="107" t="str">
        <f ca="1">IFERROR(__xludf.DUMMYFUNCTION("""COMPUTED_VALUE"""),"AMM")</f>
        <v>AMM</v>
      </c>
      <c r="K264" s="40"/>
      <c r="L264" s="107" t="str">
        <f ca="1">IFERROR(__xludf.DUMMYFUNCTION("""COMPUTED_VALUE"""),"TRIMESTRE 2")</f>
        <v>TRIMESTRE 2</v>
      </c>
      <c r="M264" s="107" t="str">
        <f ca="1">IFERROR(__xludf.DUMMYFUNCTION("""COMPUTED_VALUE"""),"ADULTA MAYOR MUJER")</f>
        <v>ADULTA MAYOR MUJER</v>
      </c>
    </row>
    <row r="265" spans="1:13">
      <c r="A265" s="107" t="str">
        <f ca="1">IFERROR(__xludf.DUMMYFUNCTION("""COMPUTED_VALUE"""),"5.1.2.0")</f>
        <v>5.1.2.0</v>
      </c>
      <c r="B265" s="107" t="str">
        <f ca="1">IFERROR(__xludf.DUMMYFUNCTION("""COMPUTED_VALUE"""),"Atención Psicopedagógica Infantil/Jefatura del Departamento de CDI, CAIC  y CEDI/Dirección del Área de Centros de Atención Infantil/Coord.3. Operación")</f>
        <v>Atención Psicopedagógica Infantil/Jefatura del Departamento de CDI, CAIC  y CEDI/Dirección del Área de Centros de Atención Infantil/Coord.3. Operación</v>
      </c>
      <c r="C265" s="107" t="str">
        <f ca="1">IFERROR(__xludf.DUMMYFUNCTION("""COMPUTED_VALUE"""),"3. Operación")</f>
        <v>3. Operación</v>
      </c>
      <c r="D265" s="107" t="str">
        <f ca="1">IFERROR(__xludf.DUMMYFUNCTION("""COMPUTED_VALUE"""),"Guadalajara bien educada")</f>
        <v>Guadalajara bien educada</v>
      </c>
      <c r="E265" s="107" t="str">
        <f ca="1">IFERROR(__xludf.DUMMYFUNCTION("""COMPUTED_VALUE"""),"Atención Psicopedagógica Infantil")</f>
        <v>Atención Psicopedagógica Infantil</v>
      </c>
      <c r="F265" s="107" t="str">
        <f ca="1">IFERROR(__xludf.DUMMYFUNCTION("""COMPUTED_VALUE"""),"C2. Atenciones terapéuticas brindadas a niñas y niños con barreras de aprendizaje en el Centro de Atención Psicopedagógica Infantil")</f>
        <v>C2. Atenciones terapéuticas brindadas a niñas y niños con barreras de aprendizaje en el Centro de Atención Psicopedagógica Infantil</v>
      </c>
      <c r="G265" s="107" t="str">
        <f ca="1">IFERROR(__xludf.DUMMYFUNCTION("""COMPUTED_VALUE"""),"Promedio de personas atendidas con atención terapéutica - educativa en el Centro de Atención Psicopedagógica Infantil durante el 2024")</f>
        <v>Promedio de personas atendidas con atención terapéutica - educativa en el Centro de Atención Psicopedagógica Infantil durante el 2024</v>
      </c>
      <c r="H265" s="107" t="str">
        <f ca="1">IFERROR(__xludf.DUMMYFUNCTION("""COMPUTED_VALUE"""),"AMH mayo")</f>
        <v>AMH mayo</v>
      </c>
      <c r="I265" s="107" t="str">
        <f ca="1">IFERROR(__xludf.DUMMYFUNCTION("""COMPUTED_VALUE"""),"mayo")</f>
        <v>mayo</v>
      </c>
      <c r="J265" s="107" t="str">
        <f ca="1">IFERROR(__xludf.DUMMYFUNCTION("""COMPUTED_VALUE"""),"AMH")</f>
        <v>AMH</v>
      </c>
      <c r="K265" s="40"/>
      <c r="L265" s="107" t="str">
        <f ca="1">IFERROR(__xludf.DUMMYFUNCTION("""COMPUTED_VALUE"""),"TRIMESTRE 2")</f>
        <v>TRIMESTRE 2</v>
      </c>
      <c r="M265" s="107" t="str">
        <f ca="1">IFERROR(__xludf.DUMMYFUNCTION("""COMPUTED_VALUE"""),"ADULTO MAYOR HOMBRE")</f>
        <v>ADULTO MAYOR HOMBRE</v>
      </c>
    </row>
    <row r="266" spans="1:13">
      <c r="A266" s="107" t="str">
        <f ca="1">IFERROR(__xludf.DUMMYFUNCTION("""COMPUTED_VALUE"""),"5.1.2.1")</f>
        <v>5.1.2.1</v>
      </c>
      <c r="B266" s="107" t="str">
        <f ca="1">IFERROR(__xludf.DUMMYFUNCTION("""COMPUTED_VALUE"""),"Atención Psicopedagógica Infantil/Dirección del Área de Centros de Inclusión/Dirección del Área de Centros de Inclusión/Coord.5. Inclusión")</f>
        <v>Atención Psicopedagógica Infantil/Dirección del Área de Centros de Inclusión/Dirección del Área de Centros de Inclusión/Coord.5. Inclusión</v>
      </c>
      <c r="C266" s="107" t="str">
        <f ca="1">IFERROR(__xludf.DUMMYFUNCTION("""COMPUTED_VALUE"""),"5. Inclusión")</f>
        <v>5. Inclusión</v>
      </c>
      <c r="D266" s="107" t="str">
        <f ca="1">IFERROR(__xludf.DUMMYFUNCTION("""COMPUTED_VALUE"""),"Guadalajara bien educada")</f>
        <v>Guadalajara bien educada</v>
      </c>
      <c r="E266" s="107" t="str">
        <f ca="1">IFERROR(__xludf.DUMMYFUNCTION("""COMPUTED_VALUE"""),"Atención Psicopedagógica Infantil")</f>
        <v>Atención Psicopedagógica Infantil</v>
      </c>
      <c r="F266" s="107" t="str">
        <f ca="1">IFERROR(__xludf.DUMMYFUNCTION("""COMPUTED_VALUE"""),"A1C2 Actividades de diagnóstico y valoración psicológica ejecutadas para niñas y niños que requieran atención en el CAPI")</f>
        <v>A1C2 Actividades de diagnóstico y valoración psicológica ejecutadas para niñas y niños que requieran atención en el CAPI</v>
      </c>
      <c r="G266" s="107" t="str">
        <f ca="1">IFERROR(__xludf.DUMMYFUNCTION("""COMPUTED_VALUE"""),"Porcentaje de diagnósticos y valoraciones realizados a niñas y niños que requieran atención en el CAPI en 2024")</f>
        <v>Porcentaje de diagnósticos y valoraciones realizados a niñas y niños que requieran atención en el CAPI en 2024</v>
      </c>
      <c r="H266" s="107" t="str">
        <f ca="1">IFERROR(__xludf.DUMMYFUNCTION("""COMPUTED_VALUE"""),"NAS mayo")</f>
        <v>NAS mayo</v>
      </c>
      <c r="I266" s="107" t="str">
        <f ca="1">IFERROR(__xludf.DUMMYFUNCTION("""COMPUTED_VALUE"""),"mayo")</f>
        <v>mayo</v>
      </c>
      <c r="J266" s="107" t="str">
        <f ca="1">IFERROR(__xludf.DUMMYFUNCTION("""COMPUTED_VALUE"""),"NAS")</f>
        <v>NAS</v>
      </c>
      <c r="K266" s="40">
        <f ca="1">IFERROR(__xludf.DUMMYFUNCTION("""COMPUTED_VALUE"""),4)</f>
        <v>4</v>
      </c>
      <c r="L266" s="107" t="str">
        <f ca="1">IFERROR(__xludf.DUMMYFUNCTION("""COMPUTED_VALUE"""),"TRIMESTRE 2")</f>
        <v>TRIMESTRE 2</v>
      </c>
      <c r="M266" s="107" t="str">
        <f ca="1">IFERROR(__xludf.DUMMYFUNCTION("""COMPUTED_VALUE"""),"NIÑAS")</f>
        <v>NIÑAS</v>
      </c>
    </row>
    <row r="267" spans="1:13">
      <c r="A267" s="107" t="str">
        <f ca="1">IFERROR(__xludf.DUMMYFUNCTION("""COMPUTED_VALUE"""),"5.1.2.1")</f>
        <v>5.1.2.1</v>
      </c>
      <c r="B267" s="107" t="str">
        <f ca="1">IFERROR(__xludf.DUMMYFUNCTION("""COMPUTED_VALUE"""),"Atención Psicopedagógica Infantil/Dirección del Área de Centros de Inclusión/Dirección del Área de Centros de Inclusión/Coord.5. Inclusión")</f>
        <v>Atención Psicopedagógica Infantil/Dirección del Área de Centros de Inclusión/Dirección del Área de Centros de Inclusión/Coord.5. Inclusión</v>
      </c>
      <c r="C267" s="107" t="str">
        <f ca="1">IFERROR(__xludf.DUMMYFUNCTION("""COMPUTED_VALUE"""),"5. Inclusión")</f>
        <v>5. Inclusión</v>
      </c>
      <c r="D267" s="107" t="str">
        <f ca="1">IFERROR(__xludf.DUMMYFUNCTION("""COMPUTED_VALUE"""),"Guadalajara bien educada")</f>
        <v>Guadalajara bien educada</v>
      </c>
      <c r="E267" s="107" t="str">
        <f ca="1">IFERROR(__xludf.DUMMYFUNCTION("""COMPUTED_VALUE"""),"Atención Psicopedagógica Infantil")</f>
        <v>Atención Psicopedagógica Infantil</v>
      </c>
      <c r="F267" s="107" t="str">
        <f ca="1">IFERROR(__xludf.DUMMYFUNCTION("""COMPUTED_VALUE"""),"A1C2 Actividades de diagnóstico y valoración psicológica ejecutadas para niñas y niños que requieran atención en el CAPI")</f>
        <v>A1C2 Actividades de diagnóstico y valoración psicológica ejecutadas para niñas y niños que requieran atención en el CAPI</v>
      </c>
      <c r="G267" s="107" t="str">
        <f ca="1">IFERROR(__xludf.DUMMYFUNCTION("""COMPUTED_VALUE"""),"Porcentaje de diagnósticos y valoraciones realizados a niñas y niños que requieran atención en el CAPI en 2024")</f>
        <v>Porcentaje de diagnósticos y valoraciones realizados a niñas y niños que requieran atención en el CAPI en 2024</v>
      </c>
      <c r="H267" s="107" t="str">
        <f ca="1">IFERROR(__xludf.DUMMYFUNCTION("""COMPUTED_VALUE"""),"NOS mayo")</f>
        <v>NOS mayo</v>
      </c>
      <c r="I267" s="107" t="str">
        <f ca="1">IFERROR(__xludf.DUMMYFUNCTION("""COMPUTED_VALUE"""),"mayo")</f>
        <v>mayo</v>
      </c>
      <c r="J267" s="107" t="str">
        <f ca="1">IFERROR(__xludf.DUMMYFUNCTION("""COMPUTED_VALUE"""),"NOS")</f>
        <v>NOS</v>
      </c>
      <c r="K267" s="40">
        <f ca="1">IFERROR(__xludf.DUMMYFUNCTION("""COMPUTED_VALUE"""),6)</f>
        <v>6</v>
      </c>
      <c r="L267" s="107" t="str">
        <f ca="1">IFERROR(__xludf.DUMMYFUNCTION("""COMPUTED_VALUE"""),"TRIMESTRE 2")</f>
        <v>TRIMESTRE 2</v>
      </c>
      <c r="M267" s="107" t="str">
        <f ca="1">IFERROR(__xludf.DUMMYFUNCTION("""COMPUTED_VALUE"""),"NIÑOS")</f>
        <v>NIÑOS</v>
      </c>
    </row>
    <row r="268" spans="1:13">
      <c r="A268" s="107" t="str">
        <f ca="1">IFERROR(__xludf.DUMMYFUNCTION("""COMPUTED_VALUE"""),"5.1.2.1")</f>
        <v>5.1.2.1</v>
      </c>
      <c r="B268" s="107" t="str">
        <f ca="1">IFERROR(__xludf.DUMMYFUNCTION("""COMPUTED_VALUE"""),"Atención Psicopedagógica Infantil/Dirección del Área de Centros de Inclusión/Dirección del Área de Centros de Inclusión/Coord.5. Inclusión")</f>
        <v>Atención Psicopedagógica Infantil/Dirección del Área de Centros de Inclusión/Dirección del Área de Centros de Inclusión/Coord.5. Inclusión</v>
      </c>
      <c r="C268" s="107" t="str">
        <f ca="1">IFERROR(__xludf.DUMMYFUNCTION("""COMPUTED_VALUE"""),"5. Inclusión")</f>
        <v>5. Inclusión</v>
      </c>
      <c r="D268" s="107" t="str">
        <f ca="1">IFERROR(__xludf.DUMMYFUNCTION("""COMPUTED_VALUE"""),"Guadalajara bien educada")</f>
        <v>Guadalajara bien educada</v>
      </c>
      <c r="E268" s="107" t="str">
        <f ca="1">IFERROR(__xludf.DUMMYFUNCTION("""COMPUTED_VALUE"""),"Atención Psicopedagógica Infantil")</f>
        <v>Atención Psicopedagógica Infantil</v>
      </c>
      <c r="F268" s="107" t="str">
        <f ca="1">IFERROR(__xludf.DUMMYFUNCTION("""COMPUTED_VALUE"""),"A1C2 Actividades de diagnóstico y valoración psicológica ejecutadas para niñas y niños que requieran atención en el CAPI")</f>
        <v>A1C2 Actividades de diagnóstico y valoración psicológica ejecutadas para niñas y niños que requieran atención en el CAPI</v>
      </c>
      <c r="G268" s="107" t="str">
        <f ca="1">IFERROR(__xludf.DUMMYFUNCTION("""COMPUTED_VALUE"""),"Porcentaje de diagnósticos y valoraciones realizados a niñas y niños que requieran atención en el CAPI en 2024")</f>
        <v>Porcentaje de diagnósticos y valoraciones realizados a niñas y niños que requieran atención en el CAPI en 2024</v>
      </c>
      <c r="H268" s="107" t="str">
        <f ca="1">IFERROR(__xludf.DUMMYFUNCTION("""COMPUTED_VALUE"""),"AM mayo")</f>
        <v>AM mayo</v>
      </c>
      <c r="I268" s="107" t="str">
        <f ca="1">IFERROR(__xludf.DUMMYFUNCTION("""COMPUTED_VALUE"""),"mayo")</f>
        <v>mayo</v>
      </c>
      <c r="J268" s="107" t="str">
        <f ca="1">IFERROR(__xludf.DUMMYFUNCTION("""COMPUTED_VALUE"""),"AM")</f>
        <v>AM</v>
      </c>
      <c r="K268" s="40">
        <f ca="1">IFERROR(__xludf.DUMMYFUNCTION("""COMPUTED_VALUE"""),0)</f>
        <v>0</v>
      </c>
      <c r="L268" s="107" t="str">
        <f ca="1">IFERROR(__xludf.DUMMYFUNCTION("""COMPUTED_VALUE"""),"TRIMESTRE 2")</f>
        <v>TRIMESTRE 2</v>
      </c>
      <c r="M268" s="107" t="str">
        <f ca="1">IFERROR(__xludf.DUMMYFUNCTION("""COMPUTED_VALUE"""),"ADOLESCENTES MUJERES")</f>
        <v>ADOLESCENTES MUJERES</v>
      </c>
    </row>
    <row r="269" spans="1:13">
      <c r="A269" s="107" t="str">
        <f ca="1">IFERROR(__xludf.DUMMYFUNCTION("""COMPUTED_VALUE"""),"5.1.2.1")</f>
        <v>5.1.2.1</v>
      </c>
      <c r="B269" s="107" t="str">
        <f ca="1">IFERROR(__xludf.DUMMYFUNCTION("""COMPUTED_VALUE"""),"Atención Psicopedagógica Infantil/Dirección del Área de Centros de Inclusión/Dirección del Área de Centros de Inclusión/Coord.5. Inclusión")</f>
        <v>Atención Psicopedagógica Infantil/Dirección del Área de Centros de Inclusión/Dirección del Área de Centros de Inclusión/Coord.5. Inclusión</v>
      </c>
      <c r="C269" s="107" t="str">
        <f ca="1">IFERROR(__xludf.DUMMYFUNCTION("""COMPUTED_VALUE"""),"5. Inclusión")</f>
        <v>5. Inclusión</v>
      </c>
      <c r="D269" s="107" t="str">
        <f ca="1">IFERROR(__xludf.DUMMYFUNCTION("""COMPUTED_VALUE"""),"Guadalajara bien educada")</f>
        <v>Guadalajara bien educada</v>
      </c>
      <c r="E269" s="107" t="str">
        <f ca="1">IFERROR(__xludf.DUMMYFUNCTION("""COMPUTED_VALUE"""),"Atención Psicopedagógica Infantil")</f>
        <v>Atención Psicopedagógica Infantil</v>
      </c>
      <c r="F269" s="107" t="str">
        <f ca="1">IFERROR(__xludf.DUMMYFUNCTION("""COMPUTED_VALUE"""),"A1C2 Actividades de diagnóstico y valoración psicológica ejecutadas para niñas y niños que requieran atención en el CAPI")</f>
        <v>A1C2 Actividades de diagnóstico y valoración psicológica ejecutadas para niñas y niños que requieran atención en el CAPI</v>
      </c>
      <c r="G269" s="107" t="str">
        <f ca="1">IFERROR(__xludf.DUMMYFUNCTION("""COMPUTED_VALUE"""),"Porcentaje de diagnósticos y valoraciones realizados a niñas y niños que requieran atención en el CAPI en 2024")</f>
        <v>Porcentaje de diagnósticos y valoraciones realizados a niñas y niños que requieran atención en el CAPI en 2024</v>
      </c>
      <c r="H269" s="107" t="str">
        <f ca="1">IFERROR(__xludf.DUMMYFUNCTION("""COMPUTED_VALUE"""),"AH mayo")</f>
        <v>AH mayo</v>
      </c>
      <c r="I269" s="107" t="str">
        <f ca="1">IFERROR(__xludf.DUMMYFUNCTION("""COMPUTED_VALUE"""),"mayo")</f>
        <v>mayo</v>
      </c>
      <c r="J269" s="107" t="str">
        <f ca="1">IFERROR(__xludf.DUMMYFUNCTION("""COMPUTED_VALUE"""),"AH")</f>
        <v>AH</v>
      </c>
      <c r="K269" s="40">
        <f ca="1">IFERROR(__xludf.DUMMYFUNCTION("""COMPUTED_VALUE"""),0)</f>
        <v>0</v>
      </c>
      <c r="L269" s="107" t="str">
        <f ca="1">IFERROR(__xludf.DUMMYFUNCTION("""COMPUTED_VALUE"""),"TRIMESTRE 2")</f>
        <v>TRIMESTRE 2</v>
      </c>
      <c r="M269" s="107" t="str">
        <f ca="1">IFERROR(__xludf.DUMMYFUNCTION("""COMPUTED_VALUE"""),"ADOLESCENTES HOMBRES")</f>
        <v>ADOLESCENTES HOMBRES</v>
      </c>
    </row>
    <row r="270" spans="1:13">
      <c r="A270" s="107" t="str">
        <f ca="1">IFERROR(__xludf.DUMMYFUNCTION("""COMPUTED_VALUE"""),"5.1.2.1")</f>
        <v>5.1.2.1</v>
      </c>
      <c r="B270" s="107" t="str">
        <f ca="1">IFERROR(__xludf.DUMMYFUNCTION("""COMPUTED_VALUE"""),"Atención Psicopedagógica Infantil/Dirección del Área de Centros de Inclusión/Dirección del Área de Centros de Inclusión/Coord.5. Inclusión")</f>
        <v>Atención Psicopedagógica Infantil/Dirección del Área de Centros de Inclusión/Dirección del Área de Centros de Inclusión/Coord.5. Inclusión</v>
      </c>
      <c r="C270" s="107" t="str">
        <f ca="1">IFERROR(__xludf.DUMMYFUNCTION("""COMPUTED_VALUE"""),"5. Inclusión")</f>
        <v>5. Inclusión</v>
      </c>
      <c r="D270" s="107" t="str">
        <f ca="1">IFERROR(__xludf.DUMMYFUNCTION("""COMPUTED_VALUE"""),"Guadalajara bien educada")</f>
        <v>Guadalajara bien educada</v>
      </c>
      <c r="E270" s="107" t="str">
        <f ca="1">IFERROR(__xludf.DUMMYFUNCTION("""COMPUTED_VALUE"""),"Atención Psicopedagógica Infantil")</f>
        <v>Atención Psicopedagógica Infantil</v>
      </c>
      <c r="F270" s="107" t="str">
        <f ca="1">IFERROR(__xludf.DUMMYFUNCTION("""COMPUTED_VALUE"""),"A1C2 Actividades de diagnóstico y valoración psicológica ejecutadas para niñas y niños que requieran atención en el CAPI")</f>
        <v>A1C2 Actividades de diagnóstico y valoración psicológica ejecutadas para niñas y niños que requieran atención en el CAPI</v>
      </c>
      <c r="G270" s="107" t="str">
        <f ca="1">IFERROR(__xludf.DUMMYFUNCTION("""COMPUTED_VALUE"""),"Porcentaje de diagnósticos y valoraciones realizados a niñas y niños que requieran atención en el CAPI en 2024")</f>
        <v>Porcentaje de diagnósticos y valoraciones realizados a niñas y niños que requieran atención en el CAPI en 2024</v>
      </c>
      <c r="H270" s="107" t="str">
        <f ca="1">IFERROR(__xludf.DUMMYFUNCTION("""COMPUTED_VALUE"""),"MUJ mayo")</f>
        <v>MUJ mayo</v>
      </c>
      <c r="I270" s="107" t="str">
        <f ca="1">IFERROR(__xludf.DUMMYFUNCTION("""COMPUTED_VALUE"""),"mayo")</f>
        <v>mayo</v>
      </c>
      <c r="J270" s="107" t="str">
        <f ca="1">IFERROR(__xludf.DUMMYFUNCTION("""COMPUTED_VALUE"""),"MUJ")</f>
        <v>MUJ</v>
      </c>
      <c r="K270" s="40"/>
      <c r="L270" s="107" t="str">
        <f ca="1">IFERROR(__xludf.DUMMYFUNCTION("""COMPUTED_VALUE"""),"TRIMESTRE 2")</f>
        <v>TRIMESTRE 2</v>
      </c>
      <c r="M270" s="107" t="str">
        <f ca="1">IFERROR(__xludf.DUMMYFUNCTION("""COMPUTED_VALUE"""),"MUJERES ADULTAS")</f>
        <v>MUJERES ADULTAS</v>
      </c>
    </row>
    <row r="271" spans="1:13">
      <c r="A271" s="107" t="str">
        <f ca="1">IFERROR(__xludf.DUMMYFUNCTION("""COMPUTED_VALUE"""),"5.1.2.1")</f>
        <v>5.1.2.1</v>
      </c>
      <c r="B271" s="107" t="str">
        <f ca="1">IFERROR(__xludf.DUMMYFUNCTION("""COMPUTED_VALUE"""),"Atención Psicopedagógica Infantil/Dirección del Área de Centros de Inclusión/Dirección del Área de Centros de Inclusión/Coord.5. Inclusión")</f>
        <v>Atención Psicopedagógica Infantil/Dirección del Área de Centros de Inclusión/Dirección del Área de Centros de Inclusión/Coord.5. Inclusión</v>
      </c>
      <c r="C271" s="107" t="str">
        <f ca="1">IFERROR(__xludf.DUMMYFUNCTION("""COMPUTED_VALUE"""),"5. Inclusión")</f>
        <v>5. Inclusión</v>
      </c>
      <c r="D271" s="107" t="str">
        <f ca="1">IFERROR(__xludf.DUMMYFUNCTION("""COMPUTED_VALUE"""),"Guadalajara bien educada")</f>
        <v>Guadalajara bien educada</v>
      </c>
      <c r="E271" s="107" t="str">
        <f ca="1">IFERROR(__xludf.DUMMYFUNCTION("""COMPUTED_VALUE"""),"Atención Psicopedagógica Infantil")</f>
        <v>Atención Psicopedagógica Infantil</v>
      </c>
      <c r="F271" s="107" t="str">
        <f ca="1">IFERROR(__xludf.DUMMYFUNCTION("""COMPUTED_VALUE"""),"A1C2 Actividades de diagnóstico y valoración psicológica ejecutadas para niñas y niños que requieran atención en el CAPI")</f>
        <v>A1C2 Actividades de diagnóstico y valoración psicológica ejecutadas para niñas y niños que requieran atención en el CAPI</v>
      </c>
      <c r="G271" s="107" t="str">
        <f ca="1">IFERROR(__xludf.DUMMYFUNCTION("""COMPUTED_VALUE"""),"Porcentaje de diagnósticos y valoraciones realizados a niñas y niños que requieran atención en el CAPI en 2024")</f>
        <v>Porcentaje de diagnósticos y valoraciones realizados a niñas y niños que requieran atención en el CAPI en 2024</v>
      </c>
      <c r="H271" s="107" t="str">
        <f ca="1">IFERROR(__xludf.DUMMYFUNCTION("""COMPUTED_VALUE"""),"HOM mayo")</f>
        <v>HOM mayo</v>
      </c>
      <c r="I271" s="107" t="str">
        <f ca="1">IFERROR(__xludf.DUMMYFUNCTION("""COMPUTED_VALUE"""),"mayo")</f>
        <v>mayo</v>
      </c>
      <c r="J271" s="107" t="str">
        <f ca="1">IFERROR(__xludf.DUMMYFUNCTION("""COMPUTED_VALUE"""),"HOM")</f>
        <v>HOM</v>
      </c>
      <c r="K271" s="40"/>
      <c r="L271" s="107" t="str">
        <f ca="1">IFERROR(__xludf.DUMMYFUNCTION("""COMPUTED_VALUE"""),"TRIMESTRE 2")</f>
        <v>TRIMESTRE 2</v>
      </c>
      <c r="M271" s="107" t="str">
        <f ca="1">IFERROR(__xludf.DUMMYFUNCTION("""COMPUTED_VALUE"""),"HOMBRES ADULTOS")</f>
        <v>HOMBRES ADULTOS</v>
      </c>
    </row>
    <row r="272" spans="1:13">
      <c r="A272" s="107" t="str">
        <f ca="1">IFERROR(__xludf.DUMMYFUNCTION("""COMPUTED_VALUE"""),"5.1.2.1")</f>
        <v>5.1.2.1</v>
      </c>
      <c r="B272" s="107" t="str">
        <f ca="1">IFERROR(__xludf.DUMMYFUNCTION("""COMPUTED_VALUE"""),"Atención Psicopedagógica Infantil/Dirección del Área de Centros de Inclusión/Dirección del Área de Centros de Inclusión/Coord.5. Inclusión")</f>
        <v>Atención Psicopedagógica Infantil/Dirección del Área de Centros de Inclusión/Dirección del Área de Centros de Inclusión/Coord.5. Inclusión</v>
      </c>
      <c r="C272" s="107" t="str">
        <f ca="1">IFERROR(__xludf.DUMMYFUNCTION("""COMPUTED_VALUE"""),"5. Inclusión")</f>
        <v>5. Inclusión</v>
      </c>
      <c r="D272" s="107" t="str">
        <f ca="1">IFERROR(__xludf.DUMMYFUNCTION("""COMPUTED_VALUE"""),"Guadalajara bien educada")</f>
        <v>Guadalajara bien educada</v>
      </c>
      <c r="E272" s="107" t="str">
        <f ca="1">IFERROR(__xludf.DUMMYFUNCTION("""COMPUTED_VALUE"""),"Atención Psicopedagógica Infantil")</f>
        <v>Atención Psicopedagógica Infantil</v>
      </c>
      <c r="F272" s="107" t="str">
        <f ca="1">IFERROR(__xludf.DUMMYFUNCTION("""COMPUTED_VALUE"""),"A1C2 Actividades de diagnóstico y valoración psicológica ejecutadas para niñas y niños que requieran atención en el CAPI")</f>
        <v>A1C2 Actividades de diagnóstico y valoración psicológica ejecutadas para niñas y niños que requieran atención en el CAPI</v>
      </c>
      <c r="G272" s="107" t="str">
        <f ca="1">IFERROR(__xludf.DUMMYFUNCTION("""COMPUTED_VALUE"""),"Porcentaje de diagnósticos y valoraciones realizados a niñas y niños que requieran atención en el CAPI en 2024")</f>
        <v>Porcentaje de diagnósticos y valoraciones realizados a niñas y niños que requieran atención en el CAPI en 2024</v>
      </c>
      <c r="H272" s="107" t="str">
        <f ca="1">IFERROR(__xludf.DUMMYFUNCTION("""COMPUTED_VALUE"""),"AMM mayo")</f>
        <v>AMM mayo</v>
      </c>
      <c r="I272" s="107" t="str">
        <f ca="1">IFERROR(__xludf.DUMMYFUNCTION("""COMPUTED_VALUE"""),"mayo")</f>
        <v>mayo</v>
      </c>
      <c r="J272" s="107" t="str">
        <f ca="1">IFERROR(__xludf.DUMMYFUNCTION("""COMPUTED_VALUE"""),"AMM")</f>
        <v>AMM</v>
      </c>
      <c r="K272" s="40"/>
      <c r="L272" s="107" t="str">
        <f ca="1">IFERROR(__xludf.DUMMYFUNCTION("""COMPUTED_VALUE"""),"TRIMESTRE 2")</f>
        <v>TRIMESTRE 2</v>
      </c>
      <c r="M272" s="107" t="str">
        <f ca="1">IFERROR(__xludf.DUMMYFUNCTION("""COMPUTED_VALUE"""),"ADULTA MAYOR MUJER")</f>
        <v>ADULTA MAYOR MUJER</v>
      </c>
    </row>
    <row r="273" spans="1:13">
      <c r="A273" s="107" t="str">
        <f ca="1">IFERROR(__xludf.DUMMYFUNCTION("""COMPUTED_VALUE"""),"5.1.2.1")</f>
        <v>5.1.2.1</v>
      </c>
      <c r="B273" s="107" t="str">
        <f ca="1">IFERROR(__xludf.DUMMYFUNCTION("""COMPUTED_VALUE"""),"Atención Psicopedagógica Infantil/Dirección del Área de Centros de Inclusión/Dirección del Área de Centros de Inclusión/Coord.5. Inclusión")</f>
        <v>Atención Psicopedagógica Infantil/Dirección del Área de Centros de Inclusión/Dirección del Área de Centros de Inclusión/Coord.5. Inclusión</v>
      </c>
      <c r="C273" s="107" t="str">
        <f ca="1">IFERROR(__xludf.DUMMYFUNCTION("""COMPUTED_VALUE"""),"5. Inclusión")</f>
        <v>5. Inclusión</v>
      </c>
      <c r="D273" s="107" t="str">
        <f ca="1">IFERROR(__xludf.DUMMYFUNCTION("""COMPUTED_VALUE"""),"Guadalajara bien educada")</f>
        <v>Guadalajara bien educada</v>
      </c>
      <c r="E273" s="107" t="str">
        <f ca="1">IFERROR(__xludf.DUMMYFUNCTION("""COMPUTED_VALUE"""),"Atención Psicopedagógica Infantil")</f>
        <v>Atención Psicopedagógica Infantil</v>
      </c>
      <c r="F273" s="107" t="str">
        <f ca="1">IFERROR(__xludf.DUMMYFUNCTION("""COMPUTED_VALUE"""),"A1C2 Actividades de diagnóstico y valoración psicológica ejecutadas para niñas y niños que requieran atención en el CAPI")</f>
        <v>A1C2 Actividades de diagnóstico y valoración psicológica ejecutadas para niñas y niños que requieran atención en el CAPI</v>
      </c>
      <c r="G273" s="107" t="str">
        <f ca="1">IFERROR(__xludf.DUMMYFUNCTION("""COMPUTED_VALUE"""),"Porcentaje de diagnósticos y valoraciones realizados a niñas y niños que requieran atención en el CAPI en 2024")</f>
        <v>Porcentaje de diagnósticos y valoraciones realizados a niñas y niños que requieran atención en el CAPI en 2024</v>
      </c>
      <c r="H273" s="107" t="str">
        <f ca="1">IFERROR(__xludf.DUMMYFUNCTION("""COMPUTED_VALUE"""),"AMH mayo")</f>
        <v>AMH mayo</v>
      </c>
      <c r="I273" s="107" t="str">
        <f ca="1">IFERROR(__xludf.DUMMYFUNCTION("""COMPUTED_VALUE"""),"mayo")</f>
        <v>mayo</v>
      </c>
      <c r="J273" s="107" t="str">
        <f ca="1">IFERROR(__xludf.DUMMYFUNCTION("""COMPUTED_VALUE"""),"AMH")</f>
        <v>AMH</v>
      </c>
      <c r="K273" s="40"/>
      <c r="L273" s="107" t="str">
        <f ca="1">IFERROR(__xludf.DUMMYFUNCTION("""COMPUTED_VALUE"""),"TRIMESTRE 2")</f>
        <v>TRIMESTRE 2</v>
      </c>
      <c r="M273" s="107" t="str">
        <f ca="1">IFERROR(__xludf.DUMMYFUNCTION("""COMPUTED_VALUE"""),"ADULTO MAYOR HOMBRE")</f>
        <v>ADULTO MAYOR HOMBRE</v>
      </c>
    </row>
    <row r="274" spans="1:13">
      <c r="A274" s="107" t="str">
        <f ca="1">IFERROR(__xludf.DUMMYFUNCTION("""COMPUTED_VALUE"""),"5.1.2.0")</f>
        <v>5.1.2.0</v>
      </c>
      <c r="B274" s="107" t="str">
        <f ca="1">IFERROR(__xludf.DUMMYFUNCTION("""COMPUTED_VALUE"""),"Atención Psicopedagógica Infantil/Jefatura del Departamento de CDI, CAIC  y CEDI/Dirección del Área de Centros de Atención Infantil/Coord.3. Operación")</f>
        <v>Atención Psicopedagógica Infantil/Jefatura del Departamento de CDI, CAIC  y CEDI/Dirección del Área de Centros de Atención Infantil/Coord.3. Operación</v>
      </c>
      <c r="C274" s="107" t="str">
        <f ca="1">IFERROR(__xludf.DUMMYFUNCTION("""COMPUTED_VALUE"""),"3. Operación")</f>
        <v>3. Operación</v>
      </c>
      <c r="D274" s="107" t="str">
        <f ca="1">IFERROR(__xludf.DUMMYFUNCTION("""COMPUTED_VALUE"""),"Guadalajara bien educada")</f>
        <v>Guadalajara bien educada</v>
      </c>
      <c r="E274" s="107" t="str">
        <f ca="1">IFERROR(__xludf.DUMMYFUNCTION("""COMPUTED_VALUE"""),"Atención Psicopedagógica Infantil")</f>
        <v>Atención Psicopedagógica Infantil</v>
      </c>
      <c r="F274" s="107" t="str">
        <f ca="1">IFERROR(__xludf.DUMMYFUNCTION("""COMPUTED_VALUE"""),"C2. Atenciones terapéuticas brindadas a niñas y niños con barreras de aprendizaje en el Centro de Atención Psicopedagógica Infantil")</f>
        <v>C2. Atenciones terapéuticas brindadas a niñas y niños con barreras de aprendizaje en el Centro de Atención Psicopedagógica Infantil</v>
      </c>
      <c r="G274" s="107" t="str">
        <f ca="1">IFERROR(__xludf.DUMMYFUNCTION("""COMPUTED_VALUE"""),"Promedio de personas atendidas con atención terapéutica - educativa en el Centro de Atención Psicopedagógica Infantil durante el 2024")</f>
        <v>Promedio de personas atendidas con atención terapéutica - educativa en el Centro de Atención Psicopedagógica Infantil durante el 2024</v>
      </c>
      <c r="H274" s="107" t="str">
        <f ca="1">IFERROR(__xludf.DUMMYFUNCTION("""COMPUTED_VALUE"""),"NAS junio")</f>
        <v>NAS junio</v>
      </c>
      <c r="I274" s="107" t="str">
        <f ca="1">IFERROR(__xludf.DUMMYFUNCTION("""COMPUTED_VALUE"""),"junio")</f>
        <v>junio</v>
      </c>
      <c r="J274" s="107" t="str">
        <f ca="1">IFERROR(__xludf.DUMMYFUNCTION("""COMPUTED_VALUE"""),"NAS")</f>
        <v>NAS</v>
      </c>
      <c r="K274" s="40">
        <f ca="1">IFERROR(__xludf.DUMMYFUNCTION("""COMPUTED_VALUE"""),61)</f>
        <v>61</v>
      </c>
      <c r="L274" s="107" t="str">
        <f ca="1">IFERROR(__xludf.DUMMYFUNCTION("""COMPUTED_VALUE"""),"TRIMESTRE 2")</f>
        <v>TRIMESTRE 2</v>
      </c>
      <c r="M274" s="107" t="str">
        <f ca="1">IFERROR(__xludf.DUMMYFUNCTION("""COMPUTED_VALUE"""),"NIÑAS")</f>
        <v>NIÑAS</v>
      </c>
    </row>
    <row r="275" spans="1:13">
      <c r="A275" s="107" t="str">
        <f ca="1">IFERROR(__xludf.DUMMYFUNCTION("""COMPUTED_VALUE"""),"5.1.2.0")</f>
        <v>5.1.2.0</v>
      </c>
      <c r="B275" s="107" t="str">
        <f ca="1">IFERROR(__xludf.DUMMYFUNCTION("""COMPUTED_VALUE"""),"Atención Psicopedagógica Infantil/Jefatura del Departamento de CDI, CAIC  y CEDI/Dirección del Área de Centros de Atención Infantil/Coord.3. Operación")</f>
        <v>Atención Psicopedagógica Infantil/Jefatura del Departamento de CDI, CAIC  y CEDI/Dirección del Área de Centros de Atención Infantil/Coord.3. Operación</v>
      </c>
      <c r="C275" s="107" t="str">
        <f ca="1">IFERROR(__xludf.DUMMYFUNCTION("""COMPUTED_VALUE"""),"3. Operación")</f>
        <v>3. Operación</v>
      </c>
      <c r="D275" s="107" t="str">
        <f ca="1">IFERROR(__xludf.DUMMYFUNCTION("""COMPUTED_VALUE"""),"Guadalajara bien educada")</f>
        <v>Guadalajara bien educada</v>
      </c>
      <c r="E275" s="107" t="str">
        <f ca="1">IFERROR(__xludf.DUMMYFUNCTION("""COMPUTED_VALUE"""),"Atención Psicopedagógica Infantil")</f>
        <v>Atención Psicopedagógica Infantil</v>
      </c>
      <c r="F275" s="107" t="str">
        <f ca="1">IFERROR(__xludf.DUMMYFUNCTION("""COMPUTED_VALUE"""),"C2. Atenciones terapéuticas brindadas a niñas y niños con barreras de aprendizaje en el Centro de Atención Psicopedagógica Infantil")</f>
        <v>C2. Atenciones terapéuticas brindadas a niñas y niños con barreras de aprendizaje en el Centro de Atención Psicopedagógica Infantil</v>
      </c>
      <c r="G275" s="107" t="str">
        <f ca="1">IFERROR(__xludf.DUMMYFUNCTION("""COMPUTED_VALUE"""),"Promedio de personas atendidas con atención terapéutica - educativa en el Centro de Atención Psicopedagógica Infantil durante el 2024")</f>
        <v>Promedio de personas atendidas con atención terapéutica - educativa en el Centro de Atención Psicopedagógica Infantil durante el 2024</v>
      </c>
      <c r="H275" s="107" t="str">
        <f ca="1">IFERROR(__xludf.DUMMYFUNCTION("""COMPUTED_VALUE"""),"NOS junio")</f>
        <v>NOS junio</v>
      </c>
      <c r="I275" s="107" t="str">
        <f ca="1">IFERROR(__xludf.DUMMYFUNCTION("""COMPUTED_VALUE"""),"junio")</f>
        <v>junio</v>
      </c>
      <c r="J275" s="107" t="str">
        <f ca="1">IFERROR(__xludf.DUMMYFUNCTION("""COMPUTED_VALUE"""),"NOS")</f>
        <v>NOS</v>
      </c>
      <c r="K275" s="40">
        <f ca="1">IFERROR(__xludf.DUMMYFUNCTION("""COMPUTED_VALUE"""),109)</f>
        <v>109</v>
      </c>
      <c r="L275" s="107" t="str">
        <f ca="1">IFERROR(__xludf.DUMMYFUNCTION("""COMPUTED_VALUE"""),"TRIMESTRE 2")</f>
        <v>TRIMESTRE 2</v>
      </c>
      <c r="M275" s="107" t="str">
        <f ca="1">IFERROR(__xludf.DUMMYFUNCTION("""COMPUTED_VALUE"""),"NIÑOS")</f>
        <v>NIÑOS</v>
      </c>
    </row>
    <row r="276" spans="1:13">
      <c r="A276" s="107" t="str">
        <f ca="1">IFERROR(__xludf.DUMMYFUNCTION("""COMPUTED_VALUE"""),"5.1.2.0")</f>
        <v>5.1.2.0</v>
      </c>
      <c r="B276" s="107" t="str">
        <f ca="1">IFERROR(__xludf.DUMMYFUNCTION("""COMPUTED_VALUE"""),"Atención Psicopedagógica Infantil/Jefatura del Departamento de CDI, CAIC  y CEDI/Dirección del Área de Centros de Atención Infantil/Coord.3. Operación")</f>
        <v>Atención Psicopedagógica Infantil/Jefatura del Departamento de CDI, CAIC  y CEDI/Dirección del Área de Centros de Atención Infantil/Coord.3. Operación</v>
      </c>
      <c r="C276" s="107" t="str">
        <f ca="1">IFERROR(__xludf.DUMMYFUNCTION("""COMPUTED_VALUE"""),"3. Operación")</f>
        <v>3. Operación</v>
      </c>
      <c r="D276" s="107" t="str">
        <f ca="1">IFERROR(__xludf.DUMMYFUNCTION("""COMPUTED_VALUE"""),"Guadalajara bien educada")</f>
        <v>Guadalajara bien educada</v>
      </c>
      <c r="E276" s="107" t="str">
        <f ca="1">IFERROR(__xludf.DUMMYFUNCTION("""COMPUTED_VALUE"""),"Atención Psicopedagógica Infantil")</f>
        <v>Atención Psicopedagógica Infantil</v>
      </c>
      <c r="F276" s="107" t="str">
        <f ca="1">IFERROR(__xludf.DUMMYFUNCTION("""COMPUTED_VALUE"""),"C2. Atenciones terapéuticas brindadas a niñas y niños con barreras de aprendizaje en el Centro de Atención Psicopedagógica Infantil")</f>
        <v>C2. Atenciones terapéuticas brindadas a niñas y niños con barreras de aprendizaje en el Centro de Atención Psicopedagógica Infantil</v>
      </c>
      <c r="G276" s="107" t="str">
        <f ca="1">IFERROR(__xludf.DUMMYFUNCTION("""COMPUTED_VALUE"""),"Promedio de personas atendidas con atención terapéutica - educativa en el Centro de Atención Psicopedagógica Infantil durante el 2024")</f>
        <v>Promedio de personas atendidas con atención terapéutica - educativa en el Centro de Atención Psicopedagógica Infantil durante el 2024</v>
      </c>
      <c r="H276" s="107" t="str">
        <f ca="1">IFERROR(__xludf.DUMMYFUNCTION("""COMPUTED_VALUE"""),"AM junio")</f>
        <v>AM junio</v>
      </c>
      <c r="I276" s="107" t="str">
        <f ca="1">IFERROR(__xludf.DUMMYFUNCTION("""COMPUTED_VALUE"""),"junio")</f>
        <v>junio</v>
      </c>
      <c r="J276" s="107" t="str">
        <f ca="1">IFERROR(__xludf.DUMMYFUNCTION("""COMPUTED_VALUE"""),"AM")</f>
        <v>AM</v>
      </c>
      <c r="K276" s="40">
        <f ca="1">IFERROR(__xludf.DUMMYFUNCTION("""COMPUTED_VALUE"""),0)</f>
        <v>0</v>
      </c>
      <c r="L276" s="107" t="str">
        <f ca="1">IFERROR(__xludf.DUMMYFUNCTION("""COMPUTED_VALUE"""),"TRIMESTRE 2")</f>
        <v>TRIMESTRE 2</v>
      </c>
      <c r="M276" s="107" t="str">
        <f ca="1">IFERROR(__xludf.DUMMYFUNCTION("""COMPUTED_VALUE"""),"ADOLESCENTES MUJERES")</f>
        <v>ADOLESCENTES MUJERES</v>
      </c>
    </row>
    <row r="277" spans="1:13">
      <c r="A277" s="107" t="str">
        <f ca="1">IFERROR(__xludf.DUMMYFUNCTION("""COMPUTED_VALUE"""),"5.1.2.0")</f>
        <v>5.1.2.0</v>
      </c>
      <c r="B277" s="107" t="str">
        <f ca="1">IFERROR(__xludf.DUMMYFUNCTION("""COMPUTED_VALUE"""),"Atención Psicopedagógica Infantil/Jefatura del Departamento de CDI, CAIC  y CEDI/Dirección del Área de Centros de Atención Infantil/Coord.3. Operación")</f>
        <v>Atención Psicopedagógica Infantil/Jefatura del Departamento de CDI, CAIC  y CEDI/Dirección del Área de Centros de Atención Infantil/Coord.3. Operación</v>
      </c>
      <c r="C277" s="107" t="str">
        <f ca="1">IFERROR(__xludf.DUMMYFUNCTION("""COMPUTED_VALUE"""),"3. Operación")</f>
        <v>3. Operación</v>
      </c>
      <c r="D277" s="107" t="str">
        <f ca="1">IFERROR(__xludf.DUMMYFUNCTION("""COMPUTED_VALUE"""),"Guadalajara bien educada")</f>
        <v>Guadalajara bien educada</v>
      </c>
      <c r="E277" s="107" t="str">
        <f ca="1">IFERROR(__xludf.DUMMYFUNCTION("""COMPUTED_VALUE"""),"Atención Psicopedagógica Infantil")</f>
        <v>Atención Psicopedagógica Infantil</v>
      </c>
      <c r="F277" s="107" t="str">
        <f ca="1">IFERROR(__xludf.DUMMYFUNCTION("""COMPUTED_VALUE"""),"C2. Atenciones terapéuticas brindadas a niñas y niños con barreras de aprendizaje en el Centro de Atención Psicopedagógica Infantil")</f>
        <v>C2. Atenciones terapéuticas brindadas a niñas y niños con barreras de aprendizaje en el Centro de Atención Psicopedagógica Infantil</v>
      </c>
      <c r="G277" s="107" t="str">
        <f ca="1">IFERROR(__xludf.DUMMYFUNCTION("""COMPUTED_VALUE"""),"Promedio de personas atendidas con atención terapéutica - educativa en el Centro de Atención Psicopedagógica Infantil durante el 2024")</f>
        <v>Promedio de personas atendidas con atención terapéutica - educativa en el Centro de Atención Psicopedagógica Infantil durante el 2024</v>
      </c>
      <c r="H277" s="107" t="str">
        <f ca="1">IFERROR(__xludf.DUMMYFUNCTION("""COMPUTED_VALUE"""),"AM junio")</f>
        <v>AM junio</v>
      </c>
      <c r="I277" s="107" t="str">
        <f ca="1">IFERROR(__xludf.DUMMYFUNCTION("""COMPUTED_VALUE"""),"junio")</f>
        <v>junio</v>
      </c>
      <c r="J277" s="107" t="str">
        <f ca="1">IFERROR(__xludf.DUMMYFUNCTION("""COMPUTED_VALUE"""),"AH")</f>
        <v>AH</v>
      </c>
      <c r="K277" s="40">
        <f ca="1">IFERROR(__xludf.DUMMYFUNCTION("""COMPUTED_VALUE"""),0)</f>
        <v>0</v>
      </c>
      <c r="L277" s="107" t="str">
        <f ca="1">IFERROR(__xludf.DUMMYFUNCTION("""COMPUTED_VALUE"""),"TRIMESTRE 2")</f>
        <v>TRIMESTRE 2</v>
      </c>
      <c r="M277" s="107" t="str">
        <f ca="1">IFERROR(__xludf.DUMMYFUNCTION("""COMPUTED_VALUE"""),"ADOLESCENTES HOMBRES")</f>
        <v>ADOLESCENTES HOMBRES</v>
      </c>
    </row>
    <row r="278" spans="1:13">
      <c r="A278" s="107" t="str">
        <f ca="1">IFERROR(__xludf.DUMMYFUNCTION("""COMPUTED_VALUE"""),"5.1.2.0")</f>
        <v>5.1.2.0</v>
      </c>
      <c r="B278" s="107" t="str">
        <f ca="1">IFERROR(__xludf.DUMMYFUNCTION("""COMPUTED_VALUE"""),"Atención Psicopedagógica Infantil/Jefatura del Departamento de CDI, CAIC  y CEDI/Dirección del Área de Centros de Atención Infantil/Coord.3. Operación")</f>
        <v>Atención Psicopedagógica Infantil/Jefatura del Departamento de CDI, CAIC  y CEDI/Dirección del Área de Centros de Atención Infantil/Coord.3. Operación</v>
      </c>
      <c r="C278" s="107" t="str">
        <f ca="1">IFERROR(__xludf.DUMMYFUNCTION("""COMPUTED_VALUE"""),"3. Operación")</f>
        <v>3. Operación</v>
      </c>
      <c r="D278" s="107" t="str">
        <f ca="1">IFERROR(__xludf.DUMMYFUNCTION("""COMPUTED_VALUE"""),"Guadalajara bien educada")</f>
        <v>Guadalajara bien educada</v>
      </c>
      <c r="E278" s="107" t="str">
        <f ca="1">IFERROR(__xludf.DUMMYFUNCTION("""COMPUTED_VALUE"""),"Atención Psicopedagógica Infantil")</f>
        <v>Atención Psicopedagógica Infantil</v>
      </c>
      <c r="F278" s="107" t="str">
        <f ca="1">IFERROR(__xludf.DUMMYFUNCTION("""COMPUTED_VALUE"""),"C2. Atenciones terapéuticas brindadas a niñas y niños con barreras de aprendizaje en el Centro de Atención Psicopedagógica Infantil")</f>
        <v>C2. Atenciones terapéuticas brindadas a niñas y niños con barreras de aprendizaje en el Centro de Atención Psicopedagógica Infantil</v>
      </c>
      <c r="G278" s="107" t="str">
        <f ca="1">IFERROR(__xludf.DUMMYFUNCTION("""COMPUTED_VALUE"""),"Promedio de personas atendidas con atención terapéutica - educativa en el Centro de Atención Psicopedagógica Infantil durante el 2024")</f>
        <v>Promedio de personas atendidas con atención terapéutica - educativa en el Centro de Atención Psicopedagógica Infantil durante el 2024</v>
      </c>
      <c r="H278" s="107" t="str">
        <f ca="1">IFERROR(__xludf.DUMMYFUNCTION("""COMPUTED_VALUE"""),"MUJ junio")</f>
        <v>MUJ junio</v>
      </c>
      <c r="I278" s="107" t="str">
        <f ca="1">IFERROR(__xludf.DUMMYFUNCTION("""COMPUTED_VALUE"""),"junio")</f>
        <v>junio</v>
      </c>
      <c r="J278" s="107" t="str">
        <f ca="1">IFERROR(__xludf.DUMMYFUNCTION("""COMPUTED_VALUE"""),"MUJ")</f>
        <v>MUJ</v>
      </c>
      <c r="K278" s="40"/>
      <c r="L278" s="107" t="str">
        <f ca="1">IFERROR(__xludf.DUMMYFUNCTION("""COMPUTED_VALUE"""),"TRIMESTRE 2")</f>
        <v>TRIMESTRE 2</v>
      </c>
      <c r="M278" s="107" t="str">
        <f ca="1">IFERROR(__xludf.DUMMYFUNCTION("""COMPUTED_VALUE"""),"MUJERES ADULTAS")</f>
        <v>MUJERES ADULTAS</v>
      </c>
    </row>
    <row r="279" spans="1:13">
      <c r="A279" s="107" t="str">
        <f ca="1">IFERROR(__xludf.DUMMYFUNCTION("""COMPUTED_VALUE"""),"5.1.2.0")</f>
        <v>5.1.2.0</v>
      </c>
      <c r="B279" s="107" t="str">
        <f ca="1">IFERROR(__xludf.DUMMYFUNCTION("""COMPUTED_VALUE"""),"Atención Psicopedagógica Infantil/Jefatura del Departamento de CDI, CAIC  y CEDI/Dirección del Área de Centros de Atención Infantil/Coord.3. Operación")</f>
        <v>Atención Psicopedagógica Infantil/Jefatura del Departamento de CDI, CAIC  y CEDI/Dirección del Área de Centros de Atención Infantil/Coord.3. Operación</v>
      </c>
      <c r="C279" s="107" t="str">
        <f ca="1">IFERROR(__xludf.DUMMYFUNCTION("""COMPUTED_VALUE"""),"3. Operación")</f>
        <v>3. Operación</v>
      </c>
      <c r="D279" s="107" t="str">
        <f ca="1">IFERROR(__xludf.DUMMYFUNCTION("""COMPUTED_VALUE"""),"Guadalajara bien educada")</f>
        <v>Guadalajara bien educada</v>
      </c>
      <c r="E279" s="107" t="str">
        <f ca="1">IFERROR(__xludf.DUMMYFUNCTION("""COMPUTED_VALUE"""),"Atención Psicopedagógica Infantil")</f>
        <v>Atención Psicopedagógica Infantil</v>
      </c>
      <c r="F279" s="107" t="str">
        <f ca="1">IFERROR(__xludf.DUMMYFUNCTION("""COMPUTED_VALUE"""),"C2. Atenciones terapéuticas brindadas a niñas y niños con barreras de aprendizaje en el Centro de Atención Psicopedagógica Infantil")</f>
        <v>C2. Atenciones terapéuticas brindadas a niñas y niños con barreras de aprendizaje en el Centro de Atención Psicopedagógica Infantil</v>
      </c>
      <c r="G279" s="107" t="str">
        <f ca="1">IFERROR(__xludf.DUMMYFUNCTION("""COMPUTED_VALUE"""),"Promedio de personas atendidas con atención terapéutica - educativa en el Centro de Atención Psicopedagógica Infantil durante el 2024")</f>
        <v>Promedio de personas atendidas con atención terapéutica - educativa en el Centro de Atención Psicopedagógica Infantil durante el 2024</v>
      </c>
      <c r="H279" s="107" t="str">
        <f ca="1">IFERROR(__xludf.DUMMYFUNCTION("""COMPUTED_VALUE"""),"HOM junio")</f>
        <v>HOM junio</v>
      </c>
      <c r="I279" s="107" t="str">
        <f ca="1">IFERROR(__xludf.DUMMYFUNCTION("""COMPUTED_VALUE"""),"junio")</f>
        <v>junio</v>
      </c>
      <c r="J279" s="107" t="str">
        <f ca="1">IFERROR(__xludf.DUMMYFUNCTION("""COMPUTED_VALUE"""),"HOM")</f>
        <v>HOM</v>
      </c>
      <c r="K279" s="40"/>
      <c r="L279" s="107" t="str">
        <f ca="1">IFERROR(__xludf.DUMMYFUNCTION("""COMPUTED_VALUE"""),"TRIMESTRE 2")</f>
        <v>TRIMESTRE 2</v>
      </c>
      <c r="M279" s="107" t="str">
        <f ca="1">IFERROR(__xludf.DUMMYFUNCTION("""COMPUTED_VALUE"""),"HOMBRES ADULTOS")</f>
        <v>HOMBRES ADULTOS</v>
      </c>
    </row>
    <row r="280" spans="1:13">
      <c r="A280" s="107" t="str">
        <f ca="1">IFERROR(__xludf.DUMMYFUNCTION("""COMPUTED_VALUE"""),"5.1.2.0")</f>
        <v>5.1.2.0</v>
      </c>
      <c r="B280" s="107" t="str">
        <f ca="1">IFERROR(__xludf.DUMMYFUNCTION("""COMPUTED_VALUE"""),"Atención Psicopedagógica Infantil/Jefatura del Departamento de CDI, CAIC  y CEDI/Dirección del Área de Centros de Atención Infantil/Coord.3. Operación")</f>
        <v>Atención Psicopedagógica Infantil/Jefatura del Departamento de CDI, CAIC  y CEDI/Dirección del Área de Centros de Atención Infantil/Coord.3. Operación</v>
      </c>
      <c r="C280" s="107" t="str">
        <f ca="1">IFERROR(__xludf.DUMMYFUNCTION("""COMPUTED_VALUE"""),"3. Operación")</f>
        <v>3. Operación</v>
      </c>
      <c r="D280" s="107" t="str">
        <f ca="1">IFERROR(__xludf.DUMMYFUNCTION("""COMPUTED_VALUE"""),"Guadalajara bien educada")</f>
        <v>Guadalajara bien educada</v>
      </c>
      <c r="E280" s="107" t="str">
        <f ca="1">IFERROR(__xludf.DUMMYFUNCTION("""COMPUTED_VALUE"""),"Atención Psicopedagógica Infantil")</f>
        <v>Atención Psicopedagógica Infantil</v>
      </c>
      <c r="F280" s="107" t="str">
        <f ca="1">IFERROR(__xludf.DUMMYFUNCTION("""COMPUTED_VALUE"""),"C2. Atenciones terapéuticas brindadas a niñas y niños con barreras de aprendizaje en el Centro de Atención Psicopedagógica Infantil")</f>
        <v>C2. Atenciones terapéuticas brindadas a niñas y niños con barreras de aprendizaje en el Centro de Atención Psicopedagógica Infantil</v>
      </c>
      <c r="G280" s="107" t="str">
        <f ca="1">IFERROR(__xludf.DUMMYFUNCTION("""COMPUTED_VALUE"""),"Promedio de personas atendidas con atención terapéutica - educativa en el Centro de Atención Psicopedagógica Infantil durante el 2024")</f>
        <v>Promedio de personas atendidas con atención terapéutica - educativa en el Centro de Atención Psicopedagógica Infantil durante el 2024</v>
      </c>
      <c r="H280" s="107" t="str">
        <f ca="1">IFERROR(__xludf.DUMMYFUNCTION("""COMPUTED_VALUE"""),"AMM junio")</f>
        <v>AMM junio</v>
      </c>
      <c r="I280" s="107" t="str">
        <f ca="1">IFERROR(__xludf.DUMMYFUNCTION("""COMPUTED_VALUE"""),"junio")</f>
        <v>junio</v>
      </c>
      <c r="J280" s="107" t="str">
        <f ca="1">IFERROR(__xludf.DUMMYFUNCTION("""COMPUTED_VALUE"""),"AMM")</f>
        <v>AMM</v>
      </c>
      <c r="K280" s="40"/>
      <c r="L280" s="107" t="str">
        <f ca="1">IFERROR(__xludf.DUMMYFUNCTION("""COMPUTED_VALUE"""),"TRIMESTRE 2")</f>
        <v>TRIMESTRE 2</v>
      </c>
      <c r="M280" s="107" t="str">
        <f ca="1">IFERROR(__xludf.DUMMYFUNCTION("""COMPUTED_VALUE"""),"ADULTA MAYOR MUJER")</f>
        <v>ADULTA MAYOR MUJER</v>
      </c>
    </row>
    <row r="281" spans="1:13">
      <c r="A281" s="107" t="str">
        <f ca="1">IFERROR(__xludf.DUMMYFUNCTION("""COMPUTED_VALUE"""),"5.1.2.0")</f>
        <v>5.1.2.0</v>
      </c>
      <c r="B281" s="107" t="str">
        <f ca="1">IFERROR(__xludf.DUMMYFUNCTION("""COMPUTED_VALUE"""),"Atención Psicopedagógica Infantil/Jefatura del Departamento de CDI, CAIC  y CEDI/Dirección del Área de Centros de Atención Infantil/Coord.3. Operación")</f>
        <v>Atención Psicopedagógica Infantil/Jefatura del Departamento de CDI, CAIC  y CEDI/Dirección del Área de Centros de Atención Infantil/Coord.3. Operación</v>
      </c>
      <c r="C281" s="107" t="str">
        <f ca="1">IFERROR(__xludf.DUMMYFUNCTION("""COMPUTED_VALUE"""),"3. Operación")</f>
        <v>3. Operación</v>
      </c>
      <c r="D281" s="107" t="str">
        <f ca="1">IFERROR(__xludf.DUMMYFUNCTION("""COMPUTED_VALUE"""),"Guadalajara bien educada")</f>
        <v>Guadalajara bien educada</v>
      </c>
      <c r="E281" s="107" t="str">
        <f ca="1">IFERROR(__xludf.DUMMYFUNCTION("""COMPUTED_VALUE"""),"Atención Psicopedagógica Infantil")</f>
        <v>Atención Psicopedagógica Infantil</v>
      </c>
      <c r="F281" s="107" t="str">
        <f ca="1">IFERROR(__xludf.DUMMYFUNCTION("""COMPUTED_VALUE"""),"C2. Atenciones terapéuticas brindadas a niñas y niños con barreras de aprendizaje en el Centro de Atención Psicopedagógica Infantil")</f>
        <v>C2. Atenciones terapéuticas brindadas a niñas y niños con barreras de aprendizaje en el Centro de Atención Psicopedagógica Infantil</v>
      </c>
      <c r="G281" s="107" t="str">
        <f ca="1">IFERROR(__xludf.DUMMYFUNCTION("""COMPUTED_VALUE"""),"Promedio de personas atendidas con atención terapéutica - educativa en el Centro de Atención Psicopedagógica Infantil durante el 2024")</f>
        <v>Promedio de personas atendidas con atención terapéutica - educativa en el Centro de Atención Psicopedagógica Infantil durante el 2024</v>
      </c>
      <c r="H281" s="107" t="str">
        <f ca="1">IFERROR(__xludf.DUMMYFUNCTION("""COMPUTED_VALUE"""),"AMH junio")</f>
        <v>AMH junio</v>
      </c>
      <c r="I281" s="107" t="str">
        <f ca="1">IFERROR(__xludf.DUMMYFUNCTION("""COMPUTED_VALUE"""),"junio")</f>
        <v>junio</v>
      </c>
      <c r="J281" s="107" t="str">
        <f ca="1">IFERROR(__xludf.DUMMYFUNCTION("""COMPUTED_VALUE"""),"AMH")</f>
        <v>AMH</v>
      </c>
      <c r="K281" s="40"/>
      <c r="L281" s="107" t="str">
        <f ca="1">IFERROR(__xludf.DUMMYFUNCTION("""COMPUTED_VALUE"""),"TRIMESTRE 2")</f>
        <v>TRIMESTRE 2</v>
      </c>
      <c r="M281" s="107" t="str">
        <f ca="1">IFERROR(__xludf.DUMMYFUNCTION("""COMPUTED_VALUE"""),"ADULTO MAYOR HOMBRE")</f>
        <v>ADULTO MAYOR HOMBRE</v>
      </c>
    </row>
    <row r="282" spans="1:13">
      <c r="A282" s="107" t="str">
        <f ca="1">IFERROR(__xludf.DUMMYFUNCTION("""COMPUTED_VALUE"""),"5.1.2.1")</f>
        <v>5.1.2.1</v>
      </c>
      <c r="B282" s="107" t="str">
        <f ca="1">IFERROR(__xludf.DUMMYFUNCTION("""COMPUTED_VALUE"""),"Atención Psicopedagógica Infantil/Dirección del Área de Centros de Inclusión/Dirección del Área de Centros de Inclusión/Coord.5. Inclusión")</f>
        <v>Atención Psicopedagógica Infantil/Dirección del Área de Centros de Inclusión/Dirección del Área de Centros de Inclusión/Coord.5. Inclusión</v>
      </c>
      <c r="C282" s="107" t="str">
        <f ca="1">IFERROR(__xludf.DUMMYFUNCTION("""COMPUTED_VALUE"""),"5. Inclusión")</f>
        <v>5. Inclusión</v>
      </c>
      <c r="D282" s="107" t="str">
        <f ca="1">IFERROR(__xludf.DUMMYFUNCTION("""COMPUTED_VALUE"""),"Guadalajara bien educada")</f>
        <v>Guadalajara bien educada</v>
      </c>
      <c r="E282" s="107" t="str">
        <f ca="1">IFERROR(__xludf.DUMMYFUNCTION("""COMPUTED_VALUE"""),"Atención Psicopedagógica Infantil")</f>
        <v>Atención Psicopedagógica Infantil</v>
      </c>
      <c r="F282" s="107" t="str">
        <f ca="1">IFERROR(__xludf.DUMMYFUNCTION("""COMPUTED_VALUE"""),"A1C2 Actividades de diagnóstico y valoración psicológica ejecutadas para niñas y niños que requieran atención en el CAPI")</f>
        <v>A1C2 Actividades de diagnóstico y valoración psicológica ejecutadas para niñas y niños que requieran atención en el CAPI</v>
      </c>
      <c r="G282" s="107" t="str">
        <f ca="1">IFERROR(__xludf.DUMMYFUNCTION("""COMPUTED_VALUE"""),"Porcentaje de diagnósticos y valoraciones realizados a niñas y niños que requieran atención en el CAPI en 2024")</f>
        <v>Porcentaje de diagnósticos y valoraciones realizados a niñas y niños que requieran atención en el CAPI en 2024</v>
      </c>
      <c r="H282" s="107" t="str">
        <f ca="1">IFERROR(__xludf.DUMMYFUNCTION("""COMPUTED_VALUE"""),"NAS junio")</f>
        <v>NAS junio</v>
      </c>
      <c r="I282" s="107" t="str">
        <f ca="1">IFERROR(__xludf.DUMMYFUNCTION("""COMPUTED_VALUE"""),"junio")</f>
        <v>junio</v>
      </c>
      <c r="J282" s="107" t="str">
        <f ca="1">IFERROR(__xludf.DUMMYFUNCTION("""COMPUTED_VALUE"""),"NAS")</f>
        <v>NAS</v>
      </c>
      <c r="K282" s="40">
        <f ca="1">IFERROR(__xludf.DUMMYFUNCTION("""COMPUTED_VALUE"""),4)</f>
        <v>4</v>
      </c>
      <c r="L282" s="107" t="str">
        <f ca="1">IFERROR(__xludf.DUMMYFUNCTION("""COMPUTED_VALUE"""),"TRIMESTRE 2")</f>
        <v>TRIMESTRE 2</v>
      </c>
      <c r="M282" s="107" t="str">
        <f ca="1">IFERROR(__xludf.DUMMYFUNCTION("""COMPUTED_VALUE"""),"NIÑAS")</f>
        <v>NIÑAS</v>
      </c>
    </row>
    <row r="283" spans="1:13">
      <c r="A283" s="107" t="str">
        <f ca="1">IFERROR(__xludf.DUMMYFUNCTION("""COMPUTED_VALUE"""),"5.1.2.1")</f>
        <v>5.1.2.1</v>
      </c>
      <c r="B283" s="107" t="str">
        <f ca="1">IFERROR(__xludf.DUMMYFUNCTION("""COMPUTED_VALUE"""),"Atención Psicopedagógica Infantil/Dirección del Área de Centros de Inclusión/Dirección del Área de Centros de Inclusión/Coord.5. Inclusión")</f>
        <v>Atención Psicopedagógica Infantil/Dirección del Área de Centros de Inclusión/Dirección del Área de Centros de Inclusión/Coord.5. Inclusión</v>
      </c>
      <c r="C283" s="107" t="str">
        <f ca="1">IFERROR(__xludf.DUMMYFUNCTION("""COMPUTED_VALUE"""),"5. Inclusión")</f>
        <v>5. Inclusión</v>
      </c>
      <c r="D283" s="107" t="str">
        <f ca="1">IFERROR(__xludf.DUMMYFUNCTION("""COMPUTED_VALUE"""),"Guadalajara bien educada")</f>
        <v>Guadalajara bien educada</v>
      </c>
      <c r="E283" s="107" t="str">
        <f ca="1">IFERROR(__xludf.DUMMYFUNCTION("""COMPUTED_VALUE"""),"Atención Psicopedagógica Infantil")</f>
        <v>Atención Psicopedagógica Infantil</v>
      </c>
      <c r="F283" s="107" t="str">
        <f ca="1">IFERROR(__xludf.DUMMYFUNCTION("""COMPUTED_VALUE"""),"A1C2 Actividades de diagnóstico y valoración psicológica ejecutadas para niñas y niños que requieran atención en el CAPI")</f>
        <v>A1C2 Actividades de diagnóstico y valoración psicológica ejecutadas para niñas y niños que requieran atención en el CAPI</v>
      </c>
      <c r="G283" s="107" t="str">
        <f ca="1">IFERROR(__xludf.DUMMYFUNCTION("""COMPUTED_VALUE"""),"Porcentaje de diagnósticos y valoraciones realizados a niñas y niños que requieran atención en el CAPI en 2024")</f>
        <v>Porcentaje de diagnósticos y valoraciones realizados a niñas y niños que requieran atención en el CAPI en 2024</v>
      </c>
      <c r="H283" s="107" t="str">
        <f ca="1">IFERROR(__xludf.DUMMYFUNCTION("""COMPUTED_VALUE"""),"NOS junio")</f>
        <v>NOS junio</v>
      </c>
      <c r="I283" s="107" t="str">
        <f ca="1">IFERROR(__xludf.DUMMYFUNCTION("""COMPUTED_VALUE"""),"junio")</f>
        <v>junio</v>
      </c>
      <c r="J283" s="107" t="str">
        <f ca="1">IFERROR(__xludf.DUMMYFUNCTION("""COMPUTED_VALUE"""),"NOS")</f>
        <v>NOS</v>
      </c>
      <c r="K283" s="40">
        <f ca="1">IFERROR(__xludf.DUMMYFUNCTION("""COMPUTED_VALUE"""),4)</f>
        <v>4</v>
      </c>
      <c r="L283" s="107" t="str">
        <f ca="1">IFERROR(__xludf.DUMMYFUNCTION("""COMPUTED_VALUE"""),"TRIMESTRE 2")</f>
        <v>TRIMESTRE 2</v>
      </c>
      <c r="M283" s="107" t="str">
        <f ca="1">IFERROR(__xludf.DUMMYFUNCTION("""COMPUTED_VALUE"""),"NIÑOS")</f>
        <v>NIÑOS</v>
      </c>
    </row>
    <row r="284" spans="1:13">
      <c r="A284" s="107" t="str">
        <f ca="1">IFERROR(__xludf.DUMMYFUNCTION("""COMPUTED_VALUE"""),"5.1.2.1")</f>
        <v>5.1.2.1</v>
      </c>
      <c r="B284" s="107" t="str">
        <f ca="1">IFERROR(__xludf.DUMMYFUNCTION("""COMPUTED_VALUE"""),"Atención Psicopedagógica Infantil/Dirección del Área de Centros de Inclusión/Dirección del Área de Centros de Inclusión/Coord.5. Inclusión")</f>
        <v>Atención Psicopedagógica Infantil/Dirección del Área de Centros de Inclusión/Dirección del Área de Centros de Inclusión/Coord.5. Inclusión</v>
      </c>
      <c r="C284" s="107" t="str">
        <f ca="1">IFERROR(__xludf.DUMMYFUNCTION("""COMPUTED_VALUE"""),"5. Inclusión")</f>
        <v>5. Inclusión</v>
      </c>
      <c r="D284" s="107" t="str">
        <f ca="1">IFERROR(__xludf.DUMMYFUNCTION("""COMPUTED_VALUE"""),"Guadalajara bien educada")</f>
        <v>Guadalajara bien educada</v>
      </c>
      <c r="E284" s="107" t="str">
        <f ca="1">IFERROR(__xludf.DUMMYFUNCTION("""COMPUTED_VALUE"""),"Atención Psicopedagógica Infantil")</f>
        <v>Atención Psicopedagógica Infantil</v>
      </c>
      <c r="F284" s="107" t="str">
        <f ca="1">IFERROR(__xludf.DUMMYFUNCTION("""COMPUTED_VALUE"""),"A1C2 Actividades de diagnóstico y valoración psicológica ejecutadas para niñas y niños que requieran atención en el CAPI")</f>
        <v>A1C2 Actividades de diagnóstico y valoración psicológica ejecutadas para niñas y niños que requieran atención en el CAPI</v>
      </c>
      <c r="G284" s="107" t="str">
        <f ca="1">IFERROR(__xludf.DUMMYFUNCTION("""COMPUTED_VALUE"""),"Porcentaje de diagnósticos y valoraciones realizados a niñas y niños que requieran atención en el CAPI en 2024")</f>
        <v>Porcentaje de diagnósticos y valoraciones realizados a niñas y niños que requieran atención en el CAPI en 2024</v>
      </c>
      <c r="H284" s="107" t="str">
        <f ca="1">IFERROR(__xludf.DUMMYFUNCTION("""COMPUTED_VALUE"""),"AM junio")</f>
        <v>AM junio</v>
      </c>
      <c r="I284" s="107" t="str">
        <f ca="1">IFERROR(__xludf.DUMMYFUNCTION("""COMPUTED_VALUE"""),"junio")</f>
        <v>junio</v>
      </c>
      <c r="J284" s="107" t="str">
        <f ca="1">IFERROR(__xludf.DUMMYFUNCTION("""COMPUTED_VALUE"""),"AM")</f>
        <v>AM</v>
      </c>
      <c r="K284" s="40">
        <f ca="1">IFERROR(__xludf.DUMMYFUNCTION("""COMPUTED_VALUE"""),0)</f>
        <v>0</v>
      </c>
      <c r="L284" s="107" t="str">
        <f ca="1">IFERROR(__xludf.DUMMYFUNCTION("""COMPUTED_VALUE"""),"TRIMESTRE 2")</f>
        <v>TRIMESTRE 2</v>
      </c>
      <c r="M284" s="107" t="str">
        <f ca="1">IFERROR(__xludf.DUMMYFUNCTION("""COMPUTED_VALUE"""),"ADOLESCENTES MUJERES")</f>
        <v>ADOLESCENTES MUJERES</v>
      </c>
    </row>
    <row r="285" spans="1:13">
      <c r="A285" s="107" t="str">
        <f ca="1">IFERROR(__xludf.DUMMYFUNCTION("""COMPUTED_VALUE"""),"5.1.2.1")</f>
        <v>5.1.2.1</v>
      </c>
      <c r="B285" s="107" t="str">
        <f ca="1">IFERROR(__xludf.DUMMYFUNCTION("""COMPUTED_VALUE"""),"Atención Psicopedagógica Infantil/Dirección del Área de Centros de Inclusión/Dirección del Área de Centros de Inclusión/Coord.5. Inclusión")</f>
        <v>Atención Psicopedagógica Infantil/Dirección del Área de Centros de Inclusión/Dirección del Área de Centros de Inclusión/Coord.5. Inclusión</v>
      </c>
      <c r="C285" s="107" t="str">
        <f ca="1">IFERROR(__xludf.DUMMYFUNCTION("""COMPUTED_VALUE"""),"5. Inclusión")</f>
        <v>5. Inclusión</v>
      </c>
      <c r="D285" s="107" t="str">
        <f ca="1">IFERROR(__xludf.DUMMYFUNCTION("""COMPUTED_VALUE"""),"Guadalajara bien educada")</f>
        <v>Guadalajara bien educada</v>
      </c>
      <c r="E285" s="107" t="str">
        <f ca="1">IFERROR(__xludf.DUMMYFUNCTION("""COMPUTED_VALUE"""),"Atención Psicopedagógica Infantil")</f>
        <v>Atención Psicopedagógica Infantil</v>
      </c>
      <c r="F285" s="107" t="str">
        <f ca="1">IFERROR(__xludf.DUMMYFUNCTION("""COMPUTED_VALUE"""),"A1C2 Actividades de diagnóstico y valoración psicológica ejecutadas para niñas y niños que requieran atención en el CAPI")</f>
        <v>A1C2 Actividades de diagnóstico y valoración psicológica ejecutadas para niñas y niños que requieran atención en el CAPI</v>
      </c>
      <c r="G285" s="107" t="str">
        <f ca="1">IFERROR(__xludf.DUMMYFUNCTION("""COMPUTED_VALUE"""),"Porcentaje de diagnósticos y valoraciones realizados a niñas y niños que requieran atención en el CAPI en 2024")</f>
        <v>Porcentaje de diagnósticos y valoraciones realizados a niñas y niños que requieran atención en el CAPI en 2024</v>
      </c>
      <c r="H285" s="107" t="str">
        <f ca="1">IFERROR(__xludf.DUMMYFUNCTION("""COMPUTED_VALUE"""),"AM junio")</f>
        <v>AM junio</v>
      </c>
      <c r="I285" s="107" t="str">
        <f ca="1">IFERROR(__xludf.DUMMYFUNCTION("""COMPUTED_VALUE"""),"junio")</f>
        <v>junio</v>
      </c>
      <c r="J285" s="107" t="str">
        <f ca="1">IFERROR(__xludf.DUMMYFUNCTION("""COMPUTED_VALUE"""),"AH")</f>
        <v>AH</v>
      </c>
      <c r="K285" s="40">
        <f ca="1">IFERROR(__xludf.DUMMYFUNCTION("""COMPUTED_VALUE"""),0)</f>
        <v>0</v>
      </c>
      <c r="L285" s="107" t="str">
        <f ca="1">IFERROR(__xludf.DUMMYFUNCTION("""COMPUTED_VALUE"""),"TRIMESTRE 2")</f>
        <v>TRIMESTRE 2</v>
      </c>
      <c r="M285" s="107" t="str">
        <f ca="1">IFERROR(__xludf.DUMMYFUNCTION("""COMPUTED_VALUE"""),"ADOLESCENTES HOMBRES")</f>
        <v>ADOLESCENTES HOMBRES</v>
      </c>
    </row>
    <row r="286" spans="1:13">
      <c r="A286" s="107" t="str">
        <f ca="1">IFERROR(__xludf.DUMMYFUNCTION("""COMPUTED_VALUE"""),"5.1.2.1")</f>
        <v>5.1.2.1</v>
      </c>
      <c r="B286" s="107" t="str">
        <f ca="1">IFERROR(__xludf.DUMMYFUNCTION("""COMPUTED_VALUE"""),"Atención Psicopedagógica Infantil/Dirección del Área de Centros de Inclusión/Dirección del Área de Centros de Inclusión/Coord.5. Inclusión")</f>
        <v>Atención Psicopedagógica Infantil/Dirección del Área de Centros de Inclusión/Dirección del Área de Centros de Inclusión/Coord.5. Inclusión</v>
      </c>
      <c r="C286" s="107" t="str">
        <f ca="1">IFERROR(__xludf.DUMMYFUNCTION("""COMPUTED_VALUE"""),"5. Inclusión")</f>
        <v>5. Inclusión</v>
      </c>
      <c r="D286" s="107" t="str">
        <f ca="1">IFERROR(__xludf.DUMMYFUNCTION("""COMPUTED_VALUE"""),"Guadalajara bien educada")</f>
        <v>Guadalajara bien educada</v>
      </c>
      <c r="E286" s="107" t="str">
        <f ca="1">IFERROR(__xludf.DUMMYFUNCTION("""COMPUTED_VALUE"""),"Atención Psicopedagógica Infantil")</f>
        <v>Atención Psicopedagógica Infantil</v>
      </c>
      <c r="F286" s="107" t="str">
        <f ca="1">IFERROR(__xludf.DUMMYFUNCTION("""COMPUTED_VALUE"""),"A1C2 Actividades de diagnóstico y valoración psicológica ejecutadas para niñas y niños que requieran atención en el CAPI")</f>
        <v>A1C2 Actividades de diagnóstico y valoración psicológica ejecutadas para niñas y niños que requieran atención en el CAPI</v>
      </c>
      <c r="G286" s="107" t="str">
        <f ca="1">IFERROR(__xludf.DUMMYFUNCTION("""COMPUTED_VALUE"""),"Porcentaje de diagnósticos y valoraciones realizados a niñas y niños que requieran atención en el CAPI en 2024")</f>
        <v>Porcentaje de diagnósticos y valoraciones realizados a niñas y niños que requieran atención en el CAPI en 2024</v>
      </c>
      <c r="H286" s="107" t="str">
        <f ca="1">IFERROR(__xludf.DUMMYFUNCTION("""COMPUTED_VALUE"""),"MUJ junio")</f>
        <v>MUJ junio</v>
      </c>
      <c r="I286" s="107" t="str">
        <f ca="1">IFERROR(__xludf.DUMMYFUNCTION("""COMPUTED_VALUE"""),"junio")</f>
        <v>junio</v>
      </c>
      <c r="J286" s="107" t="str">
        <f ca="1">IFERROR(__xludf.DUMMYFUNCTION("""COMPUTED_VALUE"""),"MUJ")</f>
        <v>MUJ</v>
      </c>
      <c r="K286" s="40"/>
      <c r="L286" s="107" t="str">
        <f ca="1">IFERROR(__xludf.DUMMYFUNCTION("""COMPUTED_VALUE"""),"TRIMESTRE 2")</f>
        <v>TRIMESTRE 2</v>
      </c>
      <c r="M286" s="107" t="str">
        <f ca="1">IFERROR(__xludf.DUMMYFUNCTION("""COMPUTED_VALUE"""),"MUJERES ADULTAS")</f>
        <v>MUJERES ADULTAS</v>
      </c>
    </row>
    <row r="287" spans="1:13">
      <c r="A287" s="107" t="str">
        <f ca="1">IFERROR(__xludf.DUMMYFUNCTION("""COMPUTED_VALUE"""),"5.1.2.1")</f>
        <v>5.1.2.1</v>
      </c>
      <c r="B287" s="107" t="str">
        <f ca="1">IFERROR(__xludf.DUMMYFUNCTION("""COMPUTED_VALUE"""),"Atención Psicopedagógica Infantil/Dirección del Área de Centros de Inclusión/Dirección del Área de Centros de Inclusión/Coord.5. Inclusión")</f>
        <v>Atención Psicopedagógica Infantil/Dirección del Área de Centros de Inclusión/Dirección del Área de Centros de Inclusión/Coord.5. Inclusión</v>
      </c>
      <c r="C287" s="107" t="str">
        <f ca="1">IFERROR(__xludf.DUMMYFUNCTION("""COMPUTED_VALUE"""),"5. Inclusión")</f>
        <v>5. Inclusión</v>
      </c>
      <c r="D287" s="107" t="str">
        <f ca="1">IFERROR(__xludf.DUMMYFUNCTION("""COMPUTED_VALUE"""),"Guadalajara bien educada")</f>
        <v>Guadalajara bien educada</v>
      </c>
      <c r="E287" s="107" t="str">
        <f ca="1">IFERROR(__xludf.DUMMYFUNCTION("""COMPUTED_VALUE"""),"Atención Psicopedagógica Infantil")</f>
        <v>Atención Psicopedagógica Infantil</v>
      </c>
      <c r="F287" s="107" t="str">
        <f ca="1">IFERROR(__xludf.DUMMYFUNCTION("""COMPUTED_VALUE"""),"A1C2 Actividades de diagnóstico y valoración psicológica ejecutadas para niñas y niños que requieran atención en el CAPI")</f>
        <v>A1C2 Actividades de diagnóstico y valoración psicológica ejecutadas para niñas y niños que requieran atención en el CAPI</v>
      </c>
      <c r="G287" s="107" t="str">
        <f ca="1">IFERROR(__xludf.DUMMYFUNCTION("""COMPUTED_VALUE"""),"Porcentaje de diagnósticos y valoraciones realizados a niñas y niños que requieran atención en el CAPI en 2024")</f>
        <v>Porcentaje de diagnósticos y valoraciones realizados a niñas y niños que requieran atención en el CAPI en 2024</v>
      </c>
      <c r="H287" s="107" t="str">
        <f ca="1">IFERROR(__xludf.DUMMYFUNCTION("""COMPUTED_VALUE"""),"HOM junio")</f>
        <v>HOM junio</v>
      </c>
      <c r="I287" s="107" t="str">
        <f ca="1">IFERROR(__xludf.DUMMYFUNCTION("""COMPUTED_VALUE"""),"junio")</f>
        <v>junio</v>
      </c>
      <c r="J287" s="107" t="str">
        <f ca="1">IFERROR(__xludf.DUMMYFUNCTION("""COMPUTED_VALUE"""),"HOM")</f>
        <v>HOM</v>
      </c>
      <c r="K287" s="40"/>
      <c r="L287" s="107" t="str">
        <f ca="1">IFERROR(__xludf.DUMMYFUNCTION("""COMPUTED_VALUE"""),"TRIMESTRE 2")</f>
        <v>TRIMESTRE 2</v>
      </c>
      <c r="M287" s="107" t="str">
        <f ca="1">IFERROR(__xludf.DUMMYFUNCTION("""COMPUTED_VALUE"""),"HOMBRES ADULTOS")</f>
        <v>HOMBRES ADULTOS</v>
      </c>
    </row>
    <row r="288" spans="1:13">
      <c r="A288" s="107" t="str">
        <f ca="1">IFERROR(__xludf.DUMMYFUNCTION("""COMPUTED_VALUE"""),"5.1.2.1")</f>
        <v>5.1.2.1</v>
      </c>
      <c r="B288" s="107" t="str">
        <f ca="1">IFERROR(__xludf.DUMMYFUNCTION("""COMPUTED_VALUE"""),"Atención Psicopedagógica Infantil/Dirección del Área de Centros de Inclusión/Dirección del Área de Centros de Inclusión/Coord.5. Inclusión")</f>
        <v>Atención Psicopedagógica Infantil/Dirección del Área de Centros de Inclusión/Dirección del Área de Centros de Inclusión/Coord.5. Inclusión</v>
      </c>
      <c r="C288" s="107" t="str">
        <f ca="1">IFERROR(__xludf.DUMMYFUNCTION("""COMPUTED_VALUE"""),"5. Inclusión")</f>
        <v>5. Inclusión</v>
      </c>
      <c r="D288" s="107" t="str">
        <f ca="1">IFERROR(__xludf.DUMMYFUNCTION("""COMPUTED_VALUE"""),"Guadalajara bien educada")</f>
        <v>Guadalajara bien educada</v>
      </c>
      <c r="E288" s="107" t="str">
        <f ca="1">IFERROR(__xludf.DUMMYFUNCTION("""COMPUTED_VALUE"""),"Atención Psicopedagógica Infantil")</f>
        <v>Atención Psicopedagógica Infantil</v>
      </c>
      <c r="F288" s="107" t="str">
        <f ca="1">IFERROR(__xludf.DUMMYFUNCTION("""COMPUTED_VALUE"""),"A1C2 Actividades de diagnóstico y valoración psicológica ejecutadas para niñas y niños que requieran atención en el CAPI")</f>
        <v>A1C2 Actividades de diagnóstico y valoración psicológica ejecutadas para niñas y niños que requieran atención en el CAPI</v>
      </c>
      <c r="G288" s="107" t="str">
        <f ca="1">IFERROR(__xludf.DUMMYFUNCTION("""COMPUTED_VALUE"""),"Porcentaje de diagnósticos y valoraciones realizados a niñas y niños que requieran atención en el CAPI en 2024")</f>
        <v>Porcentaje de diagnósticos y valoraciones realizados a niñas y niños que requieran atención en el CAPI en 2024</v>
      </c>
      <c r="H288" s="107" t="str">
        <f ca="1">IFERROR(__xludf.DUMMYFUNCTION("""COMPUTED_VALUE"""),"AMM junio")</f>
        <v>AMM junio</v>
      </c>
      <c r="I288" s="107" t="str">
        <f ca="1">IFERROR(__xludf.DUMMYFUNCTION("""COMPUTED_VALUE"""),"junio")</f>
        <v>junio</v>
      </c>
      <c r="J288" s="107" t="str">
        <f ca="1">IFERROR(__xludf.DUMMYFUNCTION("""COMPUTED_VALUE"""),"AMM")</f>
        <v>AMM</v>
      </c>
      <c r="K288" s="40"/>
      <c r="L288" s="107" t="str">
        <f ca="1">IFERROR(__xludf.DUMMYFUNCTION("""COMPUTED_VALUE"""),"TRIMESTRE 2")</f>
        <v>TRIMESTRE 2</v>
      </c>
      <c r="M288" s="107" t="str">
        <f ca="1">IFERROR(__xludf.DUMMYFUNCTION("""COMPUTED_VALUE"""),"ADULTA MAYOR MUJER")</f>
        <v>ADULTA MAYOR MUJER</v>
      </c>
    </row>
    <row r="289" spans="1:13">
      <c r="A289" s="107" t="str">
        <f ca="1">IFERROR(__xludf.DUMMYFUNCTION("""COMPUTED_VALUE"""),"5.1.2.1")</f>
        <v>5.1.2.1</v>
      </c>
      <c r="B289" s="107" t="str">
        <f ca="1">IFERROR(__xludf.DUMMYFUNCTION("""COMPUTED_VALUE"""),"Atención Psicopedagógica Infantil/Dirección del Área de Centros de Inclusión/Dirección del Área de Centros de Inclusión/Coord.5. Inclusión")</f>
        <v>Atención Psicopedagógica Infantil/Dirección del Área de Centros de Inclusión/Dirección del Área de Centros de Inclusión/Coord.5. Inclusión</v>
      </c>
      <c r="C289" s="107" t="str">
        <f ca="1">IFERROR(__xludf.DUMMYFUNCTION("""COMPUTED_VALUE"""),"5. Inclusión")</f>
        <v>5. Inclusión</v>
      </c>
      <c r="D289" s="107" t="str">
        <f ca="1">IFERROR(__xludf.DUMMYFUNCTION("""COMPUTED_VALUE"""),"Guadalajara bien educada")</f>
        <v>Guadalajara bien educada</v>
      </c>
      <c r="E289" s="107" t="str">
        <f ca="1">IFERROR(__xludf.DUMMYFUNCTION("""COMPUTED_VALUE"""),"Atención Psicopedagógica Infantil")</f>
        <v>Atención Psicopedagógica Infantil</v>
      </c>
      <c r="F289" s="107" t="str">
        <f ca="1">IFERROR(__xludf.DUMMYFUNCTION("""COMPUTED_VALUE"""),"A1C2 Actividades de diagnóstico y valoración psicológica ejecutadas para niñas y niños que requieran atención en el CAPI")</f>
        <v>A1C2 Actividades de diagnóstico y valoración psicológica ejecutadas para niñas y niños que requieran atención en el CAPI</v>
      </c>
      <c r="G289" s="107" t="str">
        <f ca="1">IFERROR(__xludf.DUMMYFUNCTION("""COMPUTED_VALUE"""),"Porcentaje de diagnósticos y valoraciones realizados a niñas y niños que requieran atención en el CAPI en 2024")</f>
        <v>Porcentaje de diagnósticos y valoraciones realizados a niñas y niños que requieran atención en el CAPI en 2024</v>
      </c>
      <c r="H289" s="107" t="str">
        <f ca="1">IFERROR(__xludf.DUMMYFUNCTION("""COMPUTED_VALUE"""),"AMH junio")</f>
        <v>AMH junio</v>
      </c>
      <c r="I289" s="107" t="str">
        <f ca="1">IFERROR(__xludf.DUMMYFUNCTION("""COMPUTED_VALUE"""),"junio")</f>
        <v>junio</v>
      </c>
      <c r="J289" s="107" t="str">
        <f ca="1">IFERROR(__xludf.DUMMYFUNCTION("""COMPUTED_VALUE"""),"AMH")</f>
        <v>AMH</v>
      </c>
      <c r="K289" s="40"/>
      <c r="L289" s="107" t="str">
        <f ca="1">IFERROR(__xludf.DUMMYFUNCTION("""COMPUTED_VALUE"""),"TRIMESTRE 2")</f>
        <v>TRIMESTRE 2</v>
      </c>
      <c r="M289" s="107" t="str">
        <f ca="1">IFERROR(__xludf.DUMMYFUNCTION("""COMPUTED_VALUE"""),"ADULTO MAYOR HOMBRE")</f>
        <v>ADULTO MAYOR HOMBRE</v>
      </c>
    </row>
    <row r="290" spans="1:13">
      <c r="A290" s="107" t="str">
        <f ca="1">IFERROR(__xludf.DUMMYFUNCTION("""COMPUTED_VALUE"""),"5.1.2.0")</f>
        <v>5.1.2.0</v>
      </c>
      <c r="B290" s="107" t="str">
        <f ca="1">IFERROR(__xludf.DUMMYFUNCTION("""COMPUTED_VALUE"""),"Atención Psicopedagógica Infantil/Jefatura del Departamento de CDI, CAIC  y CEDI/Dirección del Área de Centros de Atención Infantil/Coord.3. Operación")</f>
        <v>Atención Psicopedagógica Infantil/Jefatura del Departamento de CDI, CAIC  y CEDI/Dirección del Área de Centros de Atención Infantil/Coord.3. Operación</v>
      </c>
      <c r="C290" s="107" t="str">
        <f ca="1">IFERROR(__xludf.DUMMYFUNCTION("""COMPUTED_VALUE"""),"3. Operación")</f>
        <v>3. Operación</v>
      </c>
      <c r="D290" s="107" t="str">
        <f ca="1">IFERROR(__xludf.DUMMYFUNCTION("""COMPUTED_VALUE"""),"Guadalajara bien educada")</f>
        <v>Guadalajara bien educada</v>
      </c>
      <c r="E290" s="107" t="str">
        <f ca="1">IFERROR(__xludf.DUMMYFUNCTION("""COMPUTED_VALUE"""),"Atención Psicopedagógica Infantil")</f>
        <v>Atención Psicopedagógica Infantil</v>
      </c>
      <c r="F290" s="107" t="str">
        <f ca="1">IFERROR(__xludf.DUMMYFUNCTION("""COMPUTED_VALUE"""),"C2. Atenciones terapéuticas brindadas a niñas y niños con barreras de aprendizaje en el Centro de Atención Psicopedagógica Infantil")</f>
        <v>C2. Atenciones terapéuticas brindadas a niñas y niños con barreras de aprendizaje en el Centro de Atención Psicopedagógica Infantil</v>
      </c>
      <c r="G290" s="107" t="str">
        <f ca="1">IFERROR(__xludf.DUMMYFUNCTION("""COMPUTED_VALUE"""),"Promedio de personas atendidas con atención terapéutica - educativa en el Centro de Atención Psicopedagógica Infantil durante el 2024")</f>
        <v>Promedio de personas atendidas con atención terapéutica - educativa en el Centro de Atención Psicopedagógica Infantil durante el 2024</v>
      </c>
      <c r="H290" s="107" t="str">
        <f ca="1">IFERROR(__xludf.DUMMYFUNCTION("""COMPUTED_VALUE"""),"NAS julio")</f>
        <v>NAS julio</v>
      </c>
      <c r="I290" s="107" t="str">
        <f ca="1">IFERROR(__xludf.DUMMYFUNCTION("""COMPUTED_VALUE"""),"julio")</f>
        <v>julio</v>
      </c>
      <c r="J290" s="107" t="str">
        <f ca="1">IFERROR(__xludf.DUMMYFUNCTION("""COMPUTED_VALUE"""),"NAS")</f>
        <v>NAS</v>
      </c>
      <c r="K290" s="40">
        <f ca="1">IFERROR(__xludf.DUMMYFUNCTION("""COMPUTED_VALUE"""),15)</f>
        <v>15</v>
      </c>
      <c r="L290" s="107" t="str">
        <f ca="1">IFERROR(__xludf.DUMMYFUNCTION("""COMPUTED_VALUE"""),"TRIMESTRE 3")</f>
        <v>TRIMESTRE 3</v>
      </c>
      <c r="M290" s="107" t="str">
        <f ca="1">IFERROR(__xludf.DUMMYFUNCTION("""COMPUTED_VALUE"""),"NIÑAS")</f>
        <v>NIÑAS</v>
      </c>
    </row>
    <row r="291" spans="1:13">
      <c r="A291" s="107" t="str">
        <f ca="1">IFERROR(__xludf.DUMMYFUNCTION("""COMPUTED_VALUE"""),"5.1.2.0")</f>
        <v>5.1.2.0</v>
      </c>
      <c r="B291" s="107" t="str">
        <f ca="1">IFERROR(__xludf.DUMMYFUNCTION("""COMPUTED_VALUE"""),"Atención Psicopedagógica Infantil/Jefatura del Departamento de CDI, CAIC  y CEDI/Dirección del Área de Centros de Atención Infantil/Coord.3. Operación")</f>
        <v>Atención Psicopedagógica Infantil/Jefatura del Departamento de CDI, CAIC  y CEDI/Dirección del Área de Centros de Atención Infantil/Coord.3. Operación</v>
      </c>
      <c r="C291" s="107" t="str">
        <f ca="1">IFERROR(__xludf.DUMMYFUNCTION("""COMPUTED_VALUE"""),"3. Operación")</f>
        <v>3. Operación</v>
      </c>
      <c r="D291" s="107" t="str">
        <f ca="1">IFERROR(__xludf.DUMMYFUNCTION("""COMPUTED_VALUE"""),"Guadalajara bien educada")</f>
        <v>Guadalajara bien educada</v>
      </c>
      <c r="E291" s="107" t="str">
        <f ca="1">IFERROR(__xludf.DUMMYFUNCTION("""COMPUTED_VALUE"""),"Atención Psicopedagógica Infantil")</f>
        <v>Atención Psicopedagógica Infantil</v>
      </c>
      <c r="F291" s="107" t="str">
        <f ca="1">IFERROR(__xludf.DUMMYFUNCTION("""COMPUTED_VALUE"""),"C2. Atenciones terapéuticas brindadas a niñas y niños con barreras de aprendizaje en el Centro de Atención Psicopedagógica Infantil")</f>
        <v>C2. Atenciones terapéuticas brindadas a niñas y niños con barreras de aprendizaje en el Centro de Atención Psicopedagógica Infantil</v>
      </c>
      <c r="G291" s="107" t="str">
        <f ca="1">IFERROR(__xludf.DUMMYFUNCTION("""COMPUTED_VALUE"""),"Promedio de personas atendidas con atención terapéutica - educativa en el Centro de Atención Psicopedagógica Infantil durante el 2024")</f>
        <v>Promedio de personas atendidas con atención terapéutica - educativa en el Centro de Atención Psicopedagógica Infantil durante el 2024</v>
      </c>
      <c r="H291" s="107" t="str">
        <f ca="1">IFERROR(__xludf.DUMMYFUNCTION("""COMPUTED_VALUE"""),"NOS julio")</f>
        <v>NOS julio</v>
      </c>
      <c r="I291" s="107" t="str">
        <f ca="1">IFERROR(__xludf.DUMMYFUNCTION("""COMPUTED_VALUE"""),"julio")</f>
        <v>julio</v>
      </c>
      <c r="J291" s="107" t="str">
        <f ca="1">IFERROR(__xludf.DUMMYFUNCTION("""COMPUTED_VALUE"""),"NOS")</f>
        <v>NOS</v>
      </c>
      <c r="K291" s="40">
        <f ca="1">IFERROR(__xludf.DUMMYFUNCTION("""COMPUTED_VALUE"""),29)</f>
        <v>29</v>
      </c>
      <c r="L291" s="107" t="str">
        <f ca="1">IFERROR(__xludf.DUMMYFUNCTION("""COMPUTED_VALUE"""),"TRIMESTRE 3")</f>
        <v>TRIMESTRE 3</v>
      </c>
      <c r="M291" s="107" t="str">
        <f ca="1">IFERROR(__xludf.DUMMYFUNCTION("""COMPUTED_VALUE"""),"NIÑOS")</f>
        <v>NIÑOS</v>
      </c>
    </row>
    <row r="292" spans="1:13">
      <c r="A292" s="107" t="str">
        <f ca="1">IFERROR(__xludf.DUMMYFUNCTION("""COMPUTED_VALUE"""),"5.1.2.0")</f>
        <v>5.1.2.0</v>
      </c>
      <c r="B292" s="107" t="str">
        <f ca="1">IFERROR(__xludf.DUMMYFUNCTION("""COMPUTED_VALUE"""),"Atención Psicopedagógica Infantil/Jefatura del Departamento de CDI, CAIC  y CEDI/Dirección del Área de Centros de Atención Infantil/Coord.3. Operación")</f>
        <v>Atención Psicopedagógica Infantil/Jefatura del Departamento de CDI, CAIC  y CEDI/Dirección del Área de Centros de Atención Infantil/Coord.3. Operación</v>
      </c>
      <c r="C292" s="107" t="str">
        <f ca="1">IFERROR(__xludf.DUMMYFUNCTION("""COMPUTED_VALUE"""),"3. Operación")</f>
        <v>3. Operación</v>
      </c>
      <c r="D292" s="107" t="str">
        <f ca="1">IFERROR(__xludf.DUMMYFUNCTION("""COMPUTED_VALUE"""),"Guadalajara bien educada")</f>
        <v>Guadalajara bien educada</v>
      </c>
      <c r="E292" s="107" t="str">
        <f ca="1">IFERROR(__xludf.DUMMYFUNCTION("""COMPUTED_VALUE"""),"Atención Psicopedagógica Infantil")</f>
        <v>Atención Psicopedagógica Infantil</v>
      </c>
      <c r="F292" s="107" t="str">
        <f ca="1">IFERROR(__xludf.DUMMYFUNCTION("""COMPUTED_VALUE"""),"C2. Atenciones terapéuticas brindadas a niñas y niños con barreras de aprendizaje en el Centro de Atención Psicopedagógica Infantil")</f>
        <v>C2. Atenciones terapéuticas brindadas a niñas y niños con barreras de aprendizaje en el Centro de Atención Psicopedagógica Infantil</v>
      </c>
      <c r="G292" s="107" t="str">
        <f ca="1">IFERROR(__xludf.DUMMYFUNCTION("""COMPUTED_VALUE"""),"Promedio de personas atendidas con atención terapéutica - educativa en el Centro de Atención Psicopedagógica Infantil durante el 2024")</f>
        <v>Promedio de personas atendidas con atención terapéutica - educativa en el Centro de Atención Psicopedagógica Infantil durante el 2024</v>
      </c>
      <c r="H292" s="107" t="str">
        <f ca="1">IFERROR(__xludf.DUMMYFUNCTION("""COMPUTED_VALUE"""),"AM julio")</f>
        <v>AM julio</v>
      </c>
      <c r="I292" s="107" t="str">
        <f ca="1">IFERROR(__xludf.DUMMYFUNCTION("""COMPUTED_VALUE"""),"julio")</f>
        <v>julio</v>
      </c>
      <c r="J292" s="107" t="str">
        <f ca="1">IFERROR(__xludf.DUMMYFUNCTION("""COMPUTED_VALUE"""),"AM")</f>
        <v>AM</v>
      </c>
      <c r="K292" s="40">
        <f ca="1">IFERROR(__xludf.DUMMYFUNCTION("""COMPUTED_VALUE"""),0)</f>
        <v>0</v>
      </c>
      <c r="L292" s="107" t="str">
        <f ca="1">IFERROR(__xludf.DUMMYFUNCTION("""COMPUTED_VALUE"""),"TRIMESTRE 3")</f>
        <v>TRIMESTRE 3</v>
      </c>
      <c r="M292" s="107" t="str">
        <f ca="1">IFERROR(__xludf.DUMMYFUNCTION("""COMPUTED_VALUE"""),"ADOLESCENTES MUJERES")</f>
        <v>ADOLESCENTES MUJERES</v>
      </c>
    </row>
    <row r="293" spans="1:13">
      <c r="A293" s="107" t="str">
        <f ca="1">IFERROR(__xludf.DUMMYFUNCTION("""COMPUTED_VALUE"""),"5.1.2.0")</f>
        <v>5.1.2.0</v>
      </c>
      <c r="B293" s="107" t="str">
        <f ca="1">IFERROR(__xludf.DUMMYFUNCTION("""COMPUTED_VALUE"""),"Atención Psicopedagógica Infantil/Jefatura del Departamento de CDI, CAIC  y CEDI/Dirección del Área de Centros de Atención Infantil/Coord.3. Operación")</f>
        <v>Atención Psicopedagógica Infantil/Jefatura del Departamento de CDI, CAIC  y CEDI/Dirección del Área de Centros de Atención Infantil/Coord.3. Operación</v>
      </c>
      <c r="C293" s="107" t="str">
        <f ca="1">IFERROR(__xludf.DUMMYFUNCTION("""COMPUTED_VALUE"""),"3. Operación")</f>
        <v>3. Operación</v>
      </c>
      <c r="D293" s="107" t="str">
        <f ca="1">IFERROR(__xludf.DUMMYFUNCTION("""COMPUTED_VALUE"""),"Guadalajara bien educada")</f>
        <v>Guadalajara bien educada</v>
      </c>
      <c r="E293" s="107" t="str">
        <f ca="1">IFERROR(__xludf.DUMMYFUNCTION("""COMPUTED_VALUE"""),"Atención Psicopedagógica Infantil")</f>
        <v>Atención Psicopedagógica Infantil</v>
      </c>
      <c r="F293" s="107" t="str">
        <f ca="1">IFERROR(__xludf.DUMMYFUNCTION("""COMPUTED_VALUE"""),"C2. Atenciones terapéuticas brindadas a niñas y niños con barreras de aprendizaje en el Centro de Atención Psicopedagógica Infantil")</f>
        <v>C2. Atenciones terapéuticas brindadas a niñas y niños con barreras de aprendizaje en el Centro de Atención Psicopedagógica Infantil</v>
      </c>
      <c r="G293" s="107" t="str">
        <f ca="1">IFERROR(__xludf.DUMMYFUNCTION("""COMPUTED_VALUE"""),"Promedio de personas atendidas con atención terapéutica - educativa en el Centro de Atención Psicopedagógica Infantil durante el 2024")</f>
        <v>Promedio de personas atendidas con atención terapéutica - educativa en el Centro de Atención Psicopedagógica Infantil durante el 2024</v>
      </c>
      <c r="H293" s="107" t="str">
        <f ca="1">IFERROR(__xludf.DUMMYFUNCTION("""COMPUTED_VALUE"""),"AH julio")</f>
        <v>AH julio</v>
      </c>
      <c r="I293" s="107" t="str">
        <f ca="1">IFERROR(__xludf.DUMMYFUNCTION("""COMPUTED_VALUE"""),"julio")</f>
        <v>julio</v>
      </c>
      <c r="J293" s="107" t="str">
        <f ca="1">IFERROR(__xludf.DUMMYFUNCTION("""COMPUTED_VALUE"""),"AH")</f>
        <v>AH</v>
      </c>
      <c r="K293" s="40">
        <f ca="1">IFERROR(__xludf.DUMMYFUNCTION("""COMPUTED_VALUE"""),0)</f>
        <v>0</v>
      </c>
      <c r="L293" s="107" t="str">
        <f ca="1">IFERROR(__xludf.DUMMYFUNCTION("""COMPUTED_VALUE"""),"TRIMESTRE 3")</f>
        <v>TRIMESTRE 3</v>
      </c>
      <c r="M293" s="107" t="str">
        <f ca="1">IFERROR(__xludf.DUMMYFUNCTION("""COMPUTED_VALUE"""),"ADOLESCENTES HOMBRES")</f>
        <v>ADOLESCENTES HOMBRES</v>
      </c>
    </row>
    <row r="294" spans="1:13">
      <c r="A294" s="107" t="str">
        <f ca="1">IFERROR(__xludf.DUMMYFUNCTION("""COMPUTED_VALUE"""),"5.1.2.0")</f>
        <v>5.1.2.0</v>
      </c>
      <c r="B294" s="107" t="str">
        <f ca="1">IFERROR(__xludf.DUMMYFUNCTION("""COMPUTED_VALUE"""),"Atención Psicopedagógica Infantil/Jefatura del Departamento de CDI, CAIC  y CEDI/Dirección del Área de Centros de Atención Infantil/Coord.3. Operación")</f>
        <v>Atención Psicopedagógica Infantil/Jefatura del Departamento de CDI, CAIC  y CEDI/Dirección del Área de Centros de Atención Infantil/Coord.3. Operación</v>
      </c>
      <c r="C294" s="107" t="str">
        <f ca="1">IFERROR(__xludf.DUMMYFUNCTION("""COMPUTED_VALUE"""),"3. Operación")</f>
        <v>3. Operación</v>
      </c>
      <c r="D294" s="107" t="str">
        <f ca="1">IFERROR(__xludf.DUMMYFUNCTION("""COMPUTED_VALUE"""),"Guadalajara bien educada")</f>
        <v>Guadalajara bien educada</v>
      </c>
      <c r="E294" s="107" t="str">
        <f ca="1">IFERROR(__xludf.DUMMYFUNCTION("""COMPUTED_VALUE"""),"Atención Psicopedagógica Infantil")</f>
        <v>Atención Psicopedagógica Infantil</v>
      </c>
      <c r="F294" s="107" t="str">
        <f ca="1">IFERROR(__xludf.DUMMYFUNCTION("""COMPUTED_VALUE"""),"C2. Atenciones terapéuticas brindadas a niñas y niños con barreras de aprendizaje en el Centro de Atención Psicopedagógica Infantil")</f>
        <v>C2. Atenciones terapéuticas brindadas a niñas y niños con barreras de aprendizaje en el Centro de Atención Psicopedagógica Infantil</v>
      </c>
      <c r="G294" s="107" t="str">
        <f ca="1">IFERROR(__xludf.DUMMYFUNCTION("""COMPUTED_VALUE"""),"Promedio de personas atendidas con atención terapéutica - educativa en el Centro de Atención Psicopedagógica Infantil durante el 2024")</f>
        <v>Promedio de personas atendidas con atención terapéutica - educativa en el Centro de Atención Psicopedagógica Infantil durante el 2024</v>
      </c>
      <c r="H294" s="107" t="str">
        <f ca="1">IFERROR(__xludf.DUMMYFUNCTION("""COMPUTED_VALUE"""),"MUJ julio")</f>
        <v>MUJ julio</v>
      </c>
      <c r="I294" s="107" t="str">
        <f ca="1">IFERROR(__xludf.DUMMYFUNCTION("""COMPUTED_VALUE"""),"julio")</f>
        <v>julio</v>
      </c>
      <c r="J294" s="107" t="str">
        <f ca="1">IFERROR(__xludf.DUMMYFUNCTION("""COMPUTED_VALUE"""),"MUJ")</f>
        <v>MUJ</v>
      </c>
      <c r="K294" s="40"/>
      <c r="L294" s="107" t="str">
        <f ca="1">IFERROR(__xludf.DUMMYFUNCTION("""COMPUTED_VALUE"""),"TRIMESTRE 3")</f>
        <v>TRIMESTRE 3</v>
      </c>
      <c r="M294" s="107" t="str">
        <f ca="1">IFERROR(__xludf.DUMMYFUNCTION("""COMPUTED_VALUE"""),"MUJERES ADULTAS")</f>
        <v>MUJERES ADULTAS</v>
      </c>
    </row>
    <row r="295" spans="1:13">
      <c r="A295" s="107" t="str">
        <f ca="1">IFERROR(__xludf.DUMMYFUNCTION("""COMPUTED_VALUE"""),"5.1.2.0")</f>
        <v>5.1.2.0</v>
      </c>
      <c r="B295" s="107" t="str">
        <f ca="1">IFERROR(__xludf.DUMMYFUNCTION("""COMPUTED_VALUE"""),"Atención Psicopedagógica Infantil/Jefatura del Departamento de CDI, CAIC  y CEDI/Dirección del Área de Centros de Atención Infantil/Coord.3. Operación")</f>
        <v>Atención Psicopedagógica Infantil/Jefatura del Departamento de CDI, CAIC  y CEDI/Dirección del Área de Centros de Atención Infantil/Coord.3. Operación</v>
      </c>
      <c r="C295" s="107" t="str">
        <f ca="1">IFERROR(__xludf.DUMMYFUNCTION("""COMPUTED_VALUE"""),"3. Operación")</f>
        <v>3. Operación</v>
      </c>
      <c r="D295" s="107" t="str">
        <f ca="1">IFERROR(__xludf.DUMMYFUNCTION("""COMPUTED_VALUE"""),"Guadalajara bien educada")</f>
        <v>Guadalajara bien educada</v>
      </c>
      <c r="E295" s="107" t="str">
        <f ca="1">IFERROR(__xludf.DUMMYFUNCTION("""COMPUTED_VALUE"""),"Atención Psicopedagógica Infantil")</f>
        <v>Atención Psicopedagógica Infantil</v>
      </c>
      <c r="F295" s="107" t="str">
        <f ca="1">IFERROR(__xludf.DUMMYFUNCTION("""COMPUTED_VALUE"""),"C2. Atenciones terapéuticas brindadas a niñas y niños con barreras de aprendizaje en el Centro de Atención Psicopedagógica Infantil")</f>
        <v>C2. Atenciones terapéuticas brindadas a niñas y niños con barreras de aprendizaje en el Centro de Atención Psicopedagógica Infantil</v>
      </c>
      <c r="G295" s="107" t="str">
        <f ca="1">IFERROR(__xludf.DUMMYFUNCTION("""COMPUTED_VALUE"""),"Promedio de personas atendidas con atención terapéutica - educativa en el Centro de Atención Psicopedagógica Infantil durante el 2024")</f>
        <v>Promedio de personas atendidas con atención terapéutica - educativa en el Centro de Atención Psicopedagógica Infantil durante el 2024</v>
      </c>
      <c r="H295" s="107" t="str">
        <f ca="1">IFERROR(__xludf.DUMMYFUNCTION("""COMPUTED_VALUE"""),"HOM julio")</f>
        <v>HOM julio</v>
      </c>
      <c r="I295" s="107" t="str">
        <f ca="1">IFERROR(__xludf.DUMMYFUNCTION("""COMPUTED_VALUE"""),"julio")</f>
        <v>julio</v>
      </c>
      <c r="J295" s="107" t="str">
        <f ca="1">IFERROR(__xludf.DUMMYFUNCTION("""COMPUTED_VALUE"""),"HOM")</f>
        <v>HOM</v>
      </c>
      <c r="K295" s="40"/>
      <c r="L295" s="107" t="str">
        <f ca="1">IFERROR(__xludf.DUMMYFUNCTION("""COMPUTED_VALUE"""),"TRIMESTRE 3")</f>
        <v>TRIMESTRE 3</v>
      </c>
      <c r="M295" s="107" t="str">
        <f ca="1">IFERROR(__xludf.DUMMYFUNCTION("""COMPUTED_VALUE"""),"HOMBRES ADULTOS")</f>
        <v>HOMBRES ADULTOS</v>
      </c>
    </row>
    <row r="296" spans="1:13">
      <c r="A296" s="107" t="str">
        <f ca="1">IFERROR(__xludf.DUMMYFUNCTION("""COMPUTED_VALUE"""),"5.1.2.0")</f>
        <v>5.1.2.0</v>
      </c>
      <c r="B296" s="107" t="str">
        <f ca="1">IFERROR(__xludf.DUMMYFUNCTION("""COMPUTED_VALUE"""),"Atención Psicopedagógica Infantil/Jefatura del Departamento de CDI, CAIC  y CEDI/Dirección del Área de Centros de Atención Infantil/Coord.3. Operación")</f>
        <v>Atención Psicopedagógica Infantil/Jefatura del Departamento de CDI, CAIC  y CEDI/Dirección del Área de Centros de Atención Infantil/Coord.3. Operación</v>
      </c>
      <c r="C296" s="107" t="str">
        <f ca="1">IFERROR(__xludf.DUMMYFUNCTION("""COMPUTED_VALUE"""),"3. Operación")</f>
        <v>3. Operación</v>
      </c>
      <c r="D296" s="107" t="str">
        <f ca="1">IFERROR(__xludf.DUMMYFUNCTION("""COMPUTED_VALUE"""),"Guadalajara bien educada")</f>
        <v>Guadalajara bien educada</v>
      </c>
      <c r="E296" s="107" t="str">
        <f ca="1">IFERROR(__xludf.DUMMYFUNCTION("""COMPUTED_VALUE"""),"Atención Psicopedagógica Infantil")</f>
        <v>Atención Psicopedagógica Infantil</v>
      </c>
      <c r="F296" s="107" t="str">
        <f ca="1">IFERROR(__xludf.DUMMYFUNCTION("""COMPUTED_VALUE"""),"C2. Atenciones terapéuticas brindadas a niñas y niños con barreras de aprendizaje en el Centro de Atención Psicopedagógica Infantil")</f>
        <v>C2. Atenciones terapéuticas brindadas a niñas y niños con barreras de aprendizaje en el Centro de Atención Psicopedagógica Infantil</v>
      </c>
      <c r="G296" s="107" t="str">
        <f ca="1">IFERROR(__xludf.DUMMYFUNCTION("""COMPUTED_VALUE"""),"Promedio de personas atendidas con atención terapéutica - educativa en el Centro de Atención Psicopedagógica Infantil durante el 2024")</f>
        <v>Promedio de personas atendidas con atención terapéutica - educativa en el Centro de Atención Psicopedagógica Infantil durante el 2024</v>
      </c>
      <c r="H296" s="107" t="str">
        <f ca="1">IFERROR(__xludf.DUMMYFUNCTION("""COMPUTED_VALUE"""),"AMM julio")</f>
        <v>AMM julio</v>
      </c>
      <c r="I296" s="107" t="str">
        <f ca="1">IFERROR(__xludf.DUMMYFUNCTION("""COMPUTED_VALUE"""),"julio")</f>
        <v>julio</v>
      </c>
      <c r="J296" s="107" t="str">
        <f ca="1">IFERROR(__xludf.DUMMYFUNCTION("""COMPUTED_VALUE"""),"AMM")</f>
        <v>AMM</v>
      </c>
      <c r="K296" s="40"/>
      <c r="L296" s="107" t="str">
        <f ca="1">IFERROR(__xludf.DUMMYFUNCTION("""COMPUTED_VALUE"""),"TRIMESTRE 3")</f>
        <v>TRIMESTRE 3</v>
      </c>
      <c r="M296" s="107" t="str">
        <f ca="1">IFERROR(__xludf.DUMMYFUNCTION("""COMPUTED_VALUE"""),"ADULTA MAYOR MUJER")</f>
        <v>ADULTA MAYOR MUJER</v>
      </c>
    </row>
    <row r="297" spans="1:13">
      <c r="A297" s="107" t="str">
        <f ca="1">IFERROR(__xludf.DUMMYFUNCTION("""COMPUTED_VALUE"""),"5.1.2.0")</f>
        <v>5.1.2.0</v>
      </c>
      <c r="B297" s="107" t="str">
        <f ca="1">IFERROR(__xludf.DUMMYFUNCTION("""COMPUTED_VALUE"""),"Atención Psicopedagógica Infantil/Jefatura del Departamento de CDI, CAIC  y CEDI/Dirección del Área de Centros de Atención Infantil/Coord.3. Operación")</f>
        <v>Atención Psicopedagógica Infantil/Jefatura del Departamento de CDI, CAIC  y CEDI/Dirección del Área de Centros de Atención Infantil/Coord.3. Operación</v>
      </c>
      <c r="C297" s="107" t="str">
        <f ca="1">IFERROR(__xludf.DUMMYFUNCTION("""COMPUTED_VALUE"""),"3. Operación")</f>
        <v>3. Operación</v>
      </c>
      <c r="D297" s="107" t="str">
        <f ca="1">IFERROR(__xludf.DUMMYFUNCTION("""COMPUTED_VALUE"""),"Guadalajara bien educada")</f>
        <v>Guadalajara bien educada</v>
      </c>
      <c r="E297" s="107" t="str">
        <f ca="1">IFERROR(__xludf.DUMMYFUNCTION("""COMPUTED_VALUE"""),"Atención Psicopedagógica Infantil")</f>
        <v>Atención Psicopedagógica Infantil</v>
      </c>
      <c r="F297" s="107" t="str">
        <f ca="1">IFERROR(__xludf.DUMMYFUNCTION("""COMPUTED_VALUE"""),"C2. Atenciones terapéuticas brindadas a niñas y niños con barreras de aprendizaje en el Centro de Atención Psicopedagógica Infantil")</f>
        <v>C2. Atenciones terapéuticas brindadas a niñas y niños con barreras de aprendizaje en el Centro de Atención Psicopedagógica Infantil</v>
      </c>
      <c r="G297" s="107" t="str">
        <f ca="1">IFERROR(__xludf.DUMMYFUNCTION("""COMPUTED_VALUE"""),"Promedio de personas atendidas con atención terapéutica - educativa en el Centro de Atención Psicopedagógica Infantil durante el 2024")</f>
        <v>Promedio de personas atendidas con atención terapéutica - educativa en el Centro de Atención Psicopedagógica Infantil durante el 2024</v>
      </c>
      <c r="H297" s="107" t="str">
        <f ca="1">IFERROR(__xludf.DUMMYFUNCTION("""COMPUTED_VALUE"""),"AMH julio")</f>
        <v>AMH julio</v>
      </c>
      <c r="I297" s="107" t="str">
        <f ca="1">IFERROR(__xludf.DUMMYFUNCTION("""COMPUTED_VALUE"""),"julio")</f>
        <v>julio</v>
      </c>
      <c r="J297" s="107" t="str">
        <f ca="1">IFERROR(__xludf.DUMMYFUNCTION("""COMPUTED_VALUE"""),"AMH")</f>
        <v>AMH</v>
      </c>
      <c r="K297" s="40"/>
      <c r="L297" s="107" t="str">
        <f ca="1">IFERROR(__xludf.DUMMYFUNCTION("""COMPUTED_VALUE"""),"TRIMESTRE 3")</f>
        <v>TRIMESTRE 3</v>
      </c>
      <c r="M297" s="107" t="str">
        <f ca="1">IFERROR(__xludf.DUMMYFUNCTION("""COMPUTED_VALUE"""),"ADULTO MAYOR HOMBRE")</f>
        <v>ADULTO MAYOR HOMBRE</v>
      </c>
    </row>
    <row r="298" spans="1:13">
      <c r="A298" s="107" t="str">
        <f ca="1">IFERROR(__xludf.DUMMYFUNCTION("""COMPUTED_VALUE"""),"5.1.2.1")</f>
        <v>5.1.2.1</v>
      </c>
      <c r="B298" s="107" t="str">
        <f ca="1">IFERROR(__xludf.DUMMYFUNCTION("""COMPUTED_VALUE"""),"Atención Psicopedagógica Infantil/Dirección del Área de Centros de Inclusión/Dirección del Área de Centros de Inclusión/Coord.5. Inclusión")</f>
        <v>Atención Psicopedagógica Infantil/Dirección del Área de Centros de Inclusión/Dirección del Área de Centros de Inclusión/Coord.5. Inclusión</v>
      </c>
      <c r="C298" s="107" t="str">
        <f ca="1">IFERROR(__xludf.DUMMYFUNCTION("""COMPUTED_VALUE"""),"5. Inclusión")</f>
        <v>5. Inclusión</v>
      </c>
      <c r="D298" s="107" t="str">
        <f ca="1">IFERROR(__xludf.DUMMYFUNCTION("""COMPUTED_VALUE"""),"Guadalajara bien educada")</f>
        <v>Guadalajara bien educada</v>
      </c>
      <c r="E298" s="107" t="str">
        <f ca="1">IFERROR(__xludf.DUMMYFUNCTION("""COMPUTED_VALUE"""),"Atención Psicopedagógica Infantil")</f>
        <v>Atención Psicopedagógica Infantil</v>
      </c>
      <c r="F298" s="107" t="str">
        <f ca="1">IFERROR(__xludf.DUMMYFUNCTION("""COMPUTED_VALUE"""),"A1C2 Actividades de diagnóstico y valoración psicológica ejecutadas para niñas y niños que requieran atención en el CAPI")</f>
        <v>A1C2 Actividades de diagnóstico y valoración psicológica ejecutadas para niñas y niños que requieran atención en el CAPI</v>
      </c>
      <c r="G298" s="107" t="str">
        <f ca="1">IFERROR(__xludf.DUMMYFUNCTION("""COMPUTED_VALUE"""),"Porcentaje de diagnósticos y valoraciones realizados a niñas y niños que requieran atención en el CAPI en 2024")</f>
        <v>Porcentaje de diagnósticos y valoraciones realizados a niñas y niños que requieran atención en el CAPI en 2024</v>
      </c>
      <c r="H298" s="107" t="str">
        <f ca="1">IFERROR(__xludf.DUMMYFUNCTION("""COMPUTED_VALUE"""),"NAS julio")</f>
        <v>NAS julio</v>
      </c>
      <c r="I298" s="107" t="str">
        <f ca="1">IFERROR(__xludf.DUMMYFUNCTION("""COMPUTED_VALUE"""),"julio")</f>
        <v>julio</v>
      </c>
      <c r="J298" s="107" t="str">
        <f ca="1">IFERROR(__xludf.DUMMYFUNCTION("""COMPUTED_VALUE"""),"NAS")</f>
        <v>NAS</v>
      </c>
      <c r="K298" s="40">
        <f ca="1">IFERROR(__xludf.DUMMYFUNCTION("""COMPUTED_VALUE"""),8)</f>
        <v>8</v>
      </c>
      <c r="L298" s="107" t="str">
        <f ca="1">IFERROR(__xludf.DUMMYFUNCTION("""COMPUTED_VALUE"""),"TRIMESTRE 3")</f>
        <v>TRIMESTRE 3</v>
      </c>
      <c r="M298" s="107" t="str">
        <f ca="1">IFERROR(__xludf.DUMMYFUNCTION("""COMPUTED_VALUE"""),"NIÑAS")</f>
        <v>NIÑAS</v>
      </c>
    </row>
    <row r="299" spans="1:13">
      <c r="A299" s="107" t="str">
        <f ca="1">IFERROR(__xludf.DUMMYFUNCTION("""COMPUTED_VALUE"""),"5.1.2.1")</f>
        <v>5.1.2.1</v>
      </c>
      <c r="B299" s="107" t="str">
        <f ca="1">IFERROR(__xludf.DUMMYFUNCTION("""COMPUTED_VALUE"""),"Atención Psicopedagógica Infantil/Dirección del Área de Centros de Inclusión/Dirección del Área de Centros de Inclusión/Coord.5. Inclusión")</f>
        <v>Atención Psicopedagógica Infantil/Dirección del Área de Centros de Inclusión/Dirección del Área de Centros de Inclusión/Coord.5. Inclusión</v>
      </c>
      <c r="C299" s="107" t="str">
        <f ca="1">IFERROR(__xludf.DUMMYFUNCTION("""COMPUTED_VALUE"""),"5. Inclusión")</f>
        <v>5. Inclusión</v>
      </c>
      <c r="D299" s="107" t="str">
        <f ca="1">IFERROR(__xludf.DUMMYFUNCTION("""COMPUTED_VALUE"""),"Guadalajara bien educada")</f>
        <v>Guadalajara bien educada</v>
      </c>
      <c r="E299" s="107" t="str">
        <f ca="1">IFERROR(__xludf.DUMMYFUNCTION("""COMPUTED_VALUE"""),"Atención Psicopedagógica Infantil")</f>
        <v>Atención Psicopedagógica Infantil</v>
      </c>
      <c r="F299" s="107" t="str">
        <f ca="1">IFERROR(__xludf.DUMMYFUNCTION("""COMPUTED_VALUE"""),"A1C2 Actividades de diagnóstico y valoración psicológica ejecutadas para niñas y niños que requieran atención en el CAPI")</f>
        <v>A1C2 Actividades de diagnóstico y valoración psicológica ejecutadas para niñas y niños que requieran atención en el CAPI</v>
      </c>
      <c r="G299" s="107" t="str">
        <f ca="1">IFERROR(__xludf.DUMMYFUNCTION("""COMPUTED_VALUE"""),"Porcentaje de diagnósticos y valoraciones realizados a niñas y niños que requieran atención en el CAPI en 2024")</f>
        <v>Porcentaje de diagnósticos y valoraciones realizados a niñas y niños que requieran atención en el CAPI en 2024</v>
      </c>
      <c r="H299" s="107" t="str">
        <f ca="1">IFERROR(__xludf.DUMMYFUNCTION("""COMPUTED_VALUE"""),"NOS julio")</f>
        <v>NOS julio</v>
      </c>
      <c r="I299" s="107" t="str">
        <f ca="1">IFERROR(__xludf.DUMMYFUNCTION("""COMPUTED_VALUE"""),"julio")</f>
        <v>julio</v>
      </c>
      <c r="J299" s="107" t="str">
        <f ca="1">IFERROR(__xludf.DUMMYFUNCTION("""COMPUTED_VALUE"""),"NOS")</f>
        <v>NOS</v>
      </c>
      <c r="K299" s="40">
        <f ca="1">IFERROR(__xludf.DUMMYFUNCTION("""COMPUTED_VALUE"""),19)</f>
        <v>19</v>
      </c>
      <c r="L299" s="107" t="str">
        <f ca="1">IFERROR(__xludf.DUMMYFUNCTION("""COMPUTED_VALUE"""),"TRIMESTRE 3")</f>
        <v>TRIMESTRE 3</v>
      </c>
      <c r="M299" s="107" t="str">
        <f ca="1">IFERROR(__xludf.DUMMYFUNCTION("""COMPUTED_VALUE"""),"NIÑOS")</f>
        <v>NIÑOS</v>
      </c>
    </row>
    <row r="300" spans="1:13">
      <c r="A300" s="107" t="str">
        <f ca="1">IFERROR(__xludf.DUMMYFUNCTION("""COMPUTED_VALUE"""),"5.1.2.1")</f>
        <v>5.1.2.1</v>
      </c>
      <c r="B300" s="107" t="str">
        <f ca="1">IFERROR(__xludf.DUMMYFUNCTION("""COMPUTED_VALUE"""),"Atención Psicopedagógica Infantil/Dirección del Área de Centros de Inclusión/Dirección del Área de Centros de Inclusión/Coord.5. Inclusión")</f>
        <v>Atención Psicopedagógica Infantil/Dirección del Área de Centros de Inclusión/Dirección del Área de Centros de Inclusión/Coord.5. Inclusión</v>
      </c>
      <c r="C300" s="107" t="str">
        <f ca="1">IFERROR(__xludf.DUMMYFUNCTION("""COMPUTED_VALUE"""),"5. Inclusión")</f>
        <v>5. Inclusión</v>
      </c>
      <c r="D300" s="107" t="str">
        <f ca="1">IFERROR(__xludf.DUMMYFUNCTION("""COMPUTED_VALUE"""),"Guadalajara bien educada")</f>
        <v>Guadalajara bien educada</v>
      </c>
      <c r="E300" s="107" t="str">
        <f ca="1">IFERROR(__xludf.DUMMYFUNCTION("""COMPUTED_VALUE"""),"Atención Psicopedagógica Infantil")</f>
        <v>Atención Psicopedagógica Infantil</v>
      </c>
      <c r="F300" s="107" t="str">
        <f ca="1">IFERROR(__xludf.DUMMYFUNCTION("""COMPUTED_VALUE"""),"A1C2 Actividades de diagnóstico y valoración psicológica ejecutadas para niñas y niños que requieran atención en el CAPI")</f>
        <v>A1C2 Actividades de diagnóstico y valoración psicológica ejecutadas para niñas y niños que requieran atención en el CAPI</v>
      </c>
      <c r="G300" s="107" t="str">
        <f ca="1">IFERROR(__xludf.DUMMYFUNCTION("""COMPUTED_VALUE"""),"Porcentaje de diagnósticos y valoraciones realizados a niñas y niños que requieran atención en el CAPI en 2024")</f>
        <v>Porcentaje de diagnósticos y valoraciones realizados a niñas y niños que requieran atención en el CAPI en 2024</v>
      </c>
      <c r="H300" s="107" t="str">
        <f ca="1">IFERROR(__xludf.DUMMYFUNCTION("""COMPUTED_VALUE"""),"AM julio")</f>
        <v>AM julio</v>
      </c>
      <c r="I300" s="107" t="str">
        <f ca="1">IFERROR(__xludf.DUMMYFUNCTION("""COMPUTED_VALUE"""),"julio")</f>
        <v>julio</v>
      </c>
      <c r="J300" s="107" t="str">
        <f ca="1">IFERROR(__xludf.DUMMYFUNCTION("""COMPUTED_VALUE"""),"AM")</f>
        <v>AM</v>
      </c>
      <c r="K300" s="40">
        <f ca="1">IFERROR(__xludf.DUMMYFUNCTION("""COMPUTED_VALUE"""),0)</f>
        <v>0</v>
      </c>
      <c r="L300" s="107" t="str">
        <f ca="1">IFERROR(__xludf.DUMMYFUNCTION("""COMPUTED_VALUE"""),"TRIMESTRE 3")</f>
        <v>TRIMESTRE 3</v>
      </c>
      <c r="M300" s="107" t="str">
        <f ca="1">IFERROR(__xludf.DUMMYFUNCTION("""COMPUTED_VALUE"""),"ADOLESCENTES MUJERES")</f>
        <v>ADOLESCENTES MUJERES</v>
      </c>
    </row>
    <row r="301" spans="1:13">
      <c r="A301" s="107" t="str">
        <f ca="1">IFERROR(__xludf.DUMMYFUNCTION("""COMPUTED_VALUE"""),"5.1.2.1")</f>
        <v>5.1.2.1</v>
      </c>
      <c r="B301" s="107" t="str">
        <f ca="1">IFERROR(__xludf.DUMMYFUNCTION("""COMPUTED_VALUE"""),"Atención Psicopedagógica Infantil/Dirección del Área de Centros de Inclusión/Dirección del Área de Centros de Inclusión/Coord.5. Inclusión")</f>
        <v>Atención Psicopedagógica Infantil/Dirección del Área de Centros de Inclusión/Dirección del Área de Centros de Inclusión/Coord.5. Inclusión</v>
      </c>
      <c r="C301" s="107" t="str">
        <f ca="1">IFERROR(__xludf.DUMMYFUNCTION("""COMPUTED_VALUE"""),"5. Inclusión")</f>
        <v>5. Inclusión</v>
      </c>
      <c r="D301" s="107" t="str">
        <f ca="1">IFERROR(__xludf.DUMMYFUNCTION("""COMPUTED_VALUE"""),"Guadalajara bien educada")</f>
        <v>Guadalajara bien educada</v>
      </c>
      <c r="E301" s="107" t="str">
        <f ca="1">IFERROR(__xludf.DUMMYFUNCTION("""COMPUTED_VALUE"""),"Atención Psicopedagógica Infantil")</f>
        <v>Atención Psicopedagógica Infantil</v>
      </c>
      <c r="F301" s="107" t="str">
        <f ca="1">IFERROR(__xludf.DUMMYFUNCTION("""COMPUTED_VALUE"""),"A1C2 Actividades de diagnóstico y valoración psicológica ejecutadas para niñas y niños que requieran atención en el CAPI")</f>
        <v>A1C2 Actividades de diagnóstico y valoración psicológica ejecutadas para niñas y niños que requieran atención en el CAPI</v>
      </c>
      <c r="G301" s="107" t="str">
        <f ca="1">IFERROR(__xludf.DUMMYFUNCTION("""COMPUTED_VALUE"""),"Porcentaje de diagnósticos y valoraciones realizados a niñas y niños que requieran atención en el CAPI en 2024")</f>
        <v>Porcentaje de diagnósticos y valoraciones realizados a niñas y niños que requieran atención en el CAPI en 2024</v>
      </c>
      <c r="H301" s="107" t="str">
        <f ca="1">IFERROR(__xludf.DUMMYFUNCTION("""COMPUTED_VALUE"""),"AH julio")</f>
        <v>AH julio</v>
      </c>
      <c r="I301" s="107" t="str">
        <f ca="1">IFERROR(__xludf.DUMMYFUNCTION("""COMPUTED_VALUE"""),"julio")</f>
        <v>julio</v>
      </c>
      <c r="J301" s="107" t="str">
        <f ca="1">IFERROR(__xludf.DUMMYFUNCTION("""COMPUTED_VALUE"""),"AH")</f>
        <v>AH</v>
      </c>
      <c r="K301" s="40">
        <f ca="1">IFERROR(__xludf.DUMMYFUNCTION("""COMPUTED_VALUE"""),0)</f>
        <v>0</v>
      </c>
      <c r="L301" s="107" t="str">
        <f ca="1">IFERROR(__xludf.DUMMYFUNCTION("""COMPUTED_VALUE"""),"TRIMESTRE 3")</f>
        <v>TRIMESTRE 3</v>
      </c>
      <c r="M301" s="107" t="str">
        <f ca="1">IFERROR(__xludf.DUMMYFUNCTION("""COMPUTED_VALUE"""),"ADOLESCENTES HOMBRES")</f>
        <v>ADOLESCENTES HOMBRES</v>
      </c>
    </row>
    <row r="302" spans="1:13">
      <c r="A302" s="107" t="str">
        <f ca="1">IFERROR(__xludf.DUMMYFUNCTION("""COMPUTED_VALUE"""),"5.1.2.1")</f>
        <v>5.1.2.1</v>
      </c>
      <c r="B302" s="107" t="str">
        <f ca="1">IFERROR(__xludf.DUMMYFUNCTION("""COMPUTED_VALUE"""),"Atención Psicopedagógica Infantil/Dirección del Área de Centros de Inclusión/Dirección del Área de Centros de Inclusión/Coord.5. Inclusión")</f>
        <v>Atención Psicopedagógica Infantil/Dirección del Área de Centros de Inclusión/Dirección del Área de Centros de Inclusión/Coord.5. Inclusión</v>
      </c>
      <c r="C302" s="107" t="str">
        <f ca="1">IFERROR(__xludf.DUMMYFUNCTION("""COMPUTED_VALUE"""),"5. Inclusión")</f>
        <v>5. Inclusión</v>
      </c>
      <c r="D302" s="107" t="str">
        <f ca="1">IFERROR(__xludf.DUMMYFUNCTION("""COMPUTED_VALUE"""),"Guadalajara bien educada")</f>
        <v>Guadalajara bien educada</v>
      </c>
      <c r="E302" s="107" t="str">
        <f ca="1">IFERROR(__xludf.DUMMYFUNCTION("""COMPUTED_VALUE"""),"Atención Psicopedagógica Infantil")</f>
        <v>Atención Psicopedagógica Infantil</v>
      </c>
      <c r="F302" s="107" t="str">
        <f ca="1">IFERROR(__xludf.DUMMYFUNCTION("""COMPUTED_VALUE"""),"A1C2 Actividades de diagnóstico y valoración psicológica ejecutadas para niñas y niños que requieran atención en el CAPI")</f>
        <v>A1C2 Actividades de diagnóstico y valoración psicológica ejecutadas para niñas y niños que requieran atención en el CAPI</v>
      </c>
      <c r="G302" s="107" t="str">
        <f ca="1">IFERROR(__xludf.DUMMYFUNCTION("""COMPUTED_VALUE"""),"Porcentaje de diagnósticos y valoraciones realizados a niñas y niños que requieran atención en el CAPI en 2024")</f>
        <v>Porcentaje de diagnósticos y valoraciones realizados a niñas y niños que requieran atención en el CAPI en 2024</v>
      </c>
      <c r="H302" s="107" t="str">
        <f ca="1">IFERROR(__xludf.DUMMYFUNCTION("""COMPUTED_VALUE"""),"MUJ julio")</f>
        <v>MUJ julio</v>
      </c>
      <c r="I302" s="107" t="str">
        <f ca="1">IFERROR(__xludf.DUMMYFUNCTION("""COMPUTED_VALUE"""),"julio")</f>
        <v>julio</v>
      </c>
      <c r="J302" s="107" t="str">
        <f ca="1">IFERROR(__xludf.DUMMYFUNCTION("""COMPUTED_VALUE"""),"MUJ")</f>
        <v>MUJ</v>
      </c>
      <c r="K302" s="40"/>
      <c r="L302" s="107" t="str">
        <f ca="1">IFERROR(__xludf.DUMMYFUNCTION("""COMPUTED_VALUE"""),"TRIMESTRE 3")</f>
        <v>TRIMESTRE 3</v>
      </c>
      <c r="M302" s="107" t="str">
        <f ca="1">IFERROR(__xludf.DUMMYFUNCTION("""COMPUTED_VALUE"""),"MUJERES ADULTAS")</f>
        <v>MUJERES ADULTAS</v>
      </c>
    </row>
    <row r="303" spans="1:13">
      <c r="A303" s="107" t="str">
        <f ca="1">IFERROR(__xludf.DUMMYFUNCTION("""COMPUTED_VALUE"""),"5.1.2.1")</f>
        <v>5.1.2.1</v>
      </c>
      <c r="B303" s="107" t="str">
        <f ca="1">IFERROR(__xludf.DUMMYFUNCTION("""COMPUTED_VALUE"""),"Atención Psicopedagógica Infantil/Dirección del Área de Centros de Inclusión/Dirección del Área de Centros de Inclusión/Coord.5. Inclusión")</f>
        <v>Atención Psicopedagógica Infantil/Dirección del Área de Centros de Inclusión/Dirección del Área de Centros de Inclusión/Coord.5. Inclusión</v>
      </c>
      <c r="C303" s="107" t="str">
        <f ca="1">IFERROR(__xludf.DUMMYFUNCTION("""COMPUTED_VALUE"""),"5. Inclusión")</f>
        <v>5. Inclusión</v>
      </c>
      <c r="D303" s="107" t="str">
        <f ca="1">IFERROR(__xludf.DUMMYFUNCTION("""COMPUTED_VALUE"""),"Guadalajara bien educada")</f>
        <v>Guadalajara bien educada</v>
      </c>
      <c r="E303" s="107" t="str">
        <f ca="1">IFERROR(__xludf.DUMMYFUNCTION("""COMPUTED_VALUE"""),"Atención Psicopedagógica Infantil")</f>
        <v>Atención Psicopedagógica Infantil</v>
      </c>
      <c r="F303" s="107" t="str">
        <f ca="1">IFERROR(__xludf.DUMMYFUNCTION("""COMPUTED_VALUE"""),"A1C2 Actividades de diagnóstico y valoración psicológica ejecutadas para niñas y niños que requieran atención en el CAPI")</f>
        <v>A1C2 Actividades de diagnóstico y valoración psicológica ejecutadas para niñas y niños que requieran atención en el CAPI</v>
      </c>
      <c r="G303" s="107" t="str">
        <f ca="1">IFERROR(__xludf.DUMMYFUNCTION("""COMPUTED_VALUE"""),"Porcentaje de diagnósticos y valoraciones realizados a niñas y niños que requieran atención en el CAPI en 2024")</f>
        <v>Porcentaje de diagnósticos y valoraciones realizados a niñas y niños que requieran atención en el CAPI en 2024</v>
      </c>
      <c r="H303" s="107" t="str">
        <f ca="1">IFERROR(__xludf.DUMMYFUNCTION("""COMPUTED_VALUE"""),"HOM julio")</f>
        <v>HOM julio</v>
      </c>
      <c r="I303" s="107" t="str">
        <f ca="1">IFERROR(__xludf.DUMMYFUNCTION("""COMPUTED_VALUE"""),"julio")</f>
        <v>julio</v>
      </c>
      <c r="J303" s="107" t="str">
        <f ca="1">IFERROR(__xludf.DUMMYFUNCTION("""COMPUTED_VALUE"""),"HOM")</f>
        <v>HOM</v>
      </c>
      <c r="K303" s="40"/>
      <c r="L303" s="107" t="str">
        <f ca="1">IFERROR(__xludf.DUMMYFUNCTION("""COMPUTED_VALUE"""),"TRIMESTRE 3")</f>
        <v>TRIMESTRE 3</v>
      </c>
      <c r="M303" s="107" t="str">
        <f ca="1">IFERROR(__xludf.DUMMYFUNCTION("""COMPUTED_VALUE"""),"HOMBRES ADULTOS")</f>
        <v>HOMBRES ADULTOS</v>
      </c>
    </row>
    <row r="304" spans="1:13">
      <c r="A304" s="107" t="str">
        <f ca="1">IFERROR(__xludf.DUMMYFUNCTION("""COMPUTED_VALUE"""),"5.1.2.1")</f>
        <v>5.1.2.1</v>
      </c>
      <c r="B304" s="107" t="str">
        <f ca="1">IFERROR(__xludf.DUMMYFUNCTION("""COMPUTED_VALUE"""),"Atención Psicopedagógica Infantil/Dirección del Área de Centros de Inclusión/Dirección del Área de Centros de Inclusión/Coord.5. Inclusión")</f>
        <v>Atención Psicopedagógica Infantil/Dirección del Área de Centros de Inclusión/Dirección del Área de Centros de Inclusión/Coord.5. Inclusión</v>
      </c>
      <c r="C304" s="107" t="str">
        <f ca="1">IFERROR(__xludf.DUMMYFUNCTION("""COMPUTED_VALUE"""),"5. Inclusión")</f>
        <v>5. Inclusión</v>
      </c>
      <c r="D304" s="107" t="str">
        <f ca="1">IFERROR(__xludf.DUMMYFUNCTION("""COMPUTED_VALUE"""),"Guadalajara bien educada")</f>
        <v>Guadalajara bien educada</v>
      </c>
      <c r="E304" s="107" t="str">
        <f ca="1">IFERROR(__xludf.DUMMYFUNCTION("""COMPUTED_VALUE"""),"Atención Psicopedagógica Infantil")</f>
        <v>Atención Psicopedagógica Infantil</v>
      </c>
      <c r="F304" s="107" t="str">
        <f ca="1">IFERROR(__xludf.DUMMYFUNCTION("""COMPUTED_VALUE"""),"A1C2 Actividades de diagnóstico y valoración psicológica ejecutadas para niñas y niños que requieran atención en el CAPI")</f>
        <v>A1C2 Actividades de diagnóstico y valoración psicológica ejecutadas para niñas y niños que requieran atención en el CAPI</v>
      </c>
      <c r="G304" s="107" t="str">
        <f ca="1">IFERROR(__xludf.DUMMYFUNCTION("""COMPUTED_VALUE"""),"Porcentaje de diagnósticos y valoraciones realizados a niñas y niños que requieran atención en el CAPI en 2024")</f>
        <v>Porcentaje de diagnósticos y valoraciones realizados a niñas y niños que requieran atención en el CAPI en 2024</v>
      </c>
      <c r="H304" s="107" t="str">
        <f ca="1">IFERROR(__xludf.DUMMYFUNCTION("""COMPUTED_VALUE"""),"AMM julio")</f>
        <v>AMM julio</v>
      </c>
      <c r="I304" s="107" t="str">
        <f ca="1">IFERROR(__xludf.DUMMYFUNCTION("""COMPUTED_VALUE"""),"julio")</f>
        <v>julio</v>
      </c>
      <c r="J304" s="107" t="str">
        <f ca="1">IFERROR(__xludf.DUMMYFUNCTION("""COMPUTED_VALUE"""),"AMM")</f>
        <v>AMM</v>
      </c>
      <c r="K304" s="40"/>
      <c r="L304" s="107" t="str">
        <f ca="1">IFERROR(__xludf.DUMMYFUNCTION("""COMPUTED_VALUE"""),"TRIMESTRE 3")</f>
        <v>TRIMESTRE 3</v>
      </c>
      <c r="M304" s="107" t="str">
        <f ca="1">IFERROR(__xludf.DUMMYFUNCTION("""COMPUTED_VALUE"""),"ADULTA MAYOR MUJER")</f>
        <v>ADULTA MAYOR MUJER</v>
      </c>
    </row>
    <row r="305" spans="1:13">
      <c r="A305" s="107" t="str">
        <f ca="1">IFERROR(__xludf.DUMMYFUNCTION("""COMPUTED_VALUE"""),"5.1.2.1")</f>
        <v>5.1.2.1</v>
      </c>
      <c r="B305" s="107" t="str">
        <f ca="1">IFERROR(__xludf.DUMMYFUNCTION("""COMPUTED_VALUE"""),"Atención Psicopedagógica Infantil/Dirección del Área de Centros de Inclusión/Dirección del Área de Centros de Inclusión/Coord.5. Inclusión")</f>
        <v>Atención Psicopedagógica Infantil/Dirección del Área de Centros de Inclusión/Dirección del Área de Centros de Inclusión/Coord.5. Inclusión</v>
      </c>
      <c r="C305" s="107" t="str">
        <f ca="1">IFERROR(__xludf.DUMMYFUNCTION("""COMPUTED_VALUE"""),"5. Inclusión")</f>
        <v>5. Inclusión</v>
      </c>
      <c r="D305" s="107" t="str">
        <f ca="1">IFERROR(__xludf.DUMMYFUNCTION("""COMPUTED_VALUE"""),"Guadalajara bien educada")</f>
        <v>Guadalajara bien educada</v>
      </c>
      <c r="E305" s="107" t="str">
        <f ca="1">IFERROR(__xludf.DUMMYFUNCTION("""COMPUTED_VALUE"""),"Atención Psicopedagógica Infantil")</f>
        <v>Atención Psicopedagógica Infantil</v>
      </c>
      <c r="F305" s="107" t="str">
        <f ca="1">IFERROR(__xludf.DUMMYFUNCTION("""COMPUTED_VALUE"""),"A1C2 Actividades de diagnóstico y valoración psicológica ejecutadas para niñas y niños que requieran atención en el CAPI")</f>
        <v>A1C2 Actividades de diagnóstico y valoración psicológica ejecutadas para niñas y niños que requieran atención en el CAPI</v>
      </c>
      <c r="G305" s="107" t="str">
        <f ca="1">IFERROR(__xludf.DUMMYFUNCTION("""COMPUTED_VALUE"""),"Porcentaje de diagnósticos y valoraciones realizados a niñas y niños que requieran atención en el CAPI en 2024")</f>
        <v>Porcentaje de diagnósticos y valoraciones realizados a niñas y niños que requieran atención en el CAPI en 2024</v>
      </c>
      <c r="H305" s="107" t="str">
        <f ca="1">IFERROR(__xludf.DUMMYFUNCTION("""COMPUTED_VALUE"""),"AMH julio")</f>
        <v>AMH julio</v>
      </c>
      <c r="I305" s="107" t="str">
        <f ca="1">IFERROR(__xludf.DUMMYFUNCTION("""COMPUTED_VALUE"""),"julio")</f>
        <v>julio</v>
      </c>
      <c r="J305" s="107" t="str">
        <f ca="1">IFERROR(__xludf.DUMMYFUNCTION("""COMPUTED_VALUE"""),"AMH")</f>
        <v>AMH</v>
      </c>
      <c r="K305" s="40"/>
      <c r="L305" s="107" t="str">
        <f ca="1">IFERROR(__xludf.DUMMYFUNCTION("""COMPUTED_VALUE"""),"TRIMESTRE 3")</f>
        <v>TRIMESTRE 3</v>
      </c>
      <c r="M305" s="107" t="str">
        <f ca="1">IFERROR(__xludf.DUMMYFUNCTION("""COMPUTED_VALUE"""),"ADULTO MAYOR HOMBRE")</f>
        <v>ADULTO MAYOR HOMBRE</v>
      </c>
    </row>
    <row r="306" spans="1:13">
      <c r="A306" s="107" t="str">
        <f ca="1">IFERROR(__xludf.DUMMYFUNCTION("""COMPUTED_VALUE"""),"5.1.2.0")</f>
        <v>5.1.2.0</v>
      </c>
      <c r="B306" s="107" t="str">
        <f ca="1">IFERROR(__xludf.DUMMYFUNCTION("""COMPUTED_VALUE"""),"Atención Psicopedagógica Infantil/Jefatura del Departamento de CDI, CAIC  y CEDI/Dirección del Área de Centros de Atención Infantil/Coord.3. Operación")</f>
        <v>Atención Psicopedagógica Infantil/Jefatura del Departamento de CDI, CAIC  y CEDI/Dirección del Área de Centros de Atención Infantil/Coord.3. Operación</v>
      </c>
      <c r="C306" s="107" t="str">
        <f ca="1">IFERROR(__xludf.DUMMYFUNCTION("""COMPUTED_VALUE"""),"3. Operación")</f>
        <v>3. Operación</v>
      </c>
      <c r="D306" s="107" t="str">
        <f ca="1">IFERROR(__xludf.DUMMYFUNCTION("""COMPUTED_VALUE"""),"Guadalajara bien educada")</f>
        <v>Guadalajara bien educada</v>
      </c>
      <c r="E306" s="107" t="str">
        <f ca="1">IFERROR(__xludf.DUMMYFUNCTION("""COMPUTED_VALUE"""),"Atención Psicopedagógica Infantil")</f>
        <v>Atención Psicopedagógica Infantil</v>
      </c>
      <c r="F306" s="107" t="str">
        <f ca="1">IFERROR(__xludf.DUMMYFUNCTION("""COMPUTED_VALUE"""),"C2. Atenciones terapéuticas brindadas a niñas y niños con barreras de aprendizaje en el Centro de Atención Psicopedagógica Infantil")</f>
        <v>C2. Atenciones terapéuticas brindadas a niñas y niños con barreras de aprendizaje en el Centro de Atención Psicopedagógica Infantil</v>
      </c>
      <c r="G306" s="107" t="str">
        <f ca="1">IFERROR(__xludf.DUMMYFUNCTION("""COMPUTED_VALUE"""),"Promedio de personas atendidas con atención terapéutica - educativa en el Centro de Atención Psicopedagógica Infantil durante el 2024")</f>
        <v>Promedio de personas atendidas con atención terapéutica - educativa en el Centro de Atención Psicopedagógica Infantil durante el 2024</v>
      </c>
      <c r="H306" s="107" t="str">
        <f ca="1">IFERROR(__xludf.DUMMYFUNCTION("""COMPUTED_VALUE"""),"NAS agosto")</f>
        <v>NAS agosto</v>
      </c>
      <c r="I306" s="107" t="str">
        <f ca="1">IFERROR(__xludf.DUMMYFUNCTION("""COMPUTED_VALUE"""),"agosto")</f>
        <v>agosto</v>
      </c>
      <c r="J306" s="107" t="str">
        <f ca="1">IFERROR(__xludf.DUMMYFUNCTION("""COMPUTED_VALUE"""),"NAS")</f>
        <v>NAS</v>
      </c>
      <c r="K306" s="40">
        <f ca="1">IFERROR(__xludf.DUMMYFUNCTION("""COMPUTED_VALUE"""),0)</f>
        <v>0</v>
      </c>
      <c r="L306" s="107" t="str">
        <f ca="1">IFERROR(__xludf.DUMMYFUNCTION("""COMPUTED_VALUE"""),"TRIMESTRE 3")</f>
        <v>TRIMESTRE 3</v>
      </c>
      <c r="M306" s="107" t="str">
        <f ca="1">IFERROR(__xludf.DUMMYFUNCTION("""COMPUTED_VALUE"""),"NIÑAS")</f>
        <v>NIÑAS</v>
      </c>
    </row>
    <row r="307" spans="1:13">
      <c r="A307" s="107" t="str">
        <f ca="1">IFERROR(__xludf.DUMMYFUNCTION("""COMPUTED_VALUE"""),"5.1.2.0")</f>
        <v>5.1.2.0</v>
      </c>
      <c r="B307" s="107" t="str">
        <f ca="1">IFERROR(__xludf.DUMMYFUNCTION("""COMPUTED_VALUE"""),"Atención Psicopedagógica Infantil/Jefatura del Departamento de CDI, CAIC  y CEDI/Dirección del Área de Centros de Atención Infantil/Coord.3. Operación")</f>
        <v>Atención Psicopedagógica Infantil/Jefatura del Departamento de CDI, CAIC  y CEDI/Dirección del Área de Centros de Atención Infantil/Coord.3. Operación</v>
      </c>
      <c r="C307" s="107" t="str">
        <f ca="1">IFERROR(__xludf.DUMMYFUNCTION("""COMPUTED_VALUE"""),"3. Operación")</f>
        <v>3. Operación</v>
      </c>
      <c r="D307" s="107" t="str">
        <f ca="1">IFERROR(__xludf.DUMMYFUNCTION("""COMPUTED_VALUE"""),"Guadalajara bien educada")</f>
        <v>Guadalajara bien educada</v>
      </c>
      <c r="E307" s="107" t="str">
        <f ca="1">IFERROR(__xludf.DUMMYFUNCTION("""COMPUTED_VALUE"""),"Atención Psicopedagógica Infantil")</f>
        <v>Atención Psicopedagógica Infantil</v>
      </c>
      <c r="F307" s="107" t="str">
        <f ca="1">IFERROR(__xludf.DUMMYFUNCTION("""COMPUTED_VALUE"""),"C2. Atenciones terapéuticas brindadas a niñas y niños con barreras de aprendizaje en el Centro de Atención Psicopedagógica Infantil")</f>
        <v>C2. Atenciones terapéuticas brindadas a niñas y niños con barreras de aprendizaje en el Centro de Atención Psicopedagógica Infantil</v>
      </c>
      <c r="G307" s="107" t="str">
        <f ca="1">IFERROR(__xludf.DUMMYFUNCTION("""COMPUTED_VALUE"""),"Promedio de personas atendidas con atención terapéutica - educativa en el Centro de Atención Psicopedagógica Infantil durante el 2024")</f>
        <v>Promedio de personas atendidas con atención terapéutica - educativa en el Centro de Atención Psicopedagógica Infantil durante el 2024</v>
      </c>
      <c r="H307" s="107" t="str">
        <f ca="1">IFERROR(__xludf.DUMMYFUNCTION("""COMPUTED_VALUE"""),"NOS agosto")</f>
        <v>NOS agosto</v>
      </c>
      <c r="I307" s="107" t="str">
        <f ca="1">IFERROR(__xludf.DUMMYFUNCTION("""COMPUTED_VALUE"""),"agosto")</f>
        <v>agosto</v>
      </c>
      <c r="J307" s="107" t="str">
        <f ca="1">IFERROR(__xludf.DUMMYFUNCTION("""COMPUTED_VALUE"""),"NOS")</f>
        <v>NOS</v>
      </c>
      <c r="K307" s="40">
        <f ca="1">IFERROR(__xludf.DUMMYFUNCTION("""COMPUTED_VALUE"""),0)</f>
        <v>0</v>
      </c>
      <c r="L307" s="107" t="str">
        <f ca="1">IFERROR(__xludf.DUMMYFUNCTION("""COMPUTED_VALUE"""),"TRIMESTRE 3")</f>
        <v>TRIMESTRE 3</v>
      </c>
      <c r="M307" s="107" t="str">
        <f ca="1">IFERROR(__xludf.DUMMYFUNCTION("""COMPUTED_VALUE"""),"NIÑOS")</f>
        <v>NIÑOS</v>
      </c>
    </row>
    <row r="308" spans="1:13">
      <c r="A308" s="107" t="str">
        <f ca="1">IFERROR(__xludf.DUMMYFUNCTION("""COMPUTED_VALUE"""),"5.1.2.0")</f>
        <v>5.1.2.0</v>
      </c>
      <c r="B308" s="107" t="str">
        <f ca="1">IFERROR(__xludf.DUMMYFUNCTION("""COMPUTED_VALUE"""),"Atención Psicopedagógica Infantil/Jefatura del Departamento de CDI, CAIC  y CEDI/Dirección del Área de Centros de Atención Infantil/Coord.3. Operación")</f>
        <v>Atención Psicopedagógica Infantil/Jefatura del Departamento de CDI, CAIC  y CEDI/Dirección del Área de Centros de Atención Infantil/Coord.3. Operación</v>
      </c>
      <c r="C308" s="107" t="str">
        <f ca="1">IFERROR(__xludf.DUMMYFUNCTION("""COMPUTED_VALUE"""),"3. Operación")</f>
        <v>3. Operación</v>
      </c>
      <c r="D308" s="107" t="str">
        <f ca="1">IFERROR(__xludf.DUMMYFUNCTION("""COMPUTED_VALUE"""),"Guadalajara bien educada")</f>
        <v>Guadalajara bien educada</v>
      </c>
      <c r="E308" s="107" t="str">
        <f ca="1">IFERROR(__xludf.DUMMYFUNCTION("""COMPUTED_VALUE"""),"Atención Psicopedagógica Infantil")</f>
        <v>Atención Psicopedagógica Infantil</v>
      </c>
      <c r="F308" s="107" t="str">
        <f ca="1">IFERROR(__xludf.DUMMYFUNCTION("""COMPUTED_VALUE"""),"C2. Atenciones terapéuticas brindadas a niñas y niños con barreras de aprendizaje en el Centro de Atención Psicopedagógica Infantil")</f>
        <v>C2. Atenciones terapéuticas brindadas a niñas y niños con barreras de aprendizaje en el Centro de Atención Psicopedagógica Infantil</v>
      </c>
      <c r="G308" s="107" t="str">
        <f ca="1">IFERROR(__xludf.DUMMYFUNCTION("""COMPUTED_VALUE"""),"Promedio de personas atendidas con atención terapéutica - educativa en el Centro de Atención Psicopedagógica Infantil durante el 2024")</f>
        <v>Promedio de personas atendidas con atención terapéutica - educativa en el Centro de Atención Psicopedagógica Infantil durante el 2024</v>
      </c>
      <c r="H308" s="107" t="str">
        <f ca="1">IFERROR(__xludf.DUMMYFUNCTION("""COMPUTED_VALUE"""),"AM agosto")</f>
        <v>AM agosto</v>
      </c>
      <c r="I308" s="107" t="str">
        <f ca="1">IFERROR(__xludf.DUMMYFUNCTION("""COMPUTED_VALUE"""),"agosto")</f>
        <v>agosto</v>
      </c>
      <c r="J308" s="107" t="str">
        <f ca="1">IFERROR(__xludf.DUMMYFUNCTION("""COMPUTED_VALUE"""),"AM")</f>
        <v>AM</v>
      </c>
      <c r="K308" s="40">
        <f ca="1">IFERROR(__xludf.DUMMYFUNCTION("""COMPUTED_VALUE"""),0)</f>
        <v>0</v>
      </c>
      <c r="L308" s="107" t="str">
        <f ca="1">IFERROR(__xludf.DUMMYFUNCTION("""COMPUTED_VALUE"""),"TRIMESTRE 3")</f>
        <v>TRIMESTRE 3</v>
      </c>
      <c r="M308" s="107" t="str">
        <f ca="1">IFERROR(__xludf.DUMMYFUNCTION("""COMPUTED_VALUE"""),"ADOLESCENTES MUJERES")</f>
        <v>ADOLESCENTES MUJERES</v>
      </c>
    </row>
    <row r="309" spans="1:13">
      <c r="A309" s="107" t="str">
        <f ca="1">IFERROR(__xludf.DUMMYFUNCTION("""COMPUTED_VALUE"""),"5.1.2.0")</f>
        <v>5.1.2.0</v>
      </c>
      <c r="B309" s="107" t="str">
        <f ca="1">IFERROR(__xludf.DUMMYFUNCTION("""COMPUTED_VALUE"""),"Atención Psicopedagógica Infantil/Jefatura del Departamento de CDI, CAIC  y CEDI/Dirección del Área de Centros de Atención Infantil/Coord.3. Operación")</f>
        <v>Atención Psicopedagógica Infantil/Jefatura del Departamento de CDI, CAIC  y CEDI/Dirección del Área de Centros de Atención Infantil/Coord.3. Operación</v>
      </c>
      <c r="C309" s="107" t="str">
        <f ca="1">IFERROR(__xludf.DUMMYFUNCTION("""COMPUTED_VALUE"""),"3. Operación")</f>
        <v>3. Operación</v>
      </c>
      <c r="D309" s="107" t="str">
        <f ca="1">IFERROR(__xludf.DUMMYFUNCTION("""COMPUTED_VALUE"""),"Guadalajara bien educada")</f>
        <v>Guadalajara bien educada</v>
      </c>
      <c r="E309" s="107" t="str">
        <f ca="1">IFERROR(__xludf.DUMMYFUNCTION("""COMPUTED_VALUE"""),"Atención Psicopedagógica Infantil")</f>
        <v>Atención Psicopedagógica Infantil</v>
      </c>
      <c r="F309" s="107" t="str">
        <f ca="1">IFERROR(__xludf.DUMMYFUNCTION("""COMPUTED_VALUE"""),"C2. Atenciones terapéuticas brindadas a niñas y niños con barreras de aprendizaje en el Centro de Atención Psicopedagógica Infantil")</f>
        <v>C2. Atenciones terapéuticas brindadas a niñas y niños con barreras de aprendizaje en el Centro de Atención Psicopedagógica Infantil</v>
      </c>
      <c r="G309" s="107" t="str">
        <f ca="1">IFERROR(__xludf.DUMMYFUNCTION("""COMPUTED_VALUE"""),"Promedio de personas atendidas con atención terapéutica - educativa en el Centro de Atención Psicopedagógica Infantil durante el 2024")</f>
        <v>Promedio de personas atendidas con atención terapéutica - educativa en el Centro de Atención Psicopedagógica Infantil durante el 2024</v>
      </c>
      <c r="H309" s="107" t="str">
        <f ca="1">IFERROR(__xludf.DUMMYFUNCTION("""COMPUTED_VALUE"""),"AH agosto")</f>
        <v>AH agosto</v>
      </c>
      <c r="I309" s="107" t="str">
        <f ca="1">IFERROR(__xludf.DUMMYFUNCTION("""COMPUTED_VALUE"""),"agosto")</f>
        <v>agosto</v>
      </c>
      <c r="J309" s="107" t="str">
        <f ca="1">IFERROR(__xludf.DUMMYFUNCTION("""COMPUTED_VALUE"""),"AH")</f>
        <v>AH</v>
      </c>
      <c r="K309" s="40">
        <f ca="1">IFERROR(__xludf.DUMMYFUNCTION("""COMPUTED_VALUE"""),0)</f>
        <v>0</v>
      </c>
      <c r="L309" s="107" t="str">
        <f ca="1">IFERROR(__xludf.DUMMYFUNCTION("""COMPUTED_VALUE"""),"TRIMESTRE 3")</f>
        <v>TRIMESTRE 3</v>
      </c>
      <c r="M309" s="107" t="str">
        <f ca="1">IFERROR(__xludf.DUMMYFUNCTION("""COMPUTED_VALUE"""),"ADOLESCENTES HOMBRES")</f>
        <v>ADOLESCENTES HOMBRES</v>
      </c>
    </row>
    <row r="310" spans="1:13">
      <c r="A310" s="107" t="str">
        <f ca="1">IFERROR(__xludf.DUMMYFUNCTION("""COMPUTED_VALUE"""),"5.1.2.0")</f>
        <v>5.1.2.0</v>
      </c>
      <c r="B310" s="107" t="str">
        <f ca="1">IFERROR(__xludf.DUMMYFUNCTION("""COMPUTED_VALUE"""),"Atención Psicopedagógica Infantil/Jefatura del Departamento de CDI, CAIC  y CEDI/Dirección del Área de Centros de Atención Infantil/Coord.3. Operación")</f>
        <v>Atención Psicopedagógica Infantil/Jefatura del Departamento de CDI, CAIC  y CEDI/Dirección del Área de Centros de Atención Infantil/Coord.3. Operación</v>
      </c>
      <c r="C310" s="107" t="str">
        <f ca="1">IFERROR(__xludf.DUMMYFUNCTION("""COMPUTED_VALUE"""),"3. Operación")</f>
        <v>3. Operación</v>
      </c>
      <c r="D310" s="107" t="str">
        <f ca="1">IFERROR(__xludf.DUMMYFUNCTION("""COMPUTED_VALUE"""),"Guadalajara bien educada")</f>
        <v>Guadalajara bien educada</v>
      </c>
      <c r="E310" s="107" t="str">
        <f ca="1">IFERROR(__xludf.DUMMYFUNCTION("""COMPUTED_VALUE"""),"Atención Psicopedagógica Infantil")</f>
        <v>Atención Psicopedagógica Infantil</v>
      </c>
      <c r="F310" s="107" t="str">
        <f ca="1">IFERROR(__xludf.DUMMYFUNCTION("""COMPUTED_VALUE"""),"C2. Atenciones terapéuticas brindadas a niñas y niños con barreras de aprendizaje en el Centro de Atención Psicopedagógica Infantil")</f>
        <v>C2. Atenciones terapéuticas brindadas a niñas y niños con barreras de aprendizaje en el Centro de Atención Psicopedagógica Infantil</v>
      </c>
      <c r="G310" s="107" t="str">
        <f ca="1">IFERROR(__xludf.DUMMYFUNCTION("""COMPUTED_VALUE"""),"Promedio de personas atendidas con atención terapéutica - educativa en el Centro de Atención Psicopedagógica Infantil durante el 2024")</f>
        <v>Promedio de personas atendidas con atención terapéutica - educativa en el Centro de Atención Psicopedagógica Infantil durante el 2024</v>
      </c>
      <c r="H310" s="107" t="str">
        <f ca="1">IFERROR(__xludf.DUMMYFUNCTION("""COMPUTED_VALUE"""),"MUJ agosto")</f>
        <v>MUJ agosto</v>
      </c>
      <c r="I310" s="107" t="str">
        <f ca="1">IFERROR(__xludf.DUMMYFUNCTION("""COMPUTED_VALUE"""),"agosto")</f>
        <v>agosto</v>
      </c>
      <c r="J310" s="107" t="str">
        <f ca="1">IFERROR(__xludf.DUMMYFUNCTION("""COMPUTED_VALUE"""),"MUJ")</f>
        <v>MUJ</v>
      </c>
      <c r="K310" s="40"/>
      <c r="L310" s="107" t="str">
        <f ca="1">IFERROR(__xludf.DUMMYFUNCTION("""COMPUTED_VALUE"""),"TRIMESTRE 3")</f>
        <v>TRIMESTRE 3</v>
      </c>
      <c r="M310" s="107" t="str">
        <f ca="1">IFERROR(__xludf.DUMMYFUNCTION("""COMPUTED_VALUE"""),"MUJERES ADULTAS")</f>
        <v>MUJERES ADULTAS</v>
      </c>
    </row>
    <row r="311" spans="1:13">
      <c r="A311" s="107" t="str">
        <f ca="1">IFERROR(__xludf.DUMMYFUNCTION("""COMPUTED_VALUE"""),"5.1.2.0")</f>
        <v>5.1.2.0</v>
      </c>
      <c r="B311" s="107" t="str">
        <f ca="1">IFERROR(__xludf.DUMMYFUNCTION("""COMPUTED_VALUE"""),"Atención Psicopedagógica Infantil/Jefatura del Departamento de CDI, CAIC  y CEDI/Dirección del Área de Centros de Atención Infantil/Coord.3. Operación")</f>
        <v>Atención Psicopedagógica Infantil/Jefatura del Departamento de CDI, CAIC  y CEDI/Dirección del Área de Centros de Atención Infantil/Coord.3. Operación</v>
      </c>
      <c r="C311" s="107" t="str">
        <f ca="1">IFERROR(__xludf.DUMMYFUNCTION("""COMPUTED_VALUE"""),"3. Operación")</f>
        <v>3. Operación</v>
      </c>
      <c r="D311" s="107" t="str">
        <f ca="1">IFERROR(__xludf.DUMMYFUNCTION("""COMPUTED_VALUE"""),"Guadalajara bien educada")</f>
        <v>Guadalajara bien educada</v>
      </c>
      <c r="E311" s="107" t="str">
        <f ca="1">IFERROR(__xludf.DUMMYFUNCTION("""COMPUTED_VALUE"""),"Atención Psicopedagógica Infantil")</f>
        <v>Atención Psicopedagógica Infantil</v>
      </c>
      <c r="F311" s="107" t="str">
        <f ca="1">IFERROR(__xludf.DUMMYFUNCTION("""COMPUTED_VALUE"""),"C2. Atenciones terapéuticas brindadas a niñas y niños con barreras de aprendizaje en el Centro de Atención Psicopedagógica Infantil")</f>
        <v>C2. Atenciones terapéuticas brindadas a niñas y niños con barreras de aprendizaje en el Centro de Atención Psicopedagógica Infantil</v>
      </c>
      <c r="G311" s="107" t="str">
        <f ca="1">IFERROR(__xludf.DUMMYFUNCTION("""COMPUTED_VALUE"""),"Promedio de personas atendidas con atención terapéutica - educativa en el Centro de Atención Psicopedagógica Infantil durante el 2024")</f>
        <v>Promedio de personas atendidas con atención terapéutica - educativa en el Centro de Atención Psicopedagógica Infantil durante el 2024</v>
      </c>
      <c r="H311" s="107" t="str">
        <f ca="1">IFERROR(__xludf.DUMMYFUNCTION("""COMPUTED_VALUE"""),"HOM agosto")</f>
        <v>HOM agosto</v>
      </c>
      <c r="I311" s="107" t="str">
        <f ca="1">IFERROR(__xludf.DUMMYFUNCTION("""COMPUTED_VALUE"""),"agosto")</f>
        <v>agosto</v>
      </c>
      <c r="J311" s="107" t="str">
        <f ca="1">IFERROR(__xludf.DUMMYFUNCTION("""COMPUTED_VALUE"""),"HOM")</f>
        <v>HOM</v>
      </c>
      <c r="K311" s="40"/>
      <c r="L311" s="107" t="str">
        <f ca="1">IFERROR(__xludf.DUMMYFUNCTION("""COMPUTED_VALUE"""),"TRIMESTRE 3")</f>
        <v>TRIMESTRE 3</v>
      </c>
      <c r="M311" s="107" t="str">
        <f ca="1">IFERROR(__xludf.DUMMYFUNCTION("""COMPUTED_VALUE"""),"HOMBRES ADULTOS")</f>
        <v>HOMBRES ADULTOS</v>
      </c>
    </row>
    <row r="312" spans="1:13">
      <c r="A312" s="107" t="str">
        <f ca="1">IFERROR(__xludf.DUMMYFUNCTION("""COMPUTED_VALUE"""),"5.1.2.0")</f>
        <v>5.1.2.0</v>
      </c>
      <c r="B312" s="107" t="str">
        <f ca="1">IFERROR(__xludf.DUMMYFUNCTION("""COMPUTED_VALUE"""),"Atención Psicopedagógica Infantil/Jefatura del Departamento de CDI, CAIC  y CEDI/Dirección del Área de Centros de Atención Infantil/Coord.3. Operación")</f>
        <v>Atención Psicopedagógica Infantil/Jefatura del Departamento de CDI, CAIC  y CEDI/Dirección del Área de Centros de Atención Infantil/Coord.3. Operación</v>
      </c>
      <c r="C312" s="107" t="str">
        <f ca="1">IFERROR(__xludf.DUMMYFUNCTION("""COMPUTED_VALUE"""),"3. Operación")</f>
        <v>3. Operación</v>
      </c>
      <c r="D312" s="107" t="str">
        <f ca="1">IFERROR(__xludf.DUMMYFUNCTION("""COMPUTED_VALUE"""),"Guadalajara bien educada")</f>
        <v>Guadalajara bien educada</v>
      </c>
      <c r="E312" s="107" t="str">
        <f ca="1">IFERROR(__xludf.DUMMYFUNCTION("""COMPUTED_VALUE"""),"Atención Psicopedagógica Infantil")</f>
        <v>Atención Psicopedagógica Infantil</v>
      </c>
      <c r="F312" s="107" t="str">
        <f ca="1">IFERROR(__xludf.DUMMYFUNCTION("""COMPUTED_VALUE"""),"C2. Atenciones terapéuticas brindadas a niñas y niños con barreras de aprendizaje en el Centro de Atención Psicopedagógica Infantil")</f>
        <v>C2. Atenciones terapéuticas brindadas a niñas y niños con barreras de aprendizaje en el Centro de Atención Psicopedagógica Infantil</v>
      </c>
      <c r="G312" s="107" t="str">
        <f ca="1">IFERROR(__xludf.DUMMYFUNCTION("""COMPUTED_VALUE"""),"Promedio de personas atendidas con atención terapéutica - educativa en el Centro de Atención Psicopedagógica Infantil durante el 2024")</f>
        <v>Promedio de personas atendidas con atención terapéutica - educativa en el Centro de Atención Psicopedagógica Infantil durante el 2024</v>
      </c>
      <c r="H312" s="107" t="str">
        <f ca="1">IFERROR(__xludf.DUMMYFUNCTION("""COMPUTED_VALUE"""),"AMM agosto")</f>
        <v>AMM agosto</v>
      </c>
      <c r="I312" s="107" t="str">
        <f ca="1">IFERROR(__xludf.DUMMYFUNCTION("""COMPUTED_VALUE"""),"agosto")</f>
        <v>agosto</v>
      </c>
      <c r="J312" s="107" t="str">
        <f ca="1">IFERROR(__xludf.DUMMYFUNCTION("""COMPUTED_VALUE"""),"AMM")</f>
        <v>AMM</v>
      </c>
      <c r="K312" s="40"/>
      <c r="L312" s="107" t="str">
        <f ca="1">IFERROR(__xludf.DUMMYFUNCTION("""COMPUTED_VALUE"""),"TRIMESTRE 3")</f>
        <v>TRIMESTRE 3</v>
      </c>
      <c r="M312" s="107" t="str">
        <f ca="1">IFERROR(__xludf.DUMMYFUNCTION("""COMPUTED_VALUE"""),"ADULTA MAYOR MUJER")</f>
        <v>ADULTA MAYOR MUJER</v>
      </c>
    </row>
    <row r="313" spans="1:13">
      <c r="A313" s="107" t="str">
        <f ca="1">IFERROR(__xludf.DUMMYFUNCTION("""COMPUTED_VALUE"""),"5.1.2.0")</f>
        <v>5.1.2.0</v>
      </c>
      <c r="B313" s="107" t="str">
        <f ca="1">IFERROR(__xludf.DUMMYFUNCTION("""COMPUTED_VALUE"""),"Atención Psicopedagógica Infantil/Jefatura del Departamento de CDI, CAIC  y CEDI/Dirección del Área de Centros de Atención Infantil/Coord.3. Operación")</f>
        <v>Atención Psicopedagógica Infantil/Jefatura del Departamento de CDI, CAIC  y CEDI/Dirección del Área de Centros de Atención Infantil/Coord.3. Operación</v>
      </c>
      <c r="C313" s="107" t="str">
        <f ca="1">IFERROR(__xludf.DUMMYFUNCTION("""COMPUTED_VALUE"""),"3. Operación")</f>
        <v>3. Operación</v>
      </c>
      <c r="D313" s="107" t="str">
        <f ca="1">IFERROR(__xludf.DUMMYFUNCTION("""COMPUTED_VALUE"""),"Guadalajara bien educada")</f>
        <v>Guadalajara bien educada</v>
      </c>
      <c r="E313" s="107" t="str">
        <f ca="1">IFERROR(__xludf.DUMMYFUNCTION("""COMPUTED_VALUE"""),"Atención Psicopedagógica Infantil")</f>
        <v>Atención Psicopedagógica Infantil</v>
      </c>
      <c r="F313" s="107" t="str">
        <f ca="1">IFERROR(__xludf.DUMMYFUNCTION("""COMPUTED_VALUE"""),"C2. Atenciones terapéuticas brindadas a niñas y niños con barreras de aprendizaje en el Centro de Atención Psicopedagógica Infantil")</f>
        <v>C2. Atenciones terapéuticas brindadas a niñas y niños con barreras de aprendizaje en el Centro de Atención Psicopedagógica Infantil</v>
      </c>
      <c r="G313" s="107" t="str">
        <f ca="1">IFERROR(__xludf.DUMMYFUNCTION("""COMPUTED_VALUE"""),"Promedio de personas atendidas con atención terapéutica - educativa en el Centro de Atención Psicopedagógica Infantil durante el 2024")</f>
        <v>Promedio de personas atendidas con atención terapéutica - educativa en el Centro de Atención Psicopedagógica Infantil durante el 2024</v>
      </c>
      <c r="H313" s="107" t="str">
        <f ca="1">IFERROR(__xludf.DUMMYFUNCTION("""COMPUTED_VALUE"""),"AMH agosto")</f>
        <v>AMH agosto</v>
      </c>
      <c r="I313" s="107" t="str">
        <f ca="1">IFERROR(__xludf.DUMMYFUNCTION("""COMPUTED_VALUE"""),"agosto")</f>
        <v>agosto</v>
      </c>
      <c r="J313" s="107" t="str">
        <f ca="1">IFERROR(__xludf.DUMMYFUNCTION("""COMPUTED_VALUE"""),"AMH")</f>
        <v>AMH</v>
      </c>
      <c r="K313" s="40"/>
      <c r="L313" s="107" t="str">
        <f ca="1">IFERROR(__xludf.DUMMYFUNCTION("""COMPUTED_VALUE"""),"TRIMESTRE 3")</f>
        <v>TRIMESTRE 3</v>
      </c>
      <c r="M313" s="107" t="str">
        <f ca="1">IFERROR(__xludf.DUMMYFUNCTION("""COMPUTED_VALUE"""),"ADULTO MAYOR HOMBRE")</f>
        <v>ADULTO MAYOR HOMBRE</v>
      </c>
    </row>
    <row r="314" spans="1:13">
      <c r="A314" s="107" t="str">
        <f ca="1">IFERROR(__xludf.DUMMYFUNCTION("""COMPUTED_VALUE"""),"5.1.2.1")</f>
        <v>5.1.2.1</v>
      </c>
      <c r="B314" s="107" t="str">
        <f ca="1">IFERROR(__xludf.DUMMYFUNCTION("""COMPUTED_VALUE"""),"Atención Psicopedagógica Infantil/Dirección del Área de Centros de Inclusión/Dirección del Área de Centros de Inclusión/Coord.5. Inclusión")</f>
        <v>Atención Psicopedagógica Infantil/Dirección del Área de Centros de Inclusión/Dirección del Área de Centros de Inclusión/Coord.5. Inclusión</v>
      </c>
      <c r="C314" s="107" t="str">
        <f ca="1">IFERROR(__xludf.DUMMYFUNCTION("""COMPUTED_VALUE"""),"5. Inclusión")</f>
        <v>5. Inclusión</v>
      </c>
      <c r="D314" s="107" t="str">
        <f ca="1">IFERROR(__xludf.DUMMYFUNCTION("""COMPUTED_VALUE"""),"Guadalajara bien educada")</f>
        <v>Guadalajara bien educada</v>
      </c>
      <c r="E314" s="107" t="str">
        <f ca="1">IFERROR(__xludf.DUMMYFUNCTION("""COMPUTED_VALUE"""),"Atención Psicopedagógica Infantil")</f>
        <v>Atención Psicopedagógica Infantil</v>
      </c>
      <c r="F314" s="107" t="str">
        <f ca="1">IFERROR(__xludf.DUMMYFUNCTION("""COMPUTED_VALUE"""),"A1C2 Actividades de diagnóstico y valoración psicológica ejecutadas para niñas y niños que requieran atención en el CAPI")</f>
        <v>A1C2 Actividades de diagnóstico y valoración psicológica ejecutadas para niñas y niños que requieran atención en el CAPI</v>
      </c>
      <c r="G314" s="107" t="str">
        <f ca="1">IFERROR(__xludf.DUMMYFUNCTION("""COMPUTED_VALUE"""),"Porcentaje de diagnósticos y valoraciones realizados a niñas y niños que requieran atención en el CAPI en 2024")</f>
        <v>Porcentaje de diagnósticos y valoraciones realizados a niñas y niños que requieran atención en el CAPI en 2024</v>
      </c>
      <c r="H314" s="107" t="str">
        <f ca="1">IFERROR(__xludf.DUMMYFUNCTION("""COMPUTED_VALUE"""),"NAS agosto")</f>
        <v>NAS agosto</v>
      </c>
      <c r="I314" s="107" t="str">
        <f ca="1">IFERROR(__xludf.DUMMYFUNCTION("""COMPUTED_VALUE"""),"agosto")</f>
        <v>agosto</v>
      </c>
      <c r="J314" s="107" t="str">
        <f ca="1">IFERROR(__xludf.DUMMYFUNCTION("""COMPUTED_VALUE"""),"NAS")</f>
        <v>NAS</v>
      </c>
      <c r="K314" s="40">
        <f ca="1">IFERROR(__xludf.DUMMYFUNCTION("""COMPUTED_VALUE"""),10)</f>
        <v>10</v>
      </c>
      <c r="L314" s="107" t="str">
        <f ca="1">IFERROR(__xludf.DUMMYFUNCTION("""COMPUTED_VALUE"""),"TRIMESTRE 3")</f>
        <v>TRIMESTRE 3</v>
      </c>
      <c r="M314" s="107" t="str">
        <f ca="1">IFERROR(__xludf.DUMMYFUNCTION("""COMPUTED_VALUE"""),"NIÑAS")</f>
        <v>NIÑAS</v>
      </c>
    </row>
    <row r="315" spans="1:13">
      <c r="A315" s="107" t="str">
        <f ca="1">IFERROR(__xludf.DUMMYFUNCTION("""COMPUTED_VALUE"""),"5.1.2.1")</f>
        <v>5.1.2.1</v>
      </c>
      <c r="B315" s="107" t="str">
        <f ca="1">IFERROR(__xludf.DUMMYFUNCTION("""COMPUTED_VALUE"""),"Atención Psicopedagógica Infantil/Dirección del Área de Centros de Inclusión/Dirección del Área de Centros de Inclusión/Coord.5. Inclusión")</f>
        <v>Atención Psicopedagógica Infantil/Dirección del Área de Centros de Inclusión/Dirección del Área de Centros de Inclusión/Coord.5. Inclusión</v>
      </c>
      <c r="C315" s="107" t="str">
        <f ca="1">IFERROR(__xludf.DUMMYFUNCTION("""COMPUTED_VALUE"""),"5. Inclusión")</f>
        <v>5. Inclusión</v>
      </c>
      <c r="D315" s="107" t="str">
        <f ca="1">IFERROR(__xludf.DUMMYFUNCTION("""COMPUTED_VALUE"""),"Guadalajara bien educada")</f>
        <v>Guadalajara bien educada</v>
      </c>
      <c r="E315" s="107" t="str">
        <f ca="1">IFERROR(__xludf.DUMMYFUNCTION("""COMPUTED_VALUE"""),"Atención Psicopedagógica Infantil")</f>
        <v>Atención Psicopedagógica Infantil</v>
      </c>
      <c r="F315" s="107" t="str">
        <f ca="1">IFERROR(__xludf.DUMMYFUNCTION("""COMPUTED_VALUE"""),"A1C2 Actividades de diagnóstico y valoración psicológica ejecutadas para niñas y niños que requieran atención en el CAPI")</f>
        <v>A1C2 Actividades de diagnóstico y valoración psicológica ejecutadas para niñas y niños que requieran atención en el CAPI</v>
      </c>
      <c r="G315" s="107" t="str">
        <f ca="1">IFERROR(__xludf.DUMMYFUNCTION("""COMPUTED_VALUE"""),"Porcentaje de diagnósticos y valoraciones realizados a niñas y niños que requieran atención en el CAPI en 2024")</f>
        <v>Porcentaje de diagnósticos y valoraciones realizados a niñas y niños que requieran atención en el CAPI en 2024</v>
      </c>
      <c r="H315" s="107" t="str">
        <f ca="1">IFERROR(__xludf.DUMMYFUNCTION("""COMPUTED_VALUE"""),"NOS agosto")</f>
        <v>NOS agosto</v>
      </c>
      <c r="I315" s="107" t="str">
        <f ca="1">IFERROR(__xludf.DUMMYFUNCTION("""COMPUTED_VALUE"""),"agosto")</f>
        <v>agosto</v>
      </c>
      <c r="J315" s="107" t="str">
        <f ca="1">IFERROR(__xludf.DUMMYFUNCTION("""COMPUTED_VALUE"""),"NOS")</f>
        <v>NOS</v>
      </c>
      <c r="K315" s="40">
        <f ca="1">IFERROR(__xludf.DUMMYFUNCTION("""COMPUTED_VALUE"""),37)</f>
        <v>37</v>
      </c>
      <c r="L315" s="107" t="str">
        <f ca="1">IFERROR(__xludf.DUMMYFUNCTION("""COMPUTED_VALUE"""),"TRIMESTRE 3")</f>
        <v>TRIMESTRE 3</v>
      </c>
      <c r="M315" s="107" t="str">
        <f ca="1">IFERROR(__xludf.DUMMYFUNCTION("""COMPUTED_VALUE"""),"NIÑOS")</f>
        <v>NIÑOS</v>
      </c>
    </row>
    <row r="316" spans="1:13">
      <c r="A316" s="107" t="str">
        <f ca="1">IFERROR(__xludf.DUMMYFUNCTION("""COMPUTED_VALUE"""),"5.1.2.1")</f>
        <v>5.1.2.1</v>
      </c>
      <c r="B316" s="107" t="str">
        <f ca="1">IFERROR(__xludf.DUMMYFUNCTION("""COMPUTED_VALUE"""),"Atención Psicopedagógica Infantil/Dirección del Área de Centros de Inclusión/Dirección del Área de Centros de Inclusión/Coord.5. Inclusión")</f>
        <v>Atención Psicopedagógica Infantil/Dirección del Área de Centros de Inclusión/Dirección del Área de Centros de Inclusión/Coord.5. Inclusión</v>
      </c>
      <c r="C316" s="107" t="str">
        <f ca="1">IFERROR(__xludf.DUMMYFUNCTION("""COMPUTED_VALUE"""),"5. Inclusión")</f>
        <v>5. Inclusión</v>
      </c>
      <c r="D316" s="107" t="str">
        <f ca="1">IFERROR(__xludf.DUMMYFUNCTION("""COMPUTED_VALUE"""),"Guadalajara bien educada")</f>
        <v>Guadalajara bien educada</v>
      </c>
      <c r="E316" s="107" t="str">
        <f ca="1">IFERROR(__xludf.DUMMYFUNCTION("""COMPUTED_VALUE"""),"Atención Psicopedagógica Infantil")</f>
        <v>Atención Psicopedagógica Infantil</v>
      </c>
      <c r="F316" s="107" t="str">
        <f ca="1">IFERROR(__xludf.DUMMYFUNCTION("""COMPUTED_VALUE"""),"A1C2 Actividades de diagnóstico y valoración psicológica ejecutadas para niñas y niños que requieran atención en el CAPI")</f>
        <v>A1C2 Actividades de diagnóstico y valoración psicológica ejecutadas para niñas y niños que requieran atención en el CAPI</v>
      </c>
      <c r="G316" s="107" t="str">
        <f ca="1">IFERROR(__xludf.DUMMYFUNCTION("""COMPUTED_VALUE"""),"Porcentaje de diagnósticos y valoraciones realizados a niñas y niños que requieran atención en el CAPI en 2024")</f>
        <v>Porcentaje de diagnósticos y valoraciones realizados a niñas y niños que requieran atención en el CAPI en 2024</v>
      </c>
      <c r="H316" s="107" t="str">
        <f ca="1">IFERROR(__xludf.DUMMYFUNCTION("""COMPUTED_VALUE"""),"AM agosto")</f>
        <v>AM agosto</v>
      </c>
      <c r="I316" s="107" t="str">
        <f ca="1">IFERROR(__xludf.DUMMYFUNCTION("""COMPUTED_VALUE"""),"agosto")</f>
        <v>agosto</v>
      </c>
      <c r="J316" s="107" t="str">
        <f ca="1">IFERROR(__xludf.DUMMYFUNCTION("""COMPUTED_VALUE"""),"AM")</f>
        <v>AM</v>
      </c>
      <c r="K316" s="40">
        <f ca="1">IFERROR(__xludf.DUMMYFUNCTION("""COMPUTED_VALUE"""),0)</f>
        <v>0</v>
      </c>
      <c r="L316" s="107" t="str">
        <f ca="1">IFERROR(__xludf.DUMMYFUNCTION("""COMPUTED_VALUE"""),"TRIMESTRE 3")</f>
        <v>TRIMESTRE 3</v>
      </c>
      <c r="M316" s="107" t="str">
        <f ca="1">IFERROR(__xludf.DUMMYFUNCTION("""COMPUTED_VALUE"""),"ADOLESCENTES MUJERES")</f>
        <v>ADOLESCENTES MUJERES</v>
      </c>
    </row>
    <row r="317" spans="1:13">
      <c r="A317" s="107" t="str">
        <f ca="1">IFERROR(__xludf.DUMMYFUNCTION("""COMPUTED_VALUE"""),"5.1.2.1")</f>
        <v>5.1.2.1</v>
      </c>
      <c r="B317" s="107" t="str">
        <f ca="1">IFERROR(__xludf.DUMMYFUNCTION("""COMPUTED_VALUE"""),"Atención Psicopedagógica Infantil/Dirección del Área de Centros de Inclusión/Dirección del Área de Centros de Inclusión/Coord.5. Inclusión")</f>
        <v>Atención Psicopedagógica Infantil/Dirección del Área de Centros de Inclusión/Dirección del Área de Centros de Inclusión/Coord.5. Inclusión</v>
      </c>
      <c r="C317" s="107" t="str">
        <f ca="1">IFERROR(__xludf.DUMMYFUNCTION("""COMPUTED_VALUE"""),"5. Inclusión")</f>
        <v>5. Inclusión</v>
      </c>
      <c r="D317" s="107" t="str">
        <f ca="1">IFERROR(__xludf.DUMMYFUNCTION("""COMPUTED_VALUE"""),"Guadalajara bien educada")</f>
        <v>Guadalajara bien educada</v>
      </c>
      <c r="E317" s="107" t="str">
        <f ca="1">IFERROR(__xludf.DUMMYFUNCTION("""COMPUTED_VALUE"""),"Atención Psicopedagógica Infantil")</f>
        <v>Atención Psicopedagógica Infantil</v>
      </c>
      <c r="F317" s="107" t="str">
        <f ca="1">IFERROR(__xludf.DUMMYFUNCTION("""COMPUTED_VALUE"""),"A1C2 Actividades de diagnóstico y valoración psicológica ejecutadas para niñas y niños que requieran atención en el CAPI")</f>
        <v>A1C2 Actividades de diagnóstico y valoración psicológica ejecutadas para niñas y niños que requieran atención en el CAPI</v>
      </c>
      <c r="G317" s="107" t="str">
        <f ca="1">IFERROR(__xludf.DUMMYFUNCTION("""COMPUTED_VALUE"""),"Porcentaje de diagnósticos y valoraciones realizados a niñas y niños que requieran atención en el CAPI en 2024")</f>
        <v>Porcentaje de diagnósticos y valoraciones realizados a niñas y niños que requieran atención en el CAPI en 2024</v>
      </c>
      <c r="H317" s="107" t="str">
        <f ca="1">IFERROR(__xludf.DUMMYFUNCTION("""COMPUTED_VALUE"""),"AH agosto")</f>
        <v>AH agosto</v>
      </c>
      <c r="I317" s="107" t="str">
        <f ca="1">IFERROR(__xludf.DUMMYFUNCTION("""COMPUTED_VALUE"""),"agosto")</f>
        <v>agosto</v>
      </c>
      <c r="J317" s="107" t="str">
        <f ca="1">IFERROR(__xludf.DUMMYFUNCTION("""COMPUTED_VALUE"""),"AH")</f>
        <v>AH</v>
      </c>
      <c r="K317" s="40">
        <f ca="1">IFERROR(__xludf.DUMMYFUNCTION("""COMPUTED_VALUE"""),0)</f>
        <v>0</v>
      </c>
      <c r="L317" s="107" t="str">
        <f ca="1">IFERROR(__xludf.DUMMYFUNCTION("""COMPUTED_VALUE"""),"TRIMESTRE 3")</f>
        <v>TRIMESTRE 3</v>
      </c>
      <c r="M317" s="107" t="str">
        <f ca="1">IFERROR(__xludf.DUMMYFUNCTION("""COMPUTED_VALUE"""),"ADOLESCENTES HOMBRES")</f>
        <v>ADOLESCENTES HOMBRES</v>
      </c>
    </row>
    <row r="318" spans="1:13">
      <c r="A318" s="107" t="str">
        <f ca="1">IFERROR(__xludf.DUMMYFUNCTION("""COMPUTED_VALUE"""),"5.1.2.1")</f>
        <v>5.1.2.1</v>
      </c>
      <c r="B318" s="107" t="str">
        <f ca="1">IFERROR(__xludf.DUMMYFUNCTION("""COMPUTED_VALUE"""),"Atención Psicopedagógica Infantil/Dirección del Área de Centros de Inclusión/Dirección del Área de Centros de Inclusión/Coord.5. Inclusión")</f>
        <v>Atención Psicopedagógica Infantil/Dirección del Área de Centros de Inclusión/Dirección del Área de Centros de Inclusión/Coord.5. Inclusión</v>
      </c>
      <c r="C318" s="107" t="str">
        <f ca="1">IFERROR(__xludf.DUMMYFUNCTION("""COMPUTED_VALUE"""),"5. Inclusión")</f>
        <v>5. Inclusión</v>
      </c>
      <c r="D318" s="107" t="str">
        <f ca="1">IFERROR(__xludf.DUMMYFUNCTION("""COMPUTED_VALUE"""),"Guadalajara bien educada")</f>
        <v>Guadalajara bien educada</v>
      </c>
      <c r="E318" s="107" t="str">
        <f ca="1">IFERROR(__xludf.DUMMYFUNCTION("""COMPUTED_VALUE"""),"Atención Psicopedagógica Infantil")</f>
        <v>Atención Psicopedagógica Infantil</v>
      </c>
      <c r="F318" s="107" t="str">
        <f ca="1">IFERROR(__xludf.DUMMYFUNCTION("""COMPUTED_VALUE"""),"A1C2 Actividades de diagnóstico y valoración psicológica ejecutadas para niñas y niños que requieran atención en el CAPI")</f>
        <v>A1C2 Actividades de diagnóstico y valoración psicológica ejecutadas para niñas y niños que requieran atención en el CAPI</v>
      </c>
      <c r="G318" s="107" t="str">
        <f ca="1">IFERROR(__xludf.DUMMYFUNCTION("""COMPUTED_VALUE"""),"Porcentaje de diagnósticos y valoraciones realizados a niñas y niños que requieran atención en el CAPI en 2024")</f>
        <v>Porcentaje de diagnósticos y valoraciones realizados a niñas y niños que requieran atención en el CAPI en 2024</v>
      </c>
      <c r="H318" s="107" t="str">
        <f ca="1">IFERROR(__xludf.DUMMYFUNCTION("""COMPUTED_VALUE"""),"MUJ agosto")</f>
        <v>MUJ agosto</v>
      </c>
      <c r="I318" s="107" t="str">
        <f ca="1">IFERROR(__xludf.DUMMYFUNCTION("""COMPUTED_VALUE"""),"agosto")</f>
        <v>agosto</v>
      </c>
      <c r="J318" s="107" t="str">
        <f ca="1">IFERROR(__xludf.DUMMYFUNCTION("""COMPUTED_VALUE"""),"MUJ")</f>
        <v>MUJ</v>
      </c>
      <c r="K318" s="40"/>
      <c r="L318" s="107" t="str">
        <f ca="1">IFERROR(__xludf.DUMMYFUNCTION("""COMPUTED_VALUE"""),"TRIMESTRE 3")</f>
        <v>TRIMESTRE 3</v>
      </c>
      <c r="M318" s="107" t="str">
        <f ca="1">IFERROR(__xludf.DUMMYFUNCTION("""COMPUTED_VALUE"""),"MUJERES ADULTAS")</f>
        <v>MUJERES ADULTAS</v>
      </c>
    </row>
    <row r="319" spans="1:13">
      <c r="A319" s="107" t="str">
        <f ca="1">IFERROR(__xludf.DUMMYFUNCTION("""COMPUTED_VALUE"""),"5.1.2.1")</f>
        <v>5.1.2.1</v>
      </c>
      <c r="B319" s="107" t="str">
        <f ca="1">IFERROR(__xludf.DUMMYFUNCTION("""COMPUTED_VALUE"""),"Atención Psicopedagógica Infantil/Dirección del Área de Centros de Inclusión/Dirección del Área de Centros de Inclusión/Coord.5. Inclusión")</f>
        <v>Atención Psicopedagógica Infantil/Dirección del Área de Centros de Inclusión/Dirección del Área de Centros de Inclusión/Coord.5. Inclusión</v>
      </c>
      <c r="C319" s="107" t="str">
        <f ca="1">IFERROR(__xludf.DUMMYFUNCTION("""COMPUTED_VALUE"""),"5. Inclusión")</f>
        <v>5. Inclusión</v>
      </c>
      <c r="D319" s="107" t="str">
        <f ca="1">IFERROR(__xludf.DUMMYFUNCTION("""COMPUTED_VALUE"""),"Guadalajara bien educada")</f>
        <v>Guadalajara bien educada</v>
      </c>
      <c r="E319" s="107" t="str">
        <f ca="1">IFERROR(__xludf.DUMMYFUNCTION("""COMPUTED_VALUE"""),"Atención Psicopedagógica Infantil")</f>
        <v>Atención Psicopedagógica Infantil</v>
      </c>
      <c r="F319" s="107" t="str">
        <f ca="1">IFERROR(__xludf.DUMMYFUNCTION("""COMPUTED_VALUE"""),"A1C2 Actividades de diagnóstico y valoración psicológica ejecutadas para niñas y niños que requieran atención en el CAPI")</f>
        <v>A1C2 Actividades de diagnóstico y valoración psicológica ejecutadas para niñas y niños que requieran atención en el CAPI</v>
      </c>
      <c r="G319" s="107" t="str">
        <f ca="1">IFERROR(__xludf.DUMMYFUNCTION("""COMPUTED_VALUE"""),"Porcentaje de diagnósticos y valoraciones realizados a niñas y niños que requieran atención en el CAPI en 2024")</f>
        <v>Porcentaje de diagnósticos y valoraciones realizados a niñas y niños que requieran atención en el CAPI en 2024</v>
      </c>
      <c r="H319" s="107" t="str">
        <f ca="1">IFERROR(__xludf.DUMMYFUNCTION("""COMPUTED_VALUE"""),"HOM agosto")</f>
        <v>HOM agosto</v>
      </c>
      <c r="I319" s="107" t="str">
        <f ca="1">IFERROR(__xludf.DUMMYFUNCTION("""COMPUTED_VALUE"""),"agosto")</f>
        <v>agosto</v>
      </c>
      <c r="J319" s="107" t="str">
        <f ca="1">IFERROR(__xludf.DUMMYFUNCTION("""COMPUTED_VALUE"""),"HOM")</f>
        <v>HOM</v>
      </c>
      <c r="K319" s="40"/>
      <c r="L319" s="107" t="str">
        <f ca="1">IFERROR(__xludf.DUMMYFUNCTION("""COMPUTED_VALUE"""),"TRIMESTRE 3")</f>
        <v>TRIMESTRE 3</v>
      </c>
      <c r="M319" s="107" t="str">
        <f ca="1">IFERROR(__xludf.DUMMYFUNCTION("""COMPUTED_VALUE"""),"HOMBRES ADULTOS")</f>
        <v>HOMBRES ADULTOS</v>
      </c>
    </row>
    <row r="320" spans="1:13">
      <c r="A320" s="107" t="str">
        <f ca="1">IFERROR(__xludf.DUMMYFUNCTION("""COMPUTED_VALUE"""),"5.1.2.1")</f>
        <v>5.1.2.1</v>
      </c>
      <c r="B320" s="107" t="str">
        <f ca="1">IFERROR(__xludf.DUMMYFUNCTION("""COMPUTED_VALUE"""),"Atención Psicopedagógica Infantil/Dirección del Área de Centros de Inclusión/Dirección del Área de Centros de Inclusión/Coord.5. Inclusión")</f>
        <v>Atención Psicopedagógica Infantil/Dirección del Área de Centros de Inclusión/Dirección del Área de Centros de Inclusión/Coord.5. Inclusión</v>
      </c>
      <c r="C320" s="107" t="str">
        <f ca="1">IFERROR(__xludf.DUMMYFUNCTION("""COMPUTED_VALUE"""),"5. Inclusión")</f>
        <v>5. Inclusión</v>
      </c>
      <c r="D320" s="107" t="str">
        <f ca="1">IFERROR(__xludf.DUMMYFUNCTION("""COMPUTED_VALUE"""),"Guadalajara bien educada")</f>
        <v>Guadalajara bien educada</v>
      </c>
      <c r="E320" s="107" t="str">
        <f ca="1">IFERROR(__xludf.DUMMYFUNCTION("""COMPUTED_VALUE"""),"Atención Psicopedagógica Infantil")</f>
        <v>Atención Psicopedagógica Infantil</v>
      </c>
      <c r="F320" s="107" t="str">
        <f ca="1">IFERROR(__xludf.DUMMYFUNCTION("""COMPUTED_VALUE"""),"A1C2 Actividades de diagnóstico y valoración psicológica ejecutadas para niñas y niños que requieran atención en el CAPI")</f>
        <v>A1C2 Actividades de diagnóstico y valoración psicológica ejecutadas para niñas y niños que requieran atención en el CAPI</v>
      </c>
      <c r="G320" s="107" t="str">
        <f ca="1">IFERROR(__xludf.DUMMYFUNCTION("""COMPUTED_VALUE"""),"Porcentaje de diagnósticos y valoraciones realizados a niñas y niños que requieran atención en el CAPI en 2024")</f>
        <v>Porcentaje de diagnósticos y valoraciones realizados a niñas y niños que requieran atención en el CAPI en 2024</v>
      </c>
      <c r="H320" s="107" t="str">
        <f ca="1">IFERROR(__xludf.DUMMYFUNCTION("""COMPUTED_VALUE"""),"AMM agosto")</f>
        <v>AMM agosto</v>
      </c>
      <c r="I320" s="107" t="str">
        <f ca="1">IFERROR(__xludf.DUMMYFUNCTION("""COMPUTED_VALUE"""),"agosto")</f>
        <v>agosto</v>
      </c>
      <c r="J320" s="107" t="str">
        <f ca="1">IFERROR(__xludf.DUMMYFUNCTION("""COMPUTED_VALUE"""),"AMM")</f>
        <v>AMM</v>
      </c>
      <c r="K320" s="40"/>
      <c r="L320" s="107" t="str">
        <f ca="1">IFERROR(__xludf.DUMMYFUNCTION("""COMPUTED_VALUE"""),"TRIMESTRE 3")</f>
        <v>TRIMESTRE 3</v>
      </c>
      <c r="M320" s="107" t="str">
        <f ca="1">IFERROR(__xludf.DUMMYFUNCTION("""COMPUTED_VALUE"""),"ADULTA MAYOR MUJER")</f>
        <v>ADULTA MAYOR MUJER</v>
      </c>
    </row>
    <row r="321" spans="1:13">
      <c r="A321" s="107" t="str">
        <f ca="1">IFERROR(__xludf.DUMMYFUNCTION("""COMPUTED_VALUE"""),"5.1.2.1")</f>
        <v>5.1.2.1</v>
      </c>
      <c r="B321" s="107" t="str">
        <f ca="1">IFERROR(__xludf.DUMMYFUNCTION("""COMPUTED_VALUE"""),"Atención Psicopedagógica Infantil/Dirección del Área de Centros de Inclusión/Dirección del Área de Centros de Inclusión/Coord.5. Inclusión")</f>
        <v>Atención Psicopedagógica Infantil/Dirección del Área de Centros de Inclusión/Dirección del Área de Centros de Inclusión/Coord.5. Inclusión</v>
      </c>
      <c r="C321" s="107" t="str">
        <f ca="1">IFERROR(__xludf.DUMMYFUNCTION("""COMPUTED_VALUE"""),"5. Inclusión")</f>
        <v>5. Inclusión</v>
      </c>
      <c r="D321" s="107" t="str">
        <f ca="1">IFERROR(__xludf.DUMMYFUNCTION("""COMPUTED_VALUE"""),"Guadalajara bien educada")</f>
        <v>Guadalajara bien educada</v>
      </c>
      <c r="E321" s="107" t="str">
        <f ca="1">IFERROR(__xludf.DUMMYFUNCTION("""COMPUTED_VALUE"""),"Atención Psicopedagógica Infantil")</f>
        <v>Atención Psicopedagógica Infantil</v>
      </c>
      <c r="F321" s="107" t="str">
        <f ca="1">IFERROR(__xludf.DUMMYFUNCTION("""COMPUTED_VALUE"""),"A1C2 Actividades de diagnóstico y valoración psicológica ejecutadas para niñas y niños que requieran atención en el CAPI")</f>
        <v>A1C2 Actividades de diagnóstico y valoración psicológica ejecutadas para niñas y niños que requieran atención en el CAPI</v>
      </c>
      <c r="G321" s="107" t="str">
        <f ca="1">IFERROR(__xludf.DUMMYFUNCTION("""COMPUTED_VALUE"""),"Porcentaje de diagnósticos y valoraciones realizados a niñas y niños que requieran atención en el CAPI en 2024")</f>
        <v>Porcentaje de diagnósticos y valoraciones realizados a niñas y niños que requieran atención en el CAPI en 2024</v>
      </c>
      <c r="H321" s="107" t="str">
        <f ca="1">IFERROR(__xludf.DUMMYFUNCTION("""COMPUTED_VALUE"""),"AMH agosto")</f>
        <v>AMH agosto</v>
      </c>
      <c r="I321" s="107" t="str">
        <f ca="1">IFERROR(__xludf.DUMMYFUNCTION("""COMPUTED_VALUE"""),"agosto")</f>
        <v>agosto</v>
      </c>
      <c r="J321" s="107" t="str">
        <f ca="1">IFERROR(__xludf.DUMMYFUNCTION("""COMPUTED_VALUE"""),"AMH")</f>
        <v>AMH</v>
      </c>
      <c r="K321" s="40"/>
      <c r="L321" s="107" t="str">
        <f ca="1">IFERROR(__xludf.DUMMYFUNCTION("""COMPUTED_VALUE"""),"TRIMESTRE 3")</f>
        <v>TRIMESTRE 3</v>
      </c>
      <c r="M321" s="107" t="str">
        <f ca="1">IFERROR(__xludf.DUMMYFUNCTION("""COMPUTED_VALUE"""),"ADULTO MAYOR HOMBRE")</f>
        <v>ADULTO MAYOR HOMBRE</v>
      </c>
    </row>
    <row r="322" spans="1:13">
      <c r="A322" s="107" t="str">
        <f ca="1">IFERROR(__xludf.DUMMYFUNCTION("""COMPUTED_VALUE"""),"5.1.2.0")</f>
        <v>5.1.2.0</v>
      </c>
      <c r="B322" s="107" t="str">
        <f ca="1">IFERROR(__xludf.DUMMYFUNCTION("""COMPUTED_VALUE"""),"Atención Psicopedagógica Infantil/Jefatura del Departamento de CDI, CAIC  y CEDI/Dirección del Área de Centros de Atención Infantil/Coord.3. Operación")</f>
        <v>Atención Psicopedagógica Infantil/Jefatura del Departamento de CDI, CAIC  y CEDI/Dirección del Área de Centros de Atención Infantil/Coord.3. Operación</v>
      </c>
      <c r="C322" s="107" t="str">
        <f ca="1">IFERROR(__xludf.DUMMYFUNCTION("""COMPUTED_VALUE"""),"3. Operación")</f>
        <v>3. Operación</v>
      </c>
      <c r="D322" s="107" t="str">
        <f ca="1">IFERROR(__xludf.DUMMYFUNCTION("""COMPUTED_VALUE"""),"Guadalajara bien educada")</f>
        <v>Guadalajara bien educada</v>
      </c>
      <c r="E322" s="107" t="str">
        <f ca="1">IFERROR(__xludf.DUMMYFUNCTION("""COMPUTED_VALUE"""),"Atención Psicopedagógica Infantil")</f>
        <v>Atención Psicopedagógica Infantil</v>
      </c>
      <c r="F322" s="107" t="str">
        <f ca="1">IFERROR(__xludf.DUMMYFUNCTION("""COMPUTED_VALUE"""),"C2. Atenciones terapéuticas brindadas a niñas y niños con barreras de aprendizaje en el Centro de Atención Psicopedagógica Infantil")</f>
        <v>C2. Atenciones terapéuticas brindadas a niñas y niños con barreras de aprendizaje en el Centro de Atención Psicopedagógica Infantil</v>
      </c>
      <c r="G322" s="107" t="str">
        <f ca="1">IFERROR(__xludf.DUMMYFUNCTION("""COMPUTED_VALUE"""),"Promedio de personas atendidas con atención terapéutica - educativa en el Centro de Atención Psicopedagógica Infantil durante el 2024")</f>
        <v>Promedio de personas atendidas con atención terapéutica - educativa en el Centro de Atención Psicopedagógica Infantil durante el 2024</v>
      </c>
      <c r="H322" s="107" t="str">
        <f ca="1">IFERROR(__xludf.DUMMYFUNCTION("""COMPUTED_VALUE"""),"NAS septiembre")</f>
        <v>NAS septiembre</v>
      </c>
      <c r="I322" s="107" t="str">
        <f ca="1">IFERROR(__xludf.DUMMYFUNCTION("""COMPUTED_VALUE"""),"septiembre")</f>
        <v>septiembre</v>
      </c>
      <c r="J322" s="107" t="str">
        <f ca="1">IFERROR(__xludf.DUMMYFUNCTION("""COMPUTED_VALUE"""),"NAS")</f>
        <v>NAS</v>
      </c>
      <c r="K322" s="40">
        <f ca="1">IFERROR(__xludf.DUMMYFUNCTION("""COMPUTED_VALUE"""),0)</f>
        <v>0</v>
      </c>
      <c r="L322" s="107" t="str">
        <f ca="1">IFERROR(__xludf.DUMMYFUNCTION("""COMPUTED_VALUE"""),"TRIMESTRE 3")</f>
        <v>TRIMESTRE 3</v>
      </c>
      <c r="M322" s="107" t="str">
        <f ca="1">IFERROR(__xludf.DUMMYFUNCTION("""COMPUTED_VALUE"""),"NIÑAS")</f>
        <v>NIÑAS</v>
      </c>
    </row>
    <row r="323" spans="1:13">
      <c r="A323" s="107" t="str">
        <f ca="1">IFERROR(__xludf.DUMMYFUNCTION("""COMPUTED_VALUE"""),"5.1.2.0")</f>
        <v>5.1.2.0</v>
      </c>
      <c r="B323" s="107" t="str">
        <f ca="1">IFERROR(__xludf.DUMMYFUNCTION("""COMPUTED_VALUE"""),"Atención Psicopedagógica Infantil/Jefatura del Departamento de CDI, CAIC  y CEDI/Dirección del Área de Centros de Atención Infantil/Coord.3. Operación")</f>
        <v>Atención Psicopedagógica Infantil/Jefatura del Departamento de CDI, CAIC  y CEDI/Dirección del Área de Centros de Atención Infantil/Coord.3. Operación</v>
      </c>
      <c r="C323" s="107" t="str">
        <f ca="1">IFERROR(__xludf.DUMMYFUNCTION("""COMPUTED_VALUE"""),"3. Operación")</f>
        <v>3. Operación</v>
      </c>
      <c r="D323" s="107" t="str">
        <f ca="1">IFERROR(__xludf.DUMMYFUNCTION("""COMPUTED_VALUE"""),"Guadalajara bien educada")</f>
        <v>Guadalajara bien educada</v>
      </c>
      <c r="E323" s="107" t="str">
        <f ca="1">IFERROR(__xludf.DUMMYFUNCTION("""COMPUTED_VALUE"""),"Atención Psicopedagógica Infantil")</f>
        <v>Atención Psicopedagógica Infantil</v>
      </c>
      <c r="F323" s="107" t="str">
        <f ca="1">IFERROR(__xludf.DUMMYFUNCTION("""COMPUTED_VALUE"""),"C2. Atenciones terapéuticas brindadas a niñas y niños con barreras de aprendizaje en el Centro de Atención Psicopedagógica Infantil")</f>
        <v>C2. Atenciones terapéuticas brindadas a niñas y niños con barreras de aprendizaje en el Centro de Atención Psicopedagógica Infantil</v>
      </c>
      <c r="G323" s="107" t="str">
        <f ca="1">IFERROR(__xludf.DUMMYFUNCTION("""COMPUTED_VALUE"""),"Promedio de personas atendidas con atención terapéutica - educativa en el Centro de Atención Psicopedagógica Infantil durante el 2024")</f>
        <v>Promedio de personas atendidas con atención terapéutica - educativa en el Centro de Atención Psicopedagógica Infantil durante el 2024</v>
      </c>
      <c r="H323" s="107" t="str">
        <f ca="1">IFERROR(__xludf.DUMMYFUNCTION("""COMPUTED_VALUE"""),"NOS septiembre")</f>
        <v>NOS septiembre</v>
      </c>
      <c r="I323" s="107" t="str">
        <f ca="1">IFERROR(__xludf.DUMMYFUNCTION("""COMPUTED_VALUE"""),"septiembre")</f>
        <v>septiembre</v>
      </c>
      <c r="J323" s="107" t="str">
        <f ca="1">IFERROR(__xludf.DUMMYFUNCTION("""COMPUTED_VALUE"""),"NOS")</f>
        <v>NOS</v>
      </c>
      <c r="K323" s="40">
        <f ca="1">IFERROR(__xludf.DUMMYFUNCTION("""COMPUTED_VALUE"""),0)</f>
        <v>0</v>
      </c>
      <c r="L323" s="107" t="str">
        <f ca="1">IFERROR(__xludf.DUMMYFUNCTION("""COMPUTED_VALUE"""),"TRIMESTRE 3")</f>
        <v>TRIMESTRE 3</v>
      </c>
      <c r="M323" s="107" t="str">
        <f ca="1">IFERROR(__xludf.DUMMYFUNCTION("""COMPUTED_VALUE"""),"NIÑOS")</f>
        <v>NIÑOS</v>
      </c>
    </row>
    <row r="324" spans="1:13">
      <c r="A324" s="107" t="str">
        <f ca="1">IFERROR(__xludf.DUMMYFUNCTION("""COMPUTED_VALUE"""),"5.1.2.0")</f>
        <v>5.1.2.0</v>
      </c>
      <c r="B324" s="107" t="str">
        <f ca="1">IFERROR(__xludf.DUMMYFUNCTION("""COMPUTED_VALUE"""),"Atención Psicopedagógica Infantil/Jefatura del Departamento de CDI, CAIC  y CEDI/Dirección del Área de Centros de Atención Infantil/Coord.3. Operación")</f>
        <v>Atención Psicopedagógica Infantil/Jefatura del Departamento de CDI, CAIC  y CEDI/Dirección del Área de Centros de Atención Infantil/Coord.3. Operación</v>
      </c>
      <c r="C324" s="107" t="str">
        <f ca="1">IFERROR(__xludf.DUMMYFUNCTION("""COMPUTED_VALUE"""),"3. Operación")</f>
        <v>3. Operación</v>
      </c>
      <c r="D324" s="107" t="str">
        <f ca="1">IFERROR(__xludf.DUMMYFUNCTION("""COMPUTED_VALUE"""),"Guadalajara bien educada")</f>
        <v>Guadalajara bien educada</v>
      </c>
      <c r="E324" s="107" t="str">
        <f ca="1">IFERROR(__xludf.DUMMYFUNCTION("""COMPUTED_VALUE"""),"Atención Psicopedagógica Infantil")</f>
        <v>Atención Psicopedagógica Infantil</v>
      </c>
      <c r="F324" s="107" t="str">
        <f ca="1">IFERROR(__xludf.DUMMYFUNCTION("""COMPUTED_VALUE"""),"C2. Atenciones terapéuticas brindadas a niñas y niños con barreras de aprendizaje en el Centro de Atención Psicopedagógica Infantil")</f>
        <v>C2. Atenciones terapéuticas brindadas a niñas y niños con barreras de aprendizaje en el Centro de Atención Psicopedagógica Infantil</v>
      </c>
      <c r="G324" s="107" t="str">
        <f ca="1">IFERROR(__xludf.DUMMYFUNCTION("""COMPUTED_VALUE"""),"Promedio de personas atendidas con atención terapéutica - educativa en el Centro de Atención Psicopedagógica Infantil durante el 2024")</f>
        <v>Promedio de personas atendidas con atención terapéutica - educativa en el Centro de Atención Psicopedagógica Infantil durante el 2024</v>
      </c>
      <c r="H324" s="107" t="str">
        <f ca="1">IFERROR(__xludf.DUMMYFUNCTION("""COMPUTED_VALUE"""),"AM septiembre")</f>
        <v>AM septiembre</v>
      </c>
      <c r="I324" s="107" t="str">
        <f ca="1">IFERROR(__xludf.DUMMYFUNCTION("""COMPUTED_VALUE"""),"septiembre")</f>
        <v>septiembre</v>
      </c>
      <c r="J324" s="107" t="str">
        <f ca="1">IFERROR(__xludf.DUMMYFUNCTION("""COMPUTED_VALUE"""),"AM")</f>
        <v>AM</v>
      </c>
      <c r="K324" s="40">
        <f ca="1">IFERROR(__xludf.DUMMYFUNCTION("""COMPUTED_VALUE"""),0)</f>
        <v>0</v>
      </c>
      <c r="L324" s="107" t="str">
        <f ca="1">IFERROR(__xludf.DUMMYFUNCTION("""COMPUTED_VALUE"""),"TRIMESTRE 3")</f>
        <v>TRIMESTRE 3</v>
      </c>
      <c r="M324" s="107" t="str">
        <f ca="1">IFERROR(__xludf.DUMMYFUNCTION("""COMPUTED_VALUE"""),"ADOLESCENTES MUJERES")</f>
        <v>ADOLESCENTES MUJERES</v>
      </c>
    </row>
    <row r="325" spans="1:13">
      <c r="A325" s="107" t="str">
        <f ca="1">IFERROR(__xludf.DUMMYFUNCTION("""COMPUTED_VALUE"""),"5.1.2.0")</f>
        <v>5.1.2.0</v>
      </c>
      <c r="B325" s="107" t="str">
        <f ca="1">IFERROR(__xludf.DUMMYFUNCTION("""COMPUTED_VALUE"""),"Atención Psicopedagógica Infantil/Jefatura del Departamento de CDI, CAIC  y CEDI/Dirección del Área de Centros de Atención Infantil/Coord.3. Operación")</f>
        <v>Atención Psicopedagógica Infantil/Jefatura del Departamento de CDI, CAIC  y CEDI/Dirección del Área de Centros de Atención Infantil/Coord.3. Operación</v>
      </c>
      <c r="C325" s="107" t="str">
        <f ca="1">IFERROR(__xludf.DUMMYFUNCTION("""COMPUTED_VALUE"""),"3. Operación")</f>
        <v>3. Operación</v>
      </c>
      <c r="D325" s="107" t="str">
        <f ca="1">IFERROR(__xludf.DUMMYFUNCTION("""COMPUTED_VALUE"""),"Guadalajara bien educada")</f>
        <v>Guadalajara bien educada</v>
      </c>
      <c r="E325" s="107" t="str">
        <f ca="1">IFERROR(__xludf.DUMMYFUNCTION("""COMPUTED_VALUE"""),"Atención Psicopedagógica Infantil")</f>
        <v>Atención Psicopedagógica Infantil</v>
      </c>
      <c r="F325" s="107" t="str">
        <f ca="1">IFERROR(__xludf.DUMMYFUNCTION("""COMPUTED_VALUE"""),"C2. Atenciones terapéuticas brindadas a niñas y niños con barreras de aprendizaje en el Centro de Atención Psicopedagógica Infantil")</f>
        <v>C2. Atenciones terapéuticas brindadas a niñas y niños con barreras de aprendizaje en el Centro de Atención Psicopedagógica Infantil</v>
      </c>
      <c r="G325" s="107" t="str">
        <f ca="1">IFERROR(__xludf.DUMMYFUNCTION("""COMPUTED_VALUE"""),"Promedio de personas atendidas con atención terapéutica - educativa en el Centro de Atención Psicopedagógica Infantil durante el 2024")</f>
        <v>Promedio de personas atendidas con atención terapéutica - educativa en el Centro de Atención Psicopedagógica Infantil durante el 2024</v>
      </c>
      <c r="H325" s="107" t="str">
        <f ca="1">IFERROR(__xludf.DUMMYFUNCTION("""COMPUTED_VALUE"""),"AH septiembre")</f>
        <v>AH septiembre</v>
      </c>
      <c r="I325" s="107" t="str">
        <f ca="1">IFERROR(__xludf.DUMMYFUNCTION("""COMPUTED_VALUE"""),"septiembre")</f>
        <v>septiembre</v>
      </c>
      <c r="J325" s="107" t="str">
        <f ca="1">IFERROR(__xludf.DUMMYFUNCTION("""COMPUTED_VALUE"""),"AH")</f>
        <v>AH</v>
      </c>
      <c r="K325" s="40">
        <f ca="1">IFERROR(__xludf.DUMMYFUNCTION("""COMPUTED_VALUE"""),0)</f>
        <v>0</v>
      </c>
      <c r="L325" s="107" t="str">
        <f ca="1">IFERROR(__xludf.DUMMYFUNCTION("""COMPUTED_VALUE"""),"TRIMESTRE 3")</f>
        <v>TRIMESTRE 3</v>
      </c>
      <c r="M325" s="107" t="str">
        <f ca="1">IFERROR(__xludf.DUMMYFUNCTION("""COMPUTED_VALUE"""),"ADOLESCENTES HOMBRES")</f>
        <v>ADOLESCENTES HOMBRES</v>
      </c>
    </row>
    <row r="326" spans="1:13">
      <c r="A326" s="107" t="str">
        <f ca="1">IFERROR(__xludf.DUMMYFUNCTION("""COMPUTED_VALUE"""),"5.1.2.0")</f>
        <v>5.1.2.0</v>
      </c>
      <c r="B326" s="107" t="str">
        <f ca="1">IFERROR(__xludf.DUMMYFUNCTION("""COMPUTED_VALUE"""),"Atención Psicopedagógica Infantil/Jefatura del Departamento de CDI, CAIC  y CEDI/Dirección del Área de Centros de Atención Infantil/Coord.3. Operación")</f>
        <v>Atención Psicopedagógica Infantil/Jefatura del Departamento de CDI, CAIC  y CEDI/Dirección del Área de Centros de Atención Infantil/Coord.3. Operación</v>
      </c>
      <c r="C326" s="107" t="str">
        <f ca="1">IFERROR(__xludf.DUMMYFUNCTION("""COMPUTED_VALUE"""),"3. Operación")</f>
        <v>3. Operación</v>
      </c>
      <c r="D326" s="107" t="str">
        <f ca="1">IFERROR(__xludf.DUMMYFUNCTION("""COMPUTED_VALUE"""),"Guadalajara bien educada")</f>
        <v>Guadalajara bien educada</v>
      </c>
      <c r="E326" s="107" t="str">
        <f ca="1">IFERROR(__xludf.DUMMYFUNCTION("""COMPUTED_VALUE"""),"Atención Psicopedagógica Infantil")</f>
        <v>Atención Psicopedagógica Infantil</v>
      </c>
      <c r="F326" s="107" t="str">
        <f ca="1">IFERROR(__xludf.DUMMYFUNCTION("""COMPUTED_VALUE"""),"C2. Atenciones terapéuticas brindadas a niñas y niños con barreras de aprendizaje en el Centro de Atención Psicopedagógica Infantil")</f>
        <v>C2. Atenciones terapéuticas brindadas a niñas y niños con barreras de aprendizaje en el Centro de Atención Psicopedagógica Infantil</v>
      </c>
      <c r="G326" s="107" t="str">
        <f ca="1">IFERROR(__xludf.DUMMYFUNCTION("""COMPUTED_VALUE"""),"Promedio de personas atendidas con atención terapéutica - educativa en el Centro de Atención Psicopedagógica Infantil durante el 2024")</f>
        <v>Promedio de personas atendidas con atención terapéutica - educativa en el Centro de Atención Psicopedagógica Infantil durante el 2024</v>
      </c>
      <c r="H326" s="107" t="str">
        <f ca="1">IFERROR(__xludf.DUMMYFUNCTION("""COMPUTED_VALUE"""),"MUJ septiembre")</f>
        <v>MUJ septiembre</v>
      </c>
      <c r="I326" s="107" t="str">
        <f ca="1">IFERROR(__xludf.DUMMYFUNCTION("""COMPUTED_VALUE"""),"septiembre")</f>
        <v>septiembre</v>
      </c>
      <c r="J326" s="107" t="str">
        <f ca="1">IFERROR(__xludf.DUMMYFUNCTION("""COMPUTED_VALUE"""),"MUJ")</f>
        <v>MUJ</v>
      </c>
      <c r="K326" s="40"/>
      <c r="L326" s="107" t="str">
        <f ca="1">IFERROR(__xludf.DUMMYFUNCTION("""COMPUTED_VALUE"""),"TRIMESTRE 3")</f>
        <v>TRIMESTRE 3</v>
      </c>
      <c r="M326" s="107" t="str">
        <f ca="1">IFERROR(__xludf.DUMMYFUNCTION("""COMPUTED_VALUE"""),"MUJERES ADULTAS")</f>
        <v>MUJERES ADULTAS</v>
      </c>
    </row>
    <row r="327" spans="1:13">
      <c r="A327" s="107" t="str">
        <f ca="1">IFERROR(__xludf.DUMMYFUNCTION("""COMPUTED_VALUE"""),"5.1.2.0")</f>
        <v>5.1.2.0</v>
      </c>
      <c r="B327" s="107" t="str">
        <f ca="1">IFERROR(__xludf.DUMMYFUNCTION("""COMPUTED_VALUE"""),"Atención Psicopedagógica Infantil/Jefatura del Departamento de CDI, CAIC  y CEDI/Dirección del Área de Centros de Atención Infantil/Coord.3. Operación")</f>
        <v>Atención Psicopedagógica Infantil/Jefatura del Departamento de CDI, CAIC  y CEDI/Dirección del Área de Centros de Atención Infantil/Coord.3. Operación</v>
      </c>
      <c r="C327" s="107" t="str">
        <f ca="1">IFERROR(__xludf.DUMMYFUNCTION("""COMPUTED_VALUE"""),"3. Operación")</f>
        <v>3. Operación</v>
      </c>
      <c r="D327" s="107" t="str">
        <f ca="1">IFERROR(__xludf.DUMMYFUNCTION("""COMPUTED_VALUE"""),"Guadalajara bien educada")</f>
        <v>Guadalajara bien educada</v>
      </c>
      <c r="E327" s="107" t="str">
        <f ca="1">IFERROR(__xludf.DUMMYFUNCTION("""COMPUTED_VALUE"""),"Atención Psicopedagógica Infantil")</f>
        <v>Atención Psicopedagógica Infantil</v>
      </c>
      <c r="F327" s="107" t="str">
        <f ca="1">IFERROR(__xludf.DUMMYFUNCTION("""COMPUTED_VALUE"""),"C2. Atenciones terapéuticas brindadas a niñas y niños con barreras de aprendizaje en el Centro de Atención Psicopedagógica Infantil")</f>
        <v>C2. Atenciones terapéuticas brindadas a niñas y niños con barreras de aprendizaje en el Centro de Atención Psicopedagógica Infantil</v>
      </c>
      <c r="G327" s="107" t="str">
        <f ca="1">IFERROR(__xludf.DUMMYFUNCTION("""COMPUTED_VALUE"""),"Promedio de personas atendidas con atención terapéutica - educativa en el Centro de Atención Psicopedagógica Infantil durante el 2024")</f>
        <v>Promedio de personas atendidas con atención terapéutica - educativa en el Centro de Atención Psicopedagógica Infantil durante el 2024</v>
      </c>
      <c r="H327" s="107" t="str">
        <f ca="1">IFERROR(__xludf.DUMMYFUNCTION("""COMPUTED_VALUE"""),"HOM septiembre")</f>
        <v>HOM septiembre</v>
      </c>
      <c r="I327" s="107" t="str">
        <f ca="1">IFERROR(__xludf.DUMMYFUNCTION("""COMPUTED_VALUE"""),"septiembre")</f>
        <v>septiembre</v>
      </c>
      <c r="J327" s="107" t="str">
        <f ca="1">IFERROR(__xludf.DUMMYFUNCTION("""COMPUTED_VALUE"""),"HOM")</f>
        <v>HOM</v>
      </c>
      <c r="K327" s="40"/>
      <c r="L327" s="107" t="str">
        <f ca="1">IFERROR(__xludf.DUMMYFUNCTION("""COMPUTED_VALUE"""),"TRIMESTRE 3")</f>
        <v>TRIMESTRE 3</v>
      </c>
      <c r="M327" s="107" t="str">
        <f ca="1">IFERROR(__xludf.DUMMYFUNCTION("""COMPUTED_VALUE"""),"HOMBRES ADULTOS")</f>
        <v>HOMBRES ADULTOS</v>
      </c>
    </row>
    <row r="328" spans="1:13">
      <c r="A328" s="107" t="str">
        <f ca="1">IFERROR(__xludf.DUMMYFUNCTION("""COMPUTED_VALUE"""),"5.1.2.0")</f>
        <v>5.1.2.0</v>
      </c>
      <c r="B328" s="107" t="str">
        <f ca="1">IFERROR(__xludf.DUMMYFUNCTION("""COMPUTED_VALUE"""),"Atención Psicopedagógica Infantil/Jefatura del Departamento de CDI, CAIC  y CEDI/Dirección del Área de Centros de Atención Infantil/Coord.3. Operación")</f>
        <v>Atención Psicopedagógica Infantil/Jefatura del Departamento de CDI, CAIC  y CEDI/Dirección del Área de Centros de Atención Infantil/Coord.3. Operación</v>
      </c>
      <c r="C328" s="107" t="str">
        <f ca="1">IFERROR(__xludf.DUMMYFUNCTION("""COMPUTED_VALUE"""),"3. Operación")</f>
        <v>3. Operación</v>
      </c>
      <c r="D328" s="107" t="str">
        <f ca="1">IFERROR(__xludf.DUMMYFUNCTION("""COMPUTED_VALUE"""),"Guadalajara bien educada")</f>
        <v>Guadalajara bien educada</v>
      </c>
      <c r="E328" s="107" t="str">
        <f ca="1">IFERROR(__xludf.DUMMYFUNCTION("""COMPUTED_VALUE"""),"Atención Psicopedagógica Infantil")</f>
        <v>Atención Psicopedagógica Infantil</v>
      </c>
      <c r="F328" s="107" t="str">
        <f ca="1">IFERROR(__xludf.DUMMYFUNCTION("""COMPUTED_VALUE"""),"C2. Atenciones terapéuticas brindadas a niñas y niños con barreras de aprendizaje en el Centro de Atención Psicopedagógica Infantil")</f>
        <v>C2. Atenciones terapéuticas brindadas a niñas y niños con barreras de aprendizaje en el Centro de Atención Psicopedagógica Infantil</v>
      </c>
      <c r="G328" s="107" t="str">
        <f ca="1">IFERROR(__xludf.DUMMYFUNCTION("""COMPUTED_VALUE"""),"Promedio de personas atendidas con atención terapéutica - educativa en el Centro de Atención Psicopedagógica Infantil durante el 2024")</f>
        <v>Promedio de personas atendidas con atención terapéutica - educativa en el Centro de Atención Psicopedagógica Infantil durante el 2024</v>
      </c>
      <c r="H328" s="107" t="str">
        <f ca="1">IFERROR(__xludf.DUMMYFUNCTION("""COMPUTED_VALUE"""),"AMM septiembre")</f>
        <v>AMM septiembre</v>
      </c>
      <c r="I328" s="107" t="str">
        <f ca="1">IFERROR(__xludf.DUMMYFUNCTION("""COMPUTED_VALUE"""),"septiembre")</f>
        <v>septiembre</v>
      </c>
      <c r="J328" s="107" t="str">
        <f ca="1">IFERROR(__xludf.DUMMYFUNCTION("""COMPUTED_VALUE"""),"AMM")</f>
        <v>AMM</v>
      </c>
      <c r="K328" s="40"/>
      <c r="L328" s="107" t="str">
        <f ca="1">IFERROR(__xludf.DUMMYFUNCTION("""COMPUTED_VALUE"""),"TRIMESTRE 3")</f>
        <v>TRIMESTRE 3</v>
      </c>
      <c r="M328" s="107" t="str">
        <f ca="1">IFERROR(__xludf.DUMMYFUNCTION("""COMPUTED_VALUE"""),"ADULTA MAYOR MUJER")</f>
        <v>ADULTA MAYOR MUJER</v>
      </c>
    </row>
    <row r="329" spans="1:13">
      <c r="A329" s="107" t="str">
        <f ca="1">IFERROR(__xludf.DUMMYFUNCTION("""COMPUTED_VALUE"""),"5.1.2.0")</f>
        <v>5.1.2.0</v>
      </c>
      <c r="B329" s="107" t="str">
        <f ca="1">IFERROR(__xludf.DUMMYFUNCTION("""COMPUTED_VALUE"""),"Atención Psicopedagógica Infantil/Jefatura del Departamento de CDI, CAIC  y CEDI/Dirección del Área de Centros de Atención Infantil/Coord.3. Operación")</f>
        <v>Atención Psicopedagógica Infantil/Jefatura del Departamento de CDI, CAIC  y CEDI/Dirección del Área de Centros de Atención Infantil/Coord.3. Operación</v>
      </c>
      <c r="C329" s="107" t="str">
        <f ca="1">IFERROR(__xludf.DUMMYFUNCTION("""COMPUTED_VALUE"""),"3. Operación")</f>
        <v>3. Operación</v>
      </c>
      <c r="D329" s="107" t="str">
        <f ca="1">IFERROR(__xludf.DUMMYFUNCTION("""COMPUTED_VALUE"""),"Guadalajara bien educada")</f>
        <v>Guadalajara bien educada</v>
      </c>
      <c r="E329" s="107" t="str">
        <f ca="1">IFERROR(__xludf.DUMMYFUNCTION("""COMPUTED_VALUE"""),"Atención Psicopedagógica Infantil")</f>
        <v>Atención Psicopedagógica Infantil</v>
      </c>
      <c r="F329" s="107" t="str">
        <f ca="1">IFERROR(__xludf.DUMMYFUNCTION("""COMPUTED_VALUE"""),"C2. Atenciones terapéuticas brindadas a niñas y niños con barreras de aprendizaje en el Centro de Atención Psicopedagógica Infantil")</f>
        <v>C2. Atenciones terapéuticas brindadas a niñas y niños con barreras de aprendizaje en el Centro de Atención Psicopedagógica Infantil</v>
      </c>
      <c r="G329" s="107" t="str">
        <f ca="1">IFERROR(__xludf.DUMMYFUNCTION("""COMPUTED_VALUE"""),"Promedio de personas atendidas con atención terapéutica - educativa en el Centro de Atención Psicopedagógica Infantil durante el 2024")</f>
        <v>Promedio de personas atendidas con atención terapéutica - educativa en el Centro de Atención Psicopedagógica Infantil durante el 2024</v>
      </c>
      <c r="H329" s="107" t="str">
        <f ca="1">IFERROR(__xludf.DUMMYFUNCTION("""COMPUTED_VALUE"""),"AMH septiembre")</f>
        <v>AMH septiembre</v>
      </c>
      <c r="I329" s="107" t="str">
        <f ca="1">IFERROR(__xludf.DUMMYFUNCTION("""COMPUTED_VALUE"""),"septiembre")</f>
        <v>septiembre</v>
      </c>
      <c r="J329" s="107" t="str">
        <f ca="1">IFERROR(__xludf.DUMMYFUNCTION("""COMPUTED_VALUE"""),"AMH")</f>
        <v>AMH</v>
      </c>
      <c r="K329" s="40"/>
      <c r="L329" s="107" t="str">
        <f ca="1">IFERROR(__xludf.DUMMYFUNCTION("""COMPUTED_VALUE"""),"TRIMESTRE 3")</f>
        <v>TRIMESTRE 3</v>
      </c>
      <c r="M329" s="107" t="str">
        <f ca="1">IFERROR(__xludf.DUMMYFUNCTION("""COMPUTED_VALUE"""),"ADULTO MAYOR HOMBRE")</f>
        <v>ADULTO MAYOR HOMBRE</v>
      </c>
    </row>
    <row r="330" spans="1:13">
      <c r="A330" s="107" t="str">
        <f ca="1">IFERROR(__xludf.DUMMYFUNCTION("""COMPUTED_VALUE"""),"5.1.2.1")</f>
        <v>5.1.2.1</v>
      </c>
      <c r="B330" s="107" t="str">
        <f ca="1">IFERROR(__xludf.DUMMYFUNCTION("""COMPUTED_VALUE"""),"Atención Psicopedagógica Infantil/Dirección del Área de Centros de Inclusión/Dirección del Área de Centros de Inclusión/Coord.5. Inclusión")</f>
        <v>Atención Psicopedagógica Infantil/Dirección del Área de Centros de Inclusión/Dirección del Área de Centros de Inclusión/Coord.5. Inclusión</v>
      </c>
      <c r="C330" s="107" t="str">
        <f ca="1">IFERROR(__xludf.DUMMYFUNCTION("""COMPUTED_VALUE"""),"5. Inclusión")</f>
        <v>5. Inclusión</v>
      </c>
      <c r="D330" s="107" t="str">
        <f ca="1">IFERROR(__xludf.DUMMYFUNCTION("""COMPUTED_VALUE"""),"Guadalajara bien educada")</f>
        <v>Guadalajara bien educada</v>
      </c>
      <c r="E330" s="107" t="str">
        <f ca="1">IFERROR(__xludf.DUMMYFUNCTION("""COMPUTED_VALUE"""),"Atención Psicopedagógica Infantil")</f>
        <v>Atención Psicopedagógica Infantil</v>
      </c>
      <c r="F330" s="107" t="str">
        <f ca="1">IFERROR(__xludf.DUMMYFUNCTION("""COMPUTED_VALUE"""),"A1C2 Actividades de diagnóstico y valoración psicológica ejecutadas para niñas y niños que requieran atención en el CAPI")</f>
        <v>A1C2 Actividades de diagnóstico y valoración psicológica ejecutadas para niñas y niños que requieran atención en el CAPI</v>
      </c>
      <c r="G330" s="107" t="str">
        <f ca="1">IFERROR(__xludf.DUMMYFUNCTION("""COMPUTED_VALUE"""),"Porcentaje de diagnósticos y valoraciones realizados a niñas y niños que requieran atención en el CAPI en 2024")</f>
        <v>Porcentaje de diagnósticos y valoraciones realizados a niñas y niños que requieran atención en el CAPI en 2024</v>
      </c>
      <c r="H330" s="107" t="str">
        <f ca="1">IFERROR(__xludf.DUMMYFUNCTION("""COMPUTED_VALUE"""),"NAS septiembre")</f>
        <v>NAS septiembre</v>
      </c>
      <c r="I330" s="107" t="str">
        <f ca="1">IFERROR(__xludf.DUMMYFUNCTION("""COMPUTED_VALUE"""),"septiembre")</f>
        <v>septiembre</v>
      </c>
      <c r="J330" s="107" t="str">
        <f ca="1">IFERROR(__xludf.DUMMYFUNCTION("""COMPUTED_VALUE"""),"NAS")</f>
        <v>NAS</v>
      </c>
      <c r="K330" s="40">
        <f ca="1">IFERROR(__xludf.DUMMYFUNCTION("""COMPUTED_VALUE"""),0)</f>
        <v>0</v>
      </c>
      <c r="L330" s="107" t="str">
        <f ca="1">IFERROR(__xludf.DUMMYFUNCTION("""COMPUTED_VALUE"""),"TRIMESTRE 3")</f>
        <v>TRIMESTRE 3</v>
      </c>
      <c r="M330" s="107" t="str">
        <f ca="1">IFERROR(__xludf.DUMMYFUNCTION("""COMPUTED_VALUE"""),"NIÑAS")</f>
        <v>NIÑAS</v>
      </c>
    </row>
    <row r="331" spans="1:13">
      <c r="A331" s="107" t="str">
        <f ca="1">IFERROR(__xludf.DUMMYFUNCTION("""COMPUTED_VALUE"""),"5.1.2.1")</f>
        <v>5.1.2.1</v>
      </c>
      <c r="B331" s="107" t="str">
        <f ca="1">IFERROR(__xludf.DUMMYFUNCTION("""COMPUTED_VALUE"""),"Atención Psicopedagógica Infantil/Dirección del Área de Centros de Inclusión/Dirección del Área de Centros de Inclusión/Coord.5. Inclusión")</f>
        <v>Atención Psicopedagógica Infantil/Dirección del Área de Centros de Inclusión/Dirección del Área de Centros de Inclusión/Coord.5. Inclusión</v>
      </c>
      <c r="C331" s="107" t="str">
        <f ca="1">IFERROR(__xludf.DUMMYFUNCTION("""COMPUTED_VALUE"""),"5. Inclusión")</f>
        <v>5. Inclusión</v>
      </c>
      <c r="D331" s="107" t="str">
        <f ca="1">IFERROR(__xludf.DUMMYFUNCTION("""COMPUTED_VALUE"""),"Guadalajara bien educada")</f>
        <v>Guadalajara bien educada</v>
      </c>
      <c r="E331" s="107" t="str">
        <f ca="1">IFERROR(__xludf.DUMMYFUNCTION("""COMPUTED_VALUE"""),"Atención Psicopedagógica Infantil")</f>
        <v>Atención Psicopedagógica Infantil</v>
      </c>
      <c r="F331" s="107" t="str">
        <f ca="1">IFERROR(__xludf.DUMMYFUNCTION("""COMPUTED_VALUE"""),"A1C2 Actividades de diagnóstico y valoración psicológica ejecutadas para niñas y niños que requieran atención en el CAPI")</f>
        <v>A1C2 Actividades de diagnóstico y valoración psicológica ejecutadas para niñas y niños que requieran atención en el CAPI</v>
      </c>
      <c r="G331" s="107" t="str">
        <f ca="1">IFERROR(__xludf.DUMMYFUNCTION("""COMPUTED_VALUE"""),"Porcentaje de diagnósticos y valoraciones realizados a niñas y niños que requieran atención en el CAPI en 2024")</f>
        <v>Porcentaje de diagnósticos y valoraciones realizados a niñas y niños que requieran atención en el CAPI en 2024</v>
      </c>
      <c r="H331" s="107" t="str">
        <f ca="1">IFERROR(__xludf.DUMMYFUNCTION("""COMPUTED_VALUE"""),"NOS septiembre")</f>
        <v>NOS septiembre</v>
      </c>
      <c r="I331" s="107" t="str">
        <f ca="1">IFERROR(__xludf.DUMMYFUNCTION("""COMPUTED_VALUE"""),"septiembre")</f>
        <v>septiembre</v>
      </c>
      <c r="J331" s="107" t="str">
        <f ca="1">IFERROR(__xludf.DUMMYFUNCTION("""COMPUTED_VALUE"""),"NOS")</f>
        <v>NOS</v>
      </c>
      <c r="K331" s="40">
        <f ca="1">IFERROR(__xludf.DUMMYFUNCTION("""COMPUTED_VALUE"""),0)</f>
        <v>0</v>
      </c>
      <c r="L331" s="107" t="str">
        <f ca="1">IFERROR(__xludf.DUMMYFUNCTION("""COMPUTED_VALUE"""),"TRIMESTRE 3")</f>
        <v>TRIMESTRE 3</v>
      </c>
      <c r="M331" s="107" t="str">
        <f ca="1">IFERROR(__xludf.DUMMYFUNCTION("""COMPUTED_VALUE"""),"NIÑOS")</f>
        <v>NIÑOS</v>
      </c>
    </row>
    <row r="332" spans="1:13">
      <c r="A332" s="107" t="str">
        <f ca="1">IFERROR(__xludf.DUMMYFUNCTION("""COMPUTED_VALUE"""),"5.1.2.1")</f>
        <v>5.1.2.1</v>
      </c>
      <c r="B332" s="107" t="str">
        <f ca="1">IFERROR(__xludf.DUMMYFUNCTION("""COMPUTED_VALUE"""),"Atención Psicopedagógica Infantil/Dirección del Área de Centros de Inclusión/Dirección del Área de Centros de Inclusión/Coord.5. Inclusión")</f>
        <v>Atención Psicopedagógica Infantil/Dirección del Área de Centros de Inclusión/Dirección del Área de Centros de Inclusión/Coord.5. Inclusión</v>
      </c>
      <c r="C332" s="107" t="str">
        <f ca="1">IFERROR(__xludf.DUMMYFUNCTION("""COMPUTED_VALUE"""),"5. Inclusión")</f>
        <v>5. Inclusión</v>
      </c>
      <c r="D332" s="107" t="str">
        <f ca="1">IFERROR(__xludf.DUMMYFUNCTION("""COMPUTED_VALUE"""),"Guadalajara bien educada")</f>
        <v>Guadalajara bien educada</v>
      </c>
      <c r="E332" s="107" t="str">
        <f ca="1">IFERROR(__xludf.DUMMYFUNCTION("""COMPUTED_VALUE"""),"Atención Psicopedagógica Infantil")</f>
        <v>Atención Psicopedagógica Infantil</v>
      </c>
      <c r="F332" s="107" t="str">
        <f ca="1">IFERROR(__xludf.DUMMYFUNCTION("""COMPUTED_VALUE"""),"A1C2 Actividades de diagnóstico y valoración psicológica ejecutadas para niñas y niños que requieran atención en el CAPI")</f>
        <v>A1C2 Actividades de diagnóstico y valoración psicológica ejecutadas para niñas y niños que requieran atención en el CAPI</v>
      </c>
      <c r="G332" s="107" t="str">
        <f ca="1">IFERROR(__xludf.DUMMYFUNCTION("""COMPUTED_VALUE"""),"Porcentaje de diagnósticos y valoraciones realizados a niñas y niños que requieran atención en el CAPI en 2024")</f>
        <v>Porcentaje de diagnósticos y valoraciones realizados a niñas y niños que requieran atención en el CAPI en 2024</v>
      </c>
      <c r="H332" s="107" t="str">
        <f ca="1">IFERROR(__xludf.DUMMYFUNCTION("""COMPUTED_VALUE"""),"AM septiembre")</f>
        <v>AM septiembre</v>
      </c>
      <c r="I332" s="107" t="str">
        <f ca="1">IFERROR(__xludf.DUMMYFUNCTION("""COMPUTED_VALUE"""),"septiembre")</f>
        <v>septiembre</v>
      </c>
      <c r="J332" s="107" t="str">
        <f ca="1">IFERROR(__xludf.DUMMYFUNCTION("""COMPUTED_VALUE"""),"AM")</f>
        <v>AM</v>
      </c>
      <c r="K332" s="40">
        <f ca="1">IFERROR(__xludf.DUMMYFUNCTION("""COMPUTED_VALUE"""),0)</f>
        <v>0</v>
      </c>
      <c r="L332" s="107" t="str">
        <f ca="1">IFERROR(__xludf.DUMMYFUNCTION("""COMPUTED_VALUE"""),"TRIMESTRE 3")</f>
        <v>TRIMESTRE 3</v>
      </c>
      <c r="M332" s="107" t="str">
        <f ca="1">IFERROR(__xludf.DUMMYFUNCTION("""COMPUTED_VALUE"""),"ADOLESCENTES MUJERES")</f>
        <v>ADOLESCENTES MUJERES</v>
      </c>
    </row>
    <row r="333" spans="1:13">
      <c r="A333" s="107" t="str">
        <f ca="1">IFERROR(__xludf.DUMMYFUNCTION("""COMPUTED_VALUE"""),"5.1.2.1")</f>
        <v>5.1.2.1</v>
      </c>
      <c r="B333" s="107" t="str">
        <f ca="1">IFERROR(__xludf.DUMMYFUNCTION("""COMPUTED_VALUE"""),"Atención Psicopedagógica Infantil/Dirección del Área de Centros de Inclusión/Dirección del Área de Centros de Inclusión/Coord.5. Inclusión")</f>
        <v>Atención Psicopedagógica Infantil/Dirección del Área de Centros de Inclusión/Dirección del Área de Centros de Inclusión/Coord.5. Inclusión</v>
      </c>
      <c r="C333" s="107" t="str">
        <f ca="1">IFERROR(__xludf.DUMMYFUNCTION("""COMPUTED_VALUE"""),"5. Inclusión")</f>
        <v>5. Inclusión</v>
      </c>
      <c r="D333" s="107" t="str">
        <f ca="1">IFERROR(__xludf.DUMMYFUNCTION("""COMPUTED_VALUE"""),"Guadalajara bien educada")</f>
        <v>Guadalajara bien educada</v>
      </c>
      <c r="E333" s="107" t="str">
        <f ca="1">IFERROR(__xludf.DUMMYFUNCTION("""COMPUTED_VALUE"""),"Atención Psicopedagógica Infantil")</f>
        <v>Atención Psicopedagógica Infantil</v>
      </c>
      <c r="F333" s="107" t="str">
        <f ca="1">IFERROR(__xludf.DUMMYFUNCTION("""COMPUTED_VALUE"""),"A1C2 Actividades de diagnóstico y valoración psicológica ejecutadas para niñas y niños que requieran atención en el CAPI")</f>
        <v>A1C2 Actividades de diagnóstico y valoración psicológica ejecutadas para niñas y niños que requieran atención en el CAPI</v>
      </c>
      <c r="G333" s="107" t="str">
        <f ca="1">IFERROR(__xludf.DUMMYFUNCTION("""COMPUTED_VALUE"""),"Porcentaje de diagnósticos y valoraciones realizados a niñas y niños que requieran atención en el CAPI en 2024")</f>
        <v>Porcentaje de diagnósticos y valoraciones realizados a niñas y niños que requieran atención en el CAPI en 2024</v>
      </c>
      <c r="H333" s="107" t="str">
        <f ca="1">IFERROR(__xludf.DUMMYFUNCTION("""COMPUTED_VALUE"""),"AH septiembre")</f>
        <v>AH septiembre</v>
      </c>
      <c r="I333" s="107" t="str">
        <f ca="1">IFERROR(__xludf.DUMMYFUNCTION("""COMPUTED_VALUE"""),"septiembre")</f>
        <v>septiembre</v>
      </c>
      <c r="J333" s="107" t="str">
        <f ca="1">IFERROR(__xludf.DUMMYFUNCTION("""COMPUTED_VALUE"""),"AH")</f>
        <v>AH</v>
      </c>
      <c r="K333" s="40">
        <f ca="1">IFERROR(__xludf.DUMMYFUNCTION("""COMPUTED_VALUE"""),0)</f>
        <v>0</v>
      </c>
      <c r="L333" s="107" t="str">
        <f ca="1">IFERROR(__xludf.DUMMYFUNCTION("""COMPUTED_VALUE"""),"TRIMESTRE 3")</f>
        <v>TRIMESTRE 3</v>
      </c>
      <c r="M333" s="107" t="str">
        <f ca="1">IFERROR(__xludf.DUMMYFUNCTION("""COMPUTED_VALUE"""),"ADOLESCENTES HOMBRES")</f>
        <v>ADOLESCENTES HOMBRES</v>
      </c>
    </row>
    <row r="334" spans="1:13">
      <c r="A334" s="107" t="str">
        <f ca="1">IFERROR(__xludf.DUMMYFUNCTION("""COMPUTED_VALUE"""),"5.1.2.1")</f>
        <v>5.1.2.1</v>
      </c>
      <c r="B334" s="107" t="str">
        <f ca="1">IFERROR(__xludf.DUMMYFUNCTION("""COMPUTED_VALUE"""),"Atención Psicopedagógica Infantil/Dirección del Área de Centros de Inclusión/Dirección del Área de Centros de Inclusión/Coord.5. Inclusión")</f>
        <v>Atención Psicopedagógica Infantil/Dirección del Área de Centros de Inclusión/Dirección del Área de Centros de Inclusión/Coord.5. Inclusión</v>
      </c>
      <c r="C334" s="107" t="str">
        <f ca="1">IFERROR(__xludf.DUMMYFUNCTION("""COMPUTED_VALUE"""),"5. Inclusión")</f>
        <v>5. Inclusión</v>
      </c>
      <c r="D334" s="107" t="str">
        <f ca="1">IFERROR(__xludf.DUMMYFUNCTION("""COMPUTED_VALUE"""),"Guadalajara bien educada")</f>
        <v>Guadalajara bien educada</v>
      </c>
      <c r="E334" s="107" t="str">
        <f ca="1">IFERROR(__xludf.DUMMYFUNCTION("""COMPUTED_VALUE"""),"Atención Psicopedagógica Infantil")</f>
        <v>Atención Psicopedagógica Infantil</v>
      </c>
      <c r="F334" s="107" t="str">
        <f ca="1">IFERROR(__xludf.DUMMYFUNCTION("""COMPUTED_VALUE"""),"A1C2 Actividades de diagnóstico y valoración psicológica ejecutadas para niñas y niños que requieran atención en el CAPI")</f>
        <v>A1C2 Actividades de diagnóstico y valoración psicológica ejecutadas para niñas y niños que requieran atención en el CAPI</v>
      </c>
      <c r="G334" s="107" t="str">
        <f ca="1">IFERROR(__xludf.DUMMYFUNCTION("""COMPUTED_VALUE"""),"Porcentaje de diagnósticos y valoraciones realizados a niñas y niños que requieran atención en el CAPI en 2024")</f>
        <v>Porcentaje de diagnósticos y valoraciones realizados a niñas y niños que requieran atención en el CAPI en 2024</v>
      </c>
      <c r="H334" s="107" t="str">
        <f ca="1">IFERROR(__xludf.DUMMYFUNCTION("""COMPUTED_VALUE"""),"MUJ septiembre")</f>
        <v>MUJ septiembre</v>
      </c>
      <c r="I334" s="107" t="str">
        <f ca="1">IFERROR(__xludf.DUMMYFUNCTION("""COMPUTED_VALUE"""),"septiembre")</f>
        <v>septiembre</v>
      </c>
      <c r="J334" s="107" t="str">
        <f ca="1">IFERROR(__xludf.DUMMYFUNCTION("""COMPUTED_VALUE"""),"MUJ")</f>
        <v>MUJ</v>
      </c>
      <c r="K334" s="40"/>
      <c r="L334" s="107" t="str">
        <f ca="1">IFERROR(__xludf.DUMMYFUNCTION("""COMPUTED_VALUE"""),"TRIMESTRE 3")</f>
        <v>TRIMESTRE 3</v>
      </c>
      <c r="M334" s="107" t="str">
        <f ca="1">IFERROR(__xludf.DUMMYFUNCTION("""COMPUTED_VALUE"""),"MUJERES ADULTAS")</f>
        <v>MUJERES ADULTAS</v>
      </c>
    </row>
    <row r="335" spans="1:13">
      <c r="A335" s="107" t="str">
        <f ca="1">IFERROR(__xludf.DUMMYFUNCTION("""COMPUTED_VALUE"""),"5.1.2.1")</f>
        <v>5.1.2.1</v>
      </c>
      <c r="B335" s="107" t="str">
        <f ca="1">IFERROR(__xludf.DUMMYFUNCTION("""COMPUTED_VALUE"""),"Atención Psicopedagógica Infantil/Dirección del Área de Centros de Inclusión/Dirección del Área de Centros de Inclusión/Coord.5. Inclusión")</f>
        <v>Atención Psicopedagógica Infantil/Dirección del Área de Centros de Inclusión/Dirección del Área de Centros de Inclusión/Coord.5. Inclusión</v>
      </c>
      <c r="C335" s="107" t="str">
        <f ca="1">IFERROR(__xludf.DUMMYFUNCTION("""COMPUTED_VALUE"""),"5. Inclusión")</f>
        <v>5. Inclusión</v>
      </c>
      <c r="D335" s="107" t="str">
        <f ca="1">IFERROR(__xludf.DUMMYFUNCTION("""COMPUTED_VALUE"""),"Guadalajara bien educada")</f>
        <v>Guadalajara bien educada</v>
      </c>
      <c r="E335" s="107" t="str">
        <f ca="1">IFERROR(__xludf.DUMMYFUNCTION("""COMPUTED_VALUE"""),"Atención Psicopedagógica Infantil")</f>
        <v>Atención Psicopedagógica Infantil</v>
      </c>
      <c r="F335" s="107" t="str">
        <f ca="1">IFERROR(__xludf.DUMMYFUNCTION("""COMPUTED_VALUE"""),"A1C2 Actividades de diagnóstico y valoración psicológica ejecutadas para niñas y niños que requieran atención en el CAPI")</f>
        <v>A1C2 Actividades de diagnóstico y valoración psicológica ejecutadas para niñas y niños que requieran atención en el CAPI</v>
      </c>
      <c r="G335" s="107" t="str">
        <f ca="1">IFERROR(__xludf.DUMMYFUNCTION("""COMPUTED_VALUE"""),"Porcentaje de diagnósticos y valoraciones realizados a niñas y niños que requieran atención en el CAPI en 2024")</f>
        <v>Porcentaje de diagnósticos y valoraciones realizados a niñas y niños que requieran atención en el CAPI en 2024</v>
      </c>
      <c r="H335" s="107" t="str">
        <f ca="1">IFERROR(__xludf.DUMMYFUNCTION("""COMPUTED_VALUE"""),"HOM septiembre")</f>
        <v>HOM septiembre</v>
      </c>
      <c r="I335" s="107" t="str">
        <f ca="1">IFERROR(__xludf.DUMMYFUNCTION("""COMPUTED_VALUE"""),"septiembre")</f>
        <v>septiembre</v>
      </c>
      <c r="J335" s="107" t="str">
        <f ca="1">IFERROR(__xludf.DUMMYFUNCTION("""COMPUTED_VALUE"""),"HOM")</f>
        <v>HOM</v>
      </c>
      <c r="K335" s="40"/>
      <c r="L335" s="107" t="str">
        <f ca="1">IFERROR(__xludf.DUMMYFUNCTION("""COMPUTED_VALUE"""),"TRIMESTRE 3")</f>
        <v>TRIMESTRE 3</v>
      </c>
      <c r="M335" s="107" t="str">
        <f ca="1">IFERROR(__xludf.DUMMYFUNCTION("""COMPUTED_VALUE"""),"HOMBRES ADULTOS")</f>
        <v>HOMBRES ADULTOS</v>
      </c>
    </row>
    <row r="336" spans="1:13">
      <c r="A336" s="107" t="str">
        <f ca="1">IFERROR(__xludf.DUMMYFUNCTION("""COMPUTED_VALUE"""),"5.1.2.1")</f>
        <v>5.1.2.1</v>
      </c>
      <c r="B336" s="107" t="str">
        <f ca="1">IFERROR(__xludf.DUMMYFUNCTION("""COMPUTED_VALUE"""),"Atención Psicopedagógica Infantil/Dirección del Área de Centros de Inclusión/Dirección del Área de Centros de Inclusión/Coord.5. Inclusión")</f>
        <v>Atención Psicopedagógica Infantil/Dirección del Área de Centros de Inclusión/Dirección del Área de Centros de Inclusión/Coord.5. Inclusión</v>
      </c>
      <c r="C336" s="107" t="str">
        <f ca="1">IFERROR(__xludf.DUMMYFUNCTION("""COMPUTED_VALUE"""),"5. Inclusión")</f>
        <v>5. Inclusión</v>
      </c>
      <c r="D336" s="107" t="str">
        <f ca="1">IFERROR(__xludf.DUMMYFUNCTION("""COMPUTED_VALUE"""),"Guadalajara bien educada")</f>
        <v>Guadalajara bien educada</v>
      </c>
      <c r="E336" s="107" t="str">
        <f ca="1">IFERROR(__xludf.DUMMYFUNCTION("""COMPUTED_VALUE"""),"Atención Psicopedagógica Infantil")</f>
        <v>Atención Psicopedagógica Infantil</v>
      </c>
      <c r="F336" s="107" t="str">
        <f ca="1">IFERROR(__xludf.DUMMYFUNCTION("""COMPUTED_VALUE"""),"A1C2 Actividades de diagnóstico y valoración psicológica ejecutadas para niñas y niños que requieran atención en el CAPI")</f>
        <v>A1C2 Actividades de diagnóstico y valoración psicológica ejecutadas para niñas y niños que requieran atención en el CAPI</v>
      </c>
      <c r="G336" s="107" t="str">
        <f ca="1">IFERROR(__xludf.DUMMYFUNCTION("""COMPUTED_VALUE"""),"Porcentaje de diagnósticos y valoraciones realizados a niñas y niños que requieran atención en el CAPI en 2024")</f>
        <v>Porcentaje de diagnósticos y valoraciones realizados a niñas y niños que requieran atención en el CAPI en 2024</v>
      </c>
      <c r="H336" s="107" t="str">
        <f ca="1">IFERROR(__xludf.DUMMYFUNCTION("""COMPUTED_VALUE"""),"AMM septiembre")</f>
        <v>AMM septiembre</v>
      </c>
      <c r="I336" s="107" t="str">
        <f ca="1">IFERROR(__xludf.DUMMYFUNCTION("""COMPUTED_VALUE"""),"septiembre")</f>
        <v>septiembre</v>
      </c>
      <c r="J336" s="107" t="str">
        <f ca="1">IFERROR(__xludf.DUMMYFUNCTION("""COMPUTED_VALUE"""),"AMM")</f>
        <v>AMM</v>
      </c>
      <c r="K336" s="40"/>
      <c r="L336" s="107" t="str">
        <f ca="1">IFERROR(__xludf.DUMMYFUNCTION("""COMPUTED_VALUE"""),"TRIMESTRE 3")</f>
        <v>TRIMESTRE 3</v>
      </c>
      <c r="M336" s="107" t="str">
        <f ca="1">IFERROR(__xludf.DUMMYFUNCTION("""COMPUTED_VALUE"""),"ADULTA MAYOR MUJER")</f>
        <v>ADULTA MAYOR MUJER</v>
      </c>
    </row>
    <row r="337" spans="1:13">
      <c r="A337" s="107" t="str">
        <f ca="1">IFERROR(__xludf.DUMMYFUNCTION("""COMPUTED_VALUE"""),"5.1.2.1")</f>
        <v>5.1.2.1</v>
      </c>
      <c r="B337" s="107" t="str">
        <f ca="1">IFERROR(__xludf.DUMMYFUNCTION("""COMPUTED_VALUE"""),"Atención Psicopedagógica Infantil/Dirección del Área de Centros de Inclusión/Dirección del Área de Centros de Inclusión/Coord.5. Inclusión")</f>
        <v>Atención Psicopedagógica Infantil/Dirección del Área de Centros de Inclusión/Dirección del Área de Centros de Inclusión/Coord.5. Inclusión</v>
      </c>
      <c r="C337" s="107" t="str">
        <f ca="1">IFERROR(__xludf.DUMMYFUNCTION("""COMPUTED_VALUE"""),"5. Inclusión")</f>
        <v>5. Inclusión</v>
      </c>
      <c r="D337" s="107" t="str">
        <f ca="1">IFERROR(__xludf.DUMMYFUNCTION("""COMPUTED_VALUE"""),"Guadalajara bien educada")</f>
        <v>Guadalajara bien educada</v>
      </c>
      <c r="E337" s="107" t="str">
        <f ca="1">IFERROR(__xludf.DUMMYFUNCTION("""COMPUTED_VALUE"""),"Atención Psicopedagógica Infantil")</f>
        <v>Atención Psicopedagógica Infantil</v>
      </c>
      <c r="F337" s="107" t="str">
        <f ca="1">IFERROR(__xludf.DUMMYFUNCTION("""COMPUTED_VALUE"""),"A1C2 Actividades de diagnóstico y valoración psicológica ejecutadas para niñas y niños que requieran atención en el CAPI")</f>
        <v>A1C2 Actividades de diagnóstico y valoración psicológica ejecutadas para niñas y niños que requieran atención en el CAPI</v>
      </c>
      <c r="G337" s="107" t="str">
        <f ca="1">IFERROR(__xludf.DUMMYFUNCTION("""COMPUTED_VALUE"""),"Porcentaje de diagnósticos y valoraciones realizados a niñas y niños que requieran atención en el CAPI en 2024")</f>
        <v>Porcentaje de diagnósticos y valoraciones realizados a niñas y niños que requieran atención en el CAPI en 2024</v>
      </c>
      <c r="H337" s="107" t="str">
        <f ca="1">IFERROR(__xludf.DUMMYFUNCTION("""COMPUTED_VALUE"""),"AMH septiembre")</f>
        <v>AMH septiembre</v>
      </c>
      <c r="I337" s="107" t="str">
        <f ca="1">IFERROR(__xludf.DUMMYFUNCTION("""COMPUTED_VALUE"""),"septiembre")</f>
        <v>septiembre</v>
      </c>
      <c r="J337" s="107" t="str">
        <f ca="1">IFERROR(__xludf.DUMMYFUNCTION("""COMPUTED_VALUE"""),"AMH")</f>
        <v>AMH</v>
      </c>
      <c r="K337" s="40"/>
      <c r="L337" s="107" t="str">
        <f ca="1">IFERROR(__xludf.DUMMYFUNCTION("""COMPUTED_VALUE"""),"TRIMESTRE 3")</f>
        <v>TRIMESTRE 3</v>
      </c>
      <c r="M337" s="107" t="str">
        <f ca="1">IFERROR(__xludf.DUMMYFUNCTION("""COMPUTED_VALUE"""),"ADULTO MAYOR HOMBRE")</f>
        <v>ADULTO MAYOR HOMBRE</v>
      </c>
    </row>
    <row r="338" spans="1:13">
      <c r="A338" s="107" t="str">
        <f ca="1">IFERROR(__xludf.DUMMYFUNCTION("""COMPUTED_VALUE"""),"5.1.2.0")</f>
        <v>5.1.2.0</v>
      </c>
      <c r="B338" s="107" t="str">
        <f ca="1">IFERROR(__xludf.DUMMYFUNCTION("""COMPUTED_VALUE"""),"Atención Psicopedagógica Infantil/Jefatura del Departamento de CDI, CAIC  y CEDI/Dirección del Área de Centros de Atención Infantil/Coord.3. Operación")</f>
        <v>Atención Psicopedagógica Infantil/Jefatura del Departamento de CDI, CAIC  y CEDI/Dirección del Área de Centros de Atención Infantil/Coord.3. Operación</v>
      </c>
      <c r="C338" s="107" t="str">
        <f ca="1">IFERROR(__xludf.DUMMYFUNCTION("""COMPUTED_VALUE"""),"3. Operación")</f>
        <v>3. Operación</v>
      </c>
      <c r="D338" s="107" t="str">
        <f ca="1">IFERROR(__xludf.DUMMYFUNCTION("""COMPUTED_VALUE"""),"Guadalajara bien educada")</f>
        <v>Guadalajara bien educada</v>
      </c>
      <c r="E338" s="107" t="str">
        <f ca="1">IFERROR(__xludf.DUMMYFUNCTION("""COMPUTED_VALUE"""),"Atención Psicopedagógica Infantil")</f>
        <v>Atención Psicopedagógica Infantil</v>
      </c>
      <c r="F338" s="107" t="str">
        <f ca="1">IFERROR(__xludf.DUMMYFUNCTION("""COMPUTED_VALUE"""),"C2. Atenciones terapéuticas brindadas a niñas y niños con barreras de aprendizaje en el Centro de Atención Psicopedagógica Infantil")</f>
        <v>C2. Atenciones terapéuticas brindadas a niñas y niños con barreras de aprendizaje en el Centro de Atención Psicopedagógica Infantil</v>
      </c>
      <c r="G338" s="107" t="str">
        <f ca="1">IFERROR(__xludf.DUMMYFUNCTION("""COMPUTED_VALUE"""),"Promedio de personas atendidas con atención terapéutica - educativa en el Centro de Atención Psicopedagógica Infantil durante el 2024")</f>
        <v>Promedio de personas atendidas con atención terapéutica - educativa en el Centro de Atención Psicopedagógica Infantil durante el 2024</v>
      </c>
      <c r="H338" s="107" t="str">
        <f ca="1">IFERROR(__xludf.DUMMYFUNCTION("""COMPUTED_VALUE"""),"NAS Octubre")</f>
        <v>NAS Octubre</v>
      </c>
      <c r="I338" s="107" t="str">
        <f ca="1">IFERROR(__xludf.DUMMYFUNCTION("""COMPUTED_VALUE"""),"Octubre")</f>
        <v>Octubre</v>
      </c>
      <c r="J338" s="107" t="str">
        <f ca="1">IFERROR(__xludf.DUMMYFUNCTION("""COMPUTED_VALUE"""),"NAS")</f>
        <v>NAS</v>
      </c>
      <c r="K338" s="40">
        <f ca="1">IFERROR(__xludf.DUMMYFUNCTION("""COMPUTED_VALUE"""),0)</f>
        <v>0</v>
      </c>
      <c r="L338" s="107" t="str">
        <f ca="1">IFERROR(__xludf.DUMMYFUNCTION("""COMPUTED_VALUE"""),"TRIMESTRE 4")</f>
        <v>TRIMESTRE 4</v>
      </c>
      <c r="M338" s="107" t="str">
        <f ca="1">IFERROR(__xludf.DUMMYFUNCTION("""COMPUTED_VALUE"""),"NIÑAS")</f>
        <v>NIÑAS</v>
      </c>
    </row>
    <row r="339" spans="1:13">
      <c r="A339" s="107" t="str">
        <f ca="1">IFERROR(__xludf.DUMMYFUNCTION("""COMPUTED_VALUE"""),"5.1.2.0")</f>
        <v>5.1.2.0</v>
      </c>
      <c r="B339" s="107" t="str">
        <f ca="1">IFERROR(__xludf.DUMMYFUNCTION("""COMPUTED_VALUE"""),"Atención Psicopedagógica Infantil/Jefatura del Departamento de CDI, CAIC  y CEDI/Dirección del Área de Centros de Atención Infantil/Coord.3. Operación")</f>
        <v>Atención Psicopedagógica Infantil/Jefatura del Departamento de CDI, CAIC  y CEDI/Dirección del Área de Centros de Atención Infantil/Coord.3. Operación</v>
      </c>
      <c r="C339" s="107" t="str">
        <f ca="1">IFERROR(__xludf.DUMMYFUNCTION("""COMPUTED_VALUE"""),"3. Operación")</f>
        <v>3. Operación</v>
      </c>
      <c r="D339" s="107" t="str">
        <f ca="1">IFERROR(__xludf.DUMMYFUNCTION("""COMPUTED_VALUE"""),"Guadalajara bien educada")</f>
        <v>Guadalajara bien educada</v>
      </c>
      <c r="E339" s="107" t="str">
        <f ca="1">IFERROR(__xludf.DUMMYFUNCTION("""COMPUTED_VALUE"""),"Atención Psicopedagógica Infantil")</f>
        <v>Atención Psicopedagógica Infantil</v>
      </c>
      <c r="F339" s="107" t="str">
        <f ca="1">IFERROR(__xludf.DUMMYFUNCTION("""COMPUTED_VALUE"""),"C2. Atenciones terapéuticas brindadas a niñas y niños con barreras de aprendizaje en el Centro de Atención Psicopedagógica Infantil")</f>
        <v>C2. Atenciones terapéuticas brindadas a niñas y niños con barreras de aprendizaje en el Centro de Atención Psicopedagógica Infantil</v>
      </c>
      <c r="G339" s="107" t="str">
        <f ca="1">IFERROR(__xludf.DUMMYFUNCTION("""COMPUTED_VALUE"""),"Promedio de personas atendidas con atención terapéutica - educativa en el Centro de Atención Psicopedagógica Infantil durante el 2024")</f>
        <v>Promedio de personas atendidas con atención terapéutica - educativa en el Centro de Atención Psicopedagógica Infantil durante el 2024</v>
      </c>
      <c r="H339" s="107" t="str">
        <f ca="1">IFERROR(__xludf.DUMMYFUNCTION("""COMPUTED_VALUE"""),"NOS Octubre")</f>
        <v>NOS Octubre</v>
      </c>
      <c r="I339" s="107" t="str">
        <f ca="1">IFERROR(__xludf.DUMMYFUNCTION("""COMPUTED_VALUE"""),"Octubre")</f>
        <v>Octubre</v>
      </c>
      <c r="J339" s="107" t="str">
        <f ca="1">IFERROR(__xludf.DUMMYFUNCTION("""COMPUTED_VALUE"""),"NOS")</f>
        <v>NOS</v>
      </c>
      <c r="K339" s="40">
        <f ca="1">IFERROR(__xludf.DUMMYFUNCTION("""COMPUTED_VALUE"""),0)</f>
        <v>0</v>
      </c>
      <c r="L339" s="107" t="str">
        <f ca="1">IFERROR(__xludf.DUMMYFUNCTION("""COMPUTED_VALUE"""),"TRIMESTRE 4")</f>
        <v>TRIMESTRE 4</v>
      </c>
      <c r="M339" s="107" t="str">
        <f ca="1">IFERROR(__xludf.DUMMYFUNCTION("""COMPUTED_VALUE"""),"NIÑOS")</f>
        <v>NIÑOS</v>
      </c>
    </row>
    <row r="340" spans="1:13">
      <c r="A340" s="107" t="str">
        <f ca="1">IFERROR(__xludf.DUMMYFUNCTION("""COMPUTED_VALUE"""),"5.1.2.0")</f>
        <v>5.1.2.0</v>
      </c>
      <c r="B340" s="107" t="str">
        <f ca="1">IFERROR(__xludf.DUMMYFUNCTION("""COMPUTED_VALUE"""),"Atención Psicopedagógica Infantil/Jefatura del Departamento de CDI, CAIC  y CEDI/Dirección del Área de Centros de Atención Infantil/Coord.3. Operación")</f>
        <v>Atención Psicopedagógica Infantil/Jefatura del Departamento de CDI, CAIC  y CEDI/Dirección del Área de Centros de Atención Infantil/Coord.3. Operación</v>
      </c>
      <c r="C340" s="107" t="str">
        <f ca="1">IFERROR(__xludf.DUMMYFUNCTION("""COMPUTED_VALUE"""),"3. Operación")</f>
        <v>3. Operación</v>
      </c>
      <c r="D340" s="107" t="str">
        <f ca="1">IFERROR(__xludf.DUMMYFUNCTION("""COMPUTED_VALUE"""),"Guadalajara bien educada")</f>
        <v>Guadalajara bien educada</v>
      </c>
      <c r="E340" s="107" t="str">
        <f ca="1">IFERROR(__xludf.DUMMYFUNCTION("""COMPUTED_VALUE"""),"Atención Psicopedagógica Infantil")</f>
        <v>Atención Psicopedagógica Infantil</v>
      </c>
      <c r="F340" s="107" t="str">
        <f ca="1">IFERROR(__xludf.DUMMYFUNCTION("""COMPUTED_VALUE"""),"C2. Atenciones terapéuticas brindadas a niñas y niños con barreras de aprendizaje en el Centro de Atención Psicopedagógica Infantil")</f>
        <v>C2. Atenciones terapéuticas brindadas a niñas y niños con barreras de aprendizaje en el Centro de Atención Psicopedagógica Infantil</v>
      </c>
      <c r="G340" s="107" t="str">
        <f ca="1">IFERROR(__xludf.DUMMYFUNCTION("""COMPUTED_VALUE"""),"Promedio de personas atendidas con atención terapéutica - educativa en el Centro de Atención Psicopedagógica Infantil durante el 2024")</f>
        <v>Promedio de personas atendidas con atención terapéutica - educativa en el Centro de Atención Psicopedagógica Infantil durante el 2024</v>
      </c>
      <c r="H340" s="107" t="str">
        <f ca="1">IFERROR(__xludf.DUMMYFUNCTION("""COMPUTED_VALUE"""),"AM OCTUBRE")</f>
        <v>AM OCTUBRE</v>
      </c>
      <c r="I340" s="107" t="str">
        <f ca="1">IFERROR(__xludf.DUMMYFUNCTION("""COMPUTED_VALUE"""),"Octubre")</f>
        <v>Octubre</v>
      </c>
      <c r="J340" s="107" t="str">
        <f ca="1">IFERROR(__xludf.DUMMYFUNCTION("""COMPUTED_VALUE"""),"AM")</f>
        <v>AM</v>
      </c>
      <c r="K340" s="40">
        <f ca="1">IFERROR(__xludf.DUMMYFUNCTION("""COMPUTED_VALUE"""),0)</f>
        <v>0</v>
      </c>
      <c r="L340" s="107" t="str">
        <f ca="1">IFERROR(__xludf.DUMMYFUNCTION("""COMPUTED_VALUE"""),"TRIMESTRE 4")</f>
        <v>TRIMESTRE 4</v>
      </c>
      <c r="M340" s="107" t="str">
        <f ca="1">IFERROR(__xludf.DUMMYFUNCTION("""COMPUTED_VALUE"""),"ADOLESCENTES MUJERES")</f>
        <v>ADOLESCENTES MUJERES</v>
      </c>
    </row>
    <row r="341" spans="1:13">
      <c r="A341" s="107" t="str">
        <f ca="1">IFERROR(__xludf.DUMMYFUNCTION("""COMPUTED_VALUE"""),"5.1.2.0")</f>
        <v>5.1.2.0</v>
      </c>
      <c r="B341" s="107" t="str">
        <f ca="1">IFERROR(__xludf.DUMMYFUNCTION("""COMPUTED_VALUE"""),"Atención Psicopedagógica Infantil/Jefatura del Departamento de CDI, CAIC  y CEDI/Dirección del Área de Centros de Atención Infantil/Coord.3. Operación")</f>
        <v>Atención Psicopedagógica Infantil/Jefatura del Departamento de CDI, CAIC  y CEDI/Dirección del Área de Centros de Atención Infantil/Coord.3. Operación</v>
      </c>
      <c r="C341" s="107" t="str">
        <f ca="1">IFERROR(__xludf.DUMMYFUNCTION("""COMPUTED_VALUE"""),"3. Operación")</f>
        <v>3. Operación</v>
      </c>
      <c r="D341" s="107" t="str">
        <f ca="1">IFERROR(__xludf.DUMMYFUNCTION("""COMPUTED_VALUE"""),"Guadalajara bien educada")</f>
        <v>Guadalajara bien educada</v>
      </c>
      <c r="E341" s="107" t="str">
        <f ca="1">IFERROR(__xludf.DUMMYFUNCTION("""COMPUTED_VALUE"""),"Atención Psicopedagógica Infantil")</f>
        <v>Atención Psicopedagógica Infantil</v>
      </c>
      <c r="F341" s="107" t="str">
        <f ca="1">IFERROR(__xludf.DUMMYFUNCTION("""COMPUTED_VALUE"""),"C2. Atenciones terapéuticas brindadas a niñas y niños con barreras de aprendizaje en el Centro de Atención Psicopedagógica Infantil")</f>
        <v>C2. Atenciones terapéuticas brindadas a niñas y niños con barreras de aprendizaje en el Centro de Atención Psicopedagógica Infantil</v>
      </c>
      <c r="G341" s="107" t="str">
        <f ca="1">IFERROR(__xludf.DUMMYFUNCTION("""COMPUTED_VALUE"""),"Promedio de personas atendidas con atención terapéutica - educativa en el Centro de Atención Psicopedagógica Infantil durante el 2024")</f>
        <v>Promedio de personas atendidas con atención terapéutica - educativa en el Centro de Atención Psicopedagógica Infantil durante el 2024</v>
      </c>
      <c r="H341" s="107" t="str">
        <f ca="1">IFERROR(__xludf.DUMMYFUNCTION("""COMPUTED_VALUE"""),"AH OCTUBRE")</f>
        <v>AH OCTUBRE</v>
      </c>
      <c r="I341" s="107" t="str">
        <f ca="1">IFERROR(__xludf.DUMMYFUNCTION("""COMPUTED_VALUE"""),"Octubre")</f>
        <v>Octubre</v>
      </c>
      <c r="J341" s="107" t="str">
        <f ca="1">IFERROR(__xludf.DUMMYFUNCTION("""COMPUTED_VALUE"""),"AH")</f>
        <v>AH</v>
      </c>
      <c r="K341" s="40">
        <f ca="1">IFERROR(__xludf.DUMMYFUNCTION("""COMPUTED_VALUE"""),0)</f>
        <v>0</v>
      </c>
      <c r="L341" s="107" t="str">
        <f ca="1">IFERROR(__xludf.DUMMYFUNCTION("""COMPUTED_VALUE"""),"TRIMESTRE 4")</f>
        <v>TRIMESTRE 4</v>
      </c>
      <c r="M341" s="107" t="str">
        <f ca="1">IFERROR(__xludf.DUMMYFUNCTION("""COMPUTED_VALUE"""),"ADOLESCENTES HOMBRES")</f>
        <v>ADOLESCENTES HOMBRES</v>
      </c>
    </row>
    <row r="342" spans="1:13">
      <c r="A342" s="107" t="str">
        <f ca="1">IFERROR(__xludf.DUMMYFUNCTION("""COMPUTED_VALUE"""),"5.1.2.0")</f>
        <v>5.1.2.0</v>
      </c>
      <c r="B342" s="107" t="str">
        <f ca="1">IFERROR(__xludf.DUMMYFUNCTION("""COMPUTED_VALUE"""),"Atención Psicopedagógica Infantil/Jefatura del Departamento de CDI, CAIC  y CEDI/Dirección del Área de Centros de Atención Infantil/Coord.3. Operación")</f>
        <v>Atención Psicopedagógica Infantil/Jefatura del Departamento de CDI, CAIC  y CEDI/Dirección del Área de Centros de Atención Infantil/Coord.3. Operación</v>
      </c>
      <c r="C342" s="107" t="str">
        <f ca="1">IFERROR(__xludf.DUMMYFUNCTION("""COMPUTED_VALUE"""),"3. Operación")</f>
        <v>3. Operación</v>
      </c>
      <c r="D342" s="107" t="str">
        <f ca="1">IFERROR(__xludf.DUMMYFUNCTION("""COMPUTED_VALUE"""),"Guadalajara bien educada")</f>
        <v>Guadalajara bien educada</v>
      </c>
      <c r="E342" s="107" t="str">
        <f ca="1">IFERROR(__xludf.DUMMYFUNCTION("""COMPUTED_VALUE"""),"Atención Psicopedagógica Infantil")</f>
        <v>Atención Psicopedagógica Infantil</v>
      </c>
      <c r="F342" s="107" t="str">
        <f ca="1">IFERROR(__xludf.DUMMYFUNCTION("""COMPUTED_VALUE"""),"C2. Atenciones terapéuticas brindadas a niñas y niños con barreras de aprendizaje en el Centro de Atención Psicopedagógica Infantil")</f>
        <v>C2. Atenciones terapéuticas brindadas a niñas y niños con barreras de aprendizaje en el Centro de Atención Psicopedagógica Infantil</v>
      </c>
      <c r="G342" s="107" t="str">
        <f ca="1">IFERROR(__xludf.DUMMYFUNCTION("""COMPUTED_VALUE"""),"Promedio de personas atendidas con atención terapéutica - educativa en el Centro de Atención Psicopedagógica Infantil durante el 2024")</f>
        <v>Promedio de personas atendidas con atención terapéutica - educativa en el Centro de Atención Psicopedagógica Infantil durante el 2024</v>
      </c>
      <c r="H342" s="107" t="str">
        <f ca="1">IFERROR(__xludf.DUMMYFUNCTION("""COMPUTED_VALUE"""),"MUJ Octubre")</f>
        <v>MUJ Octubre</v>
      </c>
      <c r="I342" s="107" t="str">
        <f ca="1">IFERROR(__xludf.DUMMYFUNCTION("""COMPUTED_VALUE"""),"Octubre")</f>
        <v>Octubre</v>
      </c>
      <c r="J342" s="107" t="str">
        <f ca="1">IFERROR(__xludf.DUMMYFUNCTION("""COMPUTED_VALUE"""),"MUJ")</f>
        <v>MUJ</v>
      </c>
      <c r="K342" s="40"/>
      <c r="L342" s="107" t="str">
        <f ca="1">IFERROR(__xludf.DUMMYFUNCTION("""COMPUTED_VALUE"""),"TRIMESTRE 4")</f>
        <v>TRIMESTRE 4</v>
      </c>
      <c r="M342" s="107" t="str">
        <f ca="1">IFERROR(__xludf.DUMMYFUNCTION("""COMPUTED_VALUE"""),"MUJERES ADULTAS")</f>
        <v>MUJERES ADULTAS</v>
      </c>
    </row>
    <row r="343" spans="1:13">
      <c r="A343" s="107" t="str">
        <f ca="1">IFERROR(__xludf.DUMMYFUNCTION("""COMPUTED_VALUE"""),"5.1.2.0")</f>
        <v>5.1.2.0</v>
      </c>
      <c r="B343" s="107" t="str">
        <f ca="1">IFERROR(__xludf.DUMMYFUNCTION("""COMPUTED_VALUE"""),"Atención Psicopedagógica Infantil/Jefatura del Departamento de CDI, CAIC  y CEDI/Dirección del Área de Centros de Atención Infantil/Coord.3. Operación")</f>
        <v>Atención Psicopedagógica Infantil/Jefatura del Departamento de CDI, CAIC  y CEDI/Dirección del Área de Centros de Atención Infantil/Coord.3. Operación</v>
      </c>
      <c r="C343" s="107" t="str">
        <f ca="1">IFERROR(__xludf.DUMMYFUNCTION("""COMPUTED_VALUE"""),"3. Operación")</f>
        <v>3. Operación</v>
      </c>
      <c r="D343" s="107" t="str">
        <f ca="1">IFERROR(__xludf.DUMMYFUNCTION("""COMPUTED_VALUE"""),"Guadalajara bien educada")</f>
        <v>Guadalajara bien educada</v>
      </c>
      <c r="E343" s="107" t="str">
        <f ca="1">IFERROR(__xludf.DUMMYFUNCTION("""COMPUTED_VALUE"""),"Atención Psicopedagógica Infantil")</f>
        <v>Atención Psicopedagógica Infantil</v>
      </c>
      <c r="F343" s="107" t="str">
        <f ca="1">IFERROR(__xludf.DUMMYFUNCTION("""COMPUTED_VALUE"""),"C2. Atenciones terapéuticas brindadas a niñas y niños con barreras de aprendizaje en el Centro de Atención Psicopedagógica Infantil")</f>
        <v>C2. Atenciones terapéuticas brindadas a niñas y niños con barreras de aprendizaje en el Centro de Atención Psicopedagógica Infantil</v>
      </c>
      <c r="G343" s="107" t="str">
        <f ca="1">IFERROR(__xludf.DUMMYFUNCTION("""COMPUTED_VALUE"""),"Promedio de personas atendidas con atención terapéutica - educativa en el Centro de Atención Psicopedagógica Infantil durante el 2024")</f>
        <v>Promedio de personas atendidas con atención terapéutica - educativa en el Centro de Atención Psicopedagógica Infantil durante el 2024</v>
      </c>
      <c r="H343" s="107" t="str">
        <f ca="1">IFERROR(__xludf.DUMMYFUNCTION("""COMPUTED_VALUE"""),"HOM Octubre")</f>
        <v>HOM Octubre</v>
      </c>
      <c r="I343" s="107" t="str">
        <f ca="1">IFERROR(__xludf.DUMMYFUNCTION("""COMPUTED_VALUE"""),"Octubre")</f>
        <v>Octubre</v>
      </c>
      <c r="J343" s="107" t="str">
        <f ca="1">IFERROR(__xludf.DUMMYFUNCTION("""COMPUTED_VALUE"""),"HOM")</f>
        <v>HOM</v>
      </c>
      <c r="K343" s="40"/>
      <c r="L343" s="107" t="str">
        <f ca="1">IFERROR(__xludf.DUMMYFUNCTION("""COMPUTED_VALUE"""),"TRIMESTRE 4")</f>
        <v>TRIMESTRE 4</v>
      </c>
      <c r="M343" s="107" t="str">
        <f ca="1">IFERROR(__xludf.DUMMYFUNCTION("""COMPUTED_VALUE"""),"HOMBRES ADULTOS")</f>
        <v>HOMBRES ADULTOS</v>
      </c>
    </row>
    <row r="344" spans="1:13">
      <c r="A344" s="107" t="str">
        <f ca="1">IFERROR(__xludf.DUMMYFUNCTION("""COMPUTED_VALUE"""),"5.1.2.0")</f>
        <v>5.1.2.0</v>
      </c>
      <c r="B344" s="107" t="str">
        <f ca="1">IFERROR(__xludf.DUMMYFUNCTION("""COMPUTED_VALUE"""),"Atención Psicopedagógica Infantil/Jefatura del Departamento de CDI, CAIC  y CEDI/Dirección del Área de Centros de Atención Infantil/Coord.3. Operación")</f>
        <v>Atención Psicopedagógica Infantil/Jefatura del Departamento de CDI, CAIC  y CEDI/Dirección del Área de Centros de Atención Infantil/Coord.3. Operación</v>
      </c>
      <c r="C344" s="107" t="str">
        <f ca="1">IFERROR(__xludf.DUMMYFUNCTION("""COMPUTED_VALUE"""),"3. Operación")</f>
        <v>3. Operación</v>
      </c>
      <c r="D344" s="107" t="str">
        <f ca="1">IFERROR(__xludf.DUMMYFUNCTION("""COMPUTED_VALUE"""),"Guadalajara bien educada")</f>
        <v>Guadalajara bien educada</v>
      </c>
      <c r="E344" s="107" t="str">
        <f ca="1">IFERROR(__xludf.DUMMYFUNCTION("""COMPUTED_VALUE"""),"Atención Psicopedagógica Infantil")</f>
        <v>Atención Psicopedagógica Infantil</v>
      </c>
      <c r="F344" s="107" t="str">
        <f ca="1">IFERROR(__xludf.DUMMYFUNCTION("""COMPUTED_VALUE"""),"C2. Atenciones terapéuticas brindadas a niñas y niños con barreras de aprendizaje en el Centro de Atención Psicopedagógica Infantil")</f>
        <v>C2. Atenciones terapéuticas brindadas a niñas y niños con barreras de aprendizaje en el Centro de Atención Psicopedagógica Infantil</v>
      </c>
      <c r="G344" s="107" t="str">
        <f ca="1">IFERROR(__xludf.DUMMYFUNCTION("""COMPUTED_VALUE"""),"Promedio de personas atendidas con atención terapéutica - educativa en el Centro de Atención Psicopedagógica Infantil durante el 2024")</f>
        <v>Promedio de personas atendidas con atención terapéutica - educativa en el Centro de Atención Psicopedagógica Infantil durante el 2024</v>
      </c>
      <c r="H344" s="107" t="str">
        <f ca="1">IFERROR(__xludf.DUMMYFUNCTION("""COMPUTED_VALUE"""),"AMM Octubre")</f>
        <v>AMM Octubre</v>
      </c>
      <c r="I344" s="107" t="str">
        <f ca="1">IFERROR(__xludf.DUMMYFUNCTION("""COMPUTED_VALUE"""),"Octubre")</f>
        <v>Octubre</v>
      </c>
      <c r="J344" s="107" t="str">
        <f ca="1">IFERROR(__xludf.DUMMYFUNCTION("""COMPUTED_VALUE"""),"AMM")</f>
        <v>AMM</v>
      </c>
      <c r="K344" s="40"/>
      <c r="L344" s="107" t="str">
        <f ca="1">IFERROR(__xludf.DUMMYFUNCTION("""COMPUTED_VALUE"""),"TRIMESTRE 4")</f>
        <v>TRIMESTRE 4</v>
      </c>
      <c r="M344" s="107" t="str">
        <f ca="1">IFERROR(__xludf.DUMMYFUNCTION("""COMPUTED_VALUE"""),"ADULTA MAYOR MUJER")</f>
        <v>ADULTA MAYOR MUJER</v>
      </c>
    </row>
    <row r="345" spans="1:13">
      <c r="A345" s="107" t="str">
        <f ca="1">IFERROR(__xludf.DUMMYFUNCTION("""COMPUTED_VALUE"""),"5.1.2.0")</f>
        <v>5.1.2.0</v>
      </c>
      <c r="B345" s="107" t="str">
        <f ca="1">IFERROR(__xludf.DUMMYFUNCTION("""COMPUTED_VALUE"""),"Atención Psicopedagógica Infantil/Jefatura del Departamento de CDI, CAIC  y CEDI/Dirección del Área de Centros de Atención Infantil/Coord.3. Operación")</f>
        <v>Atención Psicopedagógica Infantil/Jefatura del Departamento de CDI, CAIC  y CEDI/Dirección del Área de Centros de Atención Infantil/Coord.3. Operación</v>
      </c>
      <c r="C345" s="107" t="str">
        <f ca="1">IFERROR(__xludf.DUMMYFUNCTION("""COMPUTED_VALUE"""),"3. Operación")</f>
        <v>3. Operación</v>
      </c>
      <c r="D345" s="107" t="str">
        <f ca="1">IFERROR(__xludf.DUMMYFUNCTION("""COMPUTED_VALUE"""),"Guadalajara bien educada")</f>
        <v>Guadalajara bien educada</v>
      </c>
      <c r="E345" s="107" t="str">
        <f ca="1">IFERROR(__xludf.DUMMYFUNCTION("""COMPUTED_VALUE"""),"Atención Psicopedagógica Infantil")</f>
        <v>Atención Psicopedagógica Infantil</v>
      </c>
      <c r="F345" s="107" t="str">
        <f ca="1">IFERROR(__xludf.DUMMYFUNCTION("""COMPUTED_VALUE"""),"C2. Atenciones terapéuticas brindadas a niñas y niños con barreras de aprendizaje en el Centro de Atención Psicopedagógica Infantil")</f>
        <v>C2. Atenciones terapéuticas brindadas a niñas y niños con barreras de aprendizaje en el Centro de Atención Psicopedagógica Infantil</v>
      </c>
      <c r="G345" s="107" t="str">
        <f ca="1">IFERROR(__xludf.DUMMYFUNCTION("""COMPUTED_VALUE"""),"Promedio de personas atendidas con atención terapéutica - educativa en el Centro de Atención Psicopedagógica Infantil durante el 2024")</f>
        <v>Promedio de personas atendidas con atención terapéutica - educativa en el Centro de Atención Psicopedagógica Infantil durante el 2024</v>
      </c>
      <c r="H345" s="107" t="str">
        <f ca="1">IFERROR(__xludf.DUMMYFUNCTION("""COMPUTED_VALUE"""),"AMH Octubre")</f>
        <v>AMH Octubre</v>
      </c>
      <c r="I345" s="107" t="str">
        <f ca="1">IFERROR(__xludf.DUMMYFUNCTION("""COMPUTED_VALUE"""),"Octubre")</f>
        <v>Octubre</v>
      </c>
      <c r="J345" s="107" t="str">
        <f ca="1">IFERROR(__xludf.DUMMYFUNCTION("""COMPUTED_VALUE"""),"AMH")</f>
        <v>AMH</v>
      </c>
      <c r="K345" s="40"/>
      <c r="L345" s="107" t="str">
        <f ca="1">IFERROR(__xludf.DUMMYFUNCTION("""COMPUTED_VALUE"""),"TRIMESTRE 4")</f>
        <v>TRIMESTRE 4</v>
      </c>
      <c r="M345" s="107" t="str">
        <f ca="1">IFERROR(__xludf.DUMMYFUNCTION("""COMPUTED_VALUE"""),"ADULTO MAYOR HOMBRE")</f>
        <v>ADULTO MAYOR HOMBRE</v>
      </c>
    </row>
    <row r="346" spans="1:13">
      <c r="A346" s="107" t="str">
        <f ca="1">IFERROR(__xludf.DUMMYFUNCTION("""COMPUTED_VALUE"""),"5.1.2.1")</f>
        <v>5.1.2.1</v>
      </c>
      <c r="B346" s="107" t="str">
        <f ca="1">IFERROR(__xludf.DUMMYFUNCTION("""COMPUTED_VALUE"""),"Atención Psicopedagógica Infantil/Dirección del Área de Centros de Inclusión/Dirección del Área de Centros de Inclusión/Coord.5. Inclusión")</f>
        <v>Atención Psicopedagógica Infantil/Dirección del Área de Centros de Inclusión/Dirección del Área de Centros de Inclusión/Coord.5. Inclusión</v>
      </c>
      <c r="C346" s="107" t="str">
        <f ca="1">IFERROR(__xludf.DUMMYFUNCTION("""COMPUTED_VALUE"""),"5. Inclusión")</f>
        <v>5. Inclusión</v>
      </c>
      <c r="D346" s="107" t="str">
        <f ca="1">IFERROR(__xludf.DUMMYFUNCTION("""COMPUTED_VALUE"""),"Guadalajara bien educada")</f>
        <v>Guadalajara bien educada</v>
      </c>
      <c r="E346" s="107" t="str">
        <f ca="1">IFERROR(__xludf.DUMMYFUNCTION("""COMPUTED_VALUE"""),"Atención Psicopedagógica Infantil")</f>
        <v>Atención Psicopedagógica Infantil</v>
      </c>
      <c r="F346" s="107" t="str">
        <f ca="1">IFERROR(__xludf.DUMMYFUNCTION("""COMPUTED_VALUE"""),"A1C2 Actividades de diagnóstico y valoración psicológica ejecutadas para niñas y niños que requieran atención en el CAPI")</f>
        <v>A1C2 Actividades de diagnóstico y valoración psicológica ejecutadas para niñas y niños que requieran atención en el CAPI</v>
      </c>
      <c r="G346" s="107" t="str">
        <f ca="1">IFERROR(__xludf.DUMMYFUNCTION("""COMPUTED_VALUE"""),"Porcentaje de diagnósticos y valoraciones realizados a niñas y niños que requieran atención en el CAPI en 2024")</f>
        <v>Porcentaje de diagnósticos y valoraciones realizados a niñas y niños que requieran atención en el CAPI en 2024</v>
      </c>
      <c r="H346" s="107" t="str">
        <f ca="1">IFERROR(__xludf.DUMMYFUNCTION("""COMPUTED_VALUE"""),"NAS Octubre")</f>
        <v>NAS Octubre</v>
      </c>
      <c r="I346" s="107" t="str">
        <f ca="1">IFERROR(__xludf.DUMMYFUNCTION("""COMPUTED_VALUE"""),"Octubre")</f>
        <v>Octubre</v>
      </c>
      <c r="J346" s="107" t="str">
        <f ca="1">IFERROR(__xludf.DUMMYFUNCTION("""COMPUTED_VALUE"""),"NAS")</f>
        <v>NAS</v>
      </c>
      <c r="K346" s="40">
        <f ca="1">IFERROR(__xludf.DUMMYFUNCTION("""COMPUTED_VALUE"""),0)</f>
        <v>0</v>
      </c>
      <c r="L346" s="107" t="str">
        <f ca="1">IFERROR(__xludf.DUMMYFUNCTION("""COMPUTED_VALUE"""),"TRIMESTRE 4")</f>
        <v>TRIMESTRE 4</v>
      </c>
      <c r="M346" s="107" t="str">
        <f ca="1">IFERROR(__xludf.DUMMYFUNCTION("""COMPUTED_VALUE"""),"NIÑAS")</f>
        <v>NIÑAS</v>
      </c>
    </row>
    <row r="347" spans="1:13">
      <c r="A347" s="107" t="str">
        <f ca="1">IFERROR(__xludf.DUMMYFUNCTION("""COMPUTED_VALUE"""),"5.1.2.1")</f>
        <v>5.1.2.1</v>
      </c>
      <c r="B347" s="107" t="str">
        <f ca="1">IFERROR(__xludf.DUMMYFUNCTION("""COMPUTED_VALUE"""),"Atención Psicopedagógica Infantil/Dirección del Área de Centros de Inclusión/Dirección del Área de Centros de Inclusión/Coord.5. Inclusión")</f>
        <v>Atención Psicopedagógica Infantil/Dirección del Área de Centros de Inclusión/Dirección del Área de Centros de Inclusión/Coord.5. Inclusión</v>
      </c>
      <c r="C347" s="107" t="str">
        <f ca="1">IFERROR(__xludf.DUMMYFUNCTION("""COMPUTED_VALUE"""),"5. Inclusión")</f>
        <v>5. Inclusión</v>
      </c>
      <c r="D347" s="107" t="str">
        <f ca="1">IFERROR(__xludf.DUMMYFUNCTION("""COMPUTED_VALUE"""),"Guadalajara bien educada")</f>
        <v>Guadalajara bien educada</v>
      </c>
      <c r="E347" s="107" t="str">
        <f ca="1">IFERROR(__xludf.DUMMYFUNCTION("""COMPUTED_VALUE"""),"Atención Psicopedagógica Infantil")</f>
        <v>Atención Psicopedagógica Infantil</v>
      </c>
      <c r="F347" s="107" t="str">
        <f ca="1">IFERROR(__xludf.DUMMYFUNCTION("""COMPUTED_VALUE"""),"A1C2 Actividades de diagnóstico y valoración psicológica ejecutadas para niñas y niños que requieran atención en el CAPI")</f>
        <v>A1C2 Actividades de diagnóstico y valoración psicológica ejecutadas para niñas y niños que requieran atención en el CAPI</v>
      </c>
      <c r="G347" s="107" t="str">
        <f ca="1">IFERROR(__xludf.DUMMYFUNCTION("""COMPUTED_VALUE"""),"Porcentaje de diagnósticos y valoraciones realizados a niñas y niños que requieran atención en el CAPI en 2024")</f>
        <v>Porcentaje de diagnósticos y valoraciones realizados a niñas y niños que requieran atención en el CAPI en 2024</v>
      </c>
      <c r="H347" s="107" t="str">
        <f ca="1">IFERROR(__xludf.DUMMYFUNCTION("""COMPUTED_VALUE"""),"NOS Octubre")</f>
        <v>NOS Octubre</v>
      </c>
      <c r="I347" s="107" t="str">
        <f ca="1">IFERROR(__xludf.DUMMYFUNCTION("""COMPUTED_VALUE"""),"Octubre")</f>
        <v>Octubre</v>
      </c>
      <c r="J347" s="107" t="str">
        <f ca="1">IFERROR(__xludf.DUMMYFUNCTION("""COMPUTED_VALUE"""),"NOS")</f>
        <v>NOS</v>
      </c>
      <c r="K347" s="40">
        <f ca="1">IFERROR(__xludf.DUMMYFUNCTION("""COMPUTED_VALUE"""),0)</f>
        <v>0</v>
      </c>
      <c r="L347" s="107" t="str">
        <f ca="1">IFERROR(__xludf.DUMMYFUNCTION("""COMPUTED_VALUE"""),"TRIMESTRE 4")</f>
        <v>TRIMESTRE 4</v>
      </c>
      <c r="M347" s="107" t="str">
        <f ca="1">IFERROR(__xludf.DUMMYFUNCTION("""COMPUTED_VALUE"""),"NIÑOS")</f>
        <v>NIÑOS</v>
      </c>
    </row>
    <row r="348" spans="1:13">
      <c r="A348" s="107" t="str">
        <f ca="1">IFERROR(__xludf.DUMMYFUNCTION("""COMPUTED_VALUE"""),"5.1.2.1")</f>
        <v>5.1.2.1</v>
      </c>
      <c r="B348" s="107" t="str">
        <f ca="1">IFERROR(__xludf.DUMMYFUNCTION("""COMPUTED_VALUE"""),"Atención Psicopedagógica Infantil/Dirección del Área de Centros de Inclusión/Dirección del Área de Centros de Inclusión/Coord.5. Inclusión")</f>
        <v>Atención Psicopedagógica Infantil/Dirección del Área de Centros de Inclusión/Dirección del Área de Centros de Inclusión/Coord.5. Inclusión</v>
      </c>
      <c r="C348" s="107" t="str">
        <f ca="1">IFERROR(__xludf.DUMMYFUNCTION("""COMPUTED_VALUE"""),"5. Inclusión")</f>
        <v>5. Inclusión</v>
      </c>
      <c r="D348" s="107" t="str">
        <f ca="1">IFERROR(__xludf.DUMMYFUNCTION("""COMPUTED_VALUE"""),"Guadalajara bien educada")</f>
        <v>Guadalajara bien educada</v>
      </c>
      <c r="E348" s="107" t="str">
        <f ca="1">IFERROR(__xludf.DUMMYFUNCTION("""COMPUTED_VALUE"""),"Atención Psicopedagógica Infantil")</f>
        <v>Atención Psicopedagógica Infantil</v>
      </c>
      <c r="F348" s="107" t="str">
        <f ca="1">IFERROR(__xludf.DUMMYFUNCTION("""COMPUTED_VALUE"""),"A1C2 Actividades de diagnóstico y valoración psicológica ejecutadas para niñas y niños que requieran atención en el CAPI")</f>
        <v>A1C2 Actividades de diagnóstico y valoración psicológica ejecutadas para niñas y niños que requieran atención en el CAPI</v>
      </c>
      <c r="G348" s="107" t="str">
        <f ca="1">IFERROR(__xludf.DUMMYFUNCTION("""COMPUTED_VALUE"""),"Porcentaje de diagnósticos y valoraciones realizados a niñas y niños que requieran atención en el CAPI en 2024")</f>
        <v>Porcentaje de diagnósticos y valoraciones realizados a niñas y niños que requieran atención en el CAPI en 2024</v>
      </c>
      <c r="H348" s="107" t="str">
        <f ca="1">IFERROR(__xludf.DUMMYFUNCTION("""COMPUTED_VALUE"""),"AM OCTUBRE")</f>
        <v>AM OCTUBRE</v>
      </c>
      <c r="I348" s="107" t="str">
        <f ca="1">IFERROR(__xludf.DUMMYFUNCTION("""COMPUTED_VALUE"""),"Octubre")</f>
        <v>Octubre</v>
      </c>
      <c r="J348" s="107" t="str">
        <f ca="1">IFERROR(__xludf.DUMMYFUNCTION("""COMPUTED_VALUE"""),"AM")</f>
        <v>AM</v>
      </c>
      <c r="K348" s="40">
        <f ca="1">IFERROR(__xludf.DUMMYFUNCTION("""COMPUTED_VALUE"""),0)</f>
        <v>0</v>
      </c>
      <c r="L348" s="107" t="str">
        <f ca="1">IFERROR(__xludf.DUMMYFUNCTION("""COMPUTED_VALUE"""),"TRIMESTRE 4")</f>
        <v>TRIMESTRE 4</v>
      </c>
      <c r="M348" s="107" t="str">
        <f ca="1">IFERROR(__xludf.DUMMYFUNCTION("""COMPUTED_VALUE"""),"ADOLESCENTES MUJERES")</f>
        <v>ADOLESCENTES MUJERES</v>
      </c>
    </row>
    <row r="349" spans="1:13">
      <c r="A349" s="107" t="str">
        <f ca="1">IFERROR(__xludf.DUMMYFUNCTION("""COMPUTED_VALUE"""),"5.1.2.1")</f>
        <v>5.1.2.1</v>
      </c>
      <c r="B349" s="107" t="str">
        <f ca="1">IFERROR(__xludf.DUMMYFUNCTION("""COMPUTED_VALUE"""),"Atención Psicopedagógica Infantil/Dirección del Área de Centros de Inclusión/Dirección del Área de Centros de Inclusión/Coord.5. Inclusión")</f>
        <v>Atención Psicopedagógica Infantil/Dirección del Área de Centros de Inclusión/Dirección del Área de Centros de Inclusión/Coord.5. Inclusión</v>
      </c>
      <c r="C349" s="107" t="str">
        <f ca="1">IFERROR(__xludf.DUMMYFUNCTION("""COMPUTED_VALUE"""),"5. Inclusión")</f>
        <v>5. Inclusión</v>
      </c>
      <c r="D349" s="107" t="str">
        <f ca="1">IFERROR(__xludf.DUMMYFUNCTION("""COMPUTED_VALUE"""),"Guadalajara bien educada")</f>
        <v>Guadalajara bien educada</v>
      </c>
      <c r="E349" s="107" t="str">
        <f ca="1">IFERROR(__xludf.DUMMYFUNCTION("""COMPUTED_VALUE"""),"Atención Psicopedagógica Infantil")</f>
        <v>Atención Psicopedagógica Infantil</v>
      </c>
      <c r="F349" s="107" t="str">
        <f ca="1">IFERROR(__xludf.DUMMYFUNCTION("""COMPUTED_VALUE"""),"A1C2 Actividades de diagnóstico y valoración psicológica ejecutadas para niñas y niños que requieran atención en el CAPI")</f>
        <v>A1C2 Actividades de diagnóstico y valoración psicológica ejecutadas para niñas y niños que requieran atención en el CAPI</v>
      </c>
      <c r="G349" s="107" t="str">
        <f ca="1">IFERROR(__xludf.DUMMYFUNCTION("""COMPUTED_VALUE"""),"Porcentaje de diagnósticos y valoraciones realizados a niñas y niños que requieran atención en el CAPI en 2024")</f>
        <v>Porcentaje de diagnósticos y valoraciones realizados a niñas y niños que requieran atención en el CAPI en 2024</v>
      </c>
      <c r="H349" s="107" t="str">
        <f ca="1">IFERROR(__xludf.DUMMYFUNCTION("""COMPUTED_VALUE"""),"AH OCTUBRE")</f>
        <v>AH OCTUBRE</v>
      </c>
      <c r="I349" s="107" t="str">
        <f ca="1">IFERROR(__xludf.DUMMYFUNCTION("""COMPUTED_VALUE"""),"Octubre")</f>
        <v>Octubre</v>
      </c>
      <c r="J349" s="107" t="str">
        <f ca="1">IFERROR(__xludf.DUMMYFUNCTION("""COMPUTED_VALUE"""),"AH")</f>
        <v>AH</v>
      </c>
      <c r="K349" s="40">
        <f ca="1">IFERROR(__xludf.DUMMYFUNCTION("""COMPUTED_VALUE"""),0)</f>
        <v>0</v>
      </c>
      <c r="L349" s="107" t="str">
        <f ca="1">IFERROR(__xludf.DUMMYFUNCTION("""COMPUTED_VALUE"""),"TRIMESTRE 4")</f>
        <v>TRIMESTRE 4</v>
      </c>
      <c r="M349" s="107" t="str">
        <f ca="1">IFERROR(__xludf.DUMMYFUNCTION("""COMPUTED_VALUE"""),"ADOLESCENTES HOMBRES")</f>
        <v>ADOLESCENTES HOMBRES</v>
      </c>
    </row>
    <row r="350" spans="1:13">
      <c r="A350" s="107" t="str">
        <f ca="1">IFERROR(__xludf.DUMMYFUNCTION("""COMPUTED_VALUE"""),"5.1.2.1")</f>
        <v>5.1.2.1</v>
      </c>
      <c r="B350" s="107" t="str">
        <f ca="1">IFERROR(__xludf.DUMMYFUNCTION("""COMPUTED_VALUE"""),"Atención Psicopedagógica Infantil/Dirección del Área de Centros de Inclusión/Dirección del Área de Centros de Inclusión/Coord.5. Inclusión")</f>
        <v>Atención Psicopedagógica Infantil/Dirección del Área de Centros de Inclusión/Dirección del Área de Centros de Inclusión/Coord.5. Inclusión</v>
      </c>
      <c r="C350" s="107" t="str">
        <f ca="1">IFERROR(__xludf.DUMMYFUNCTION("""COMPUTED_VALUE"""),"5. Inclusión")</f>
        <v>5. Inclusión</v>
      </c>
      <c r="D350" s="107" t="str">
        <f ca="1">IFERROR(__xludf.DUMMYFUNCTION("""COMPUTED_VALUE"""),"Guadalajara bien educada")</f>
        <v>Guadalajara bien educada</v>
      </c>
      <c r="E350" s="107" t="str">
        <f ca="1">IFERROR(__xludf.DUMMYFUNCTION("""COMPUTED_VALUE"""),"Atención Psicopedagógica Infantil")</f>
        <v>Atención Psicopedagógica Infantil</v>
      </c>
      <c r="F350" s="107" t="str">
        <f ca="1">IFERROR(__xludf.DUMMYFUNCTION("""COMPUTED_VALUE"""),"A1C2 Actividades de diagnóstico y valoración psicológica ejecutadas para niñas y niños que requieran atención en el CAPI")</f>
        <v>A1C2 Actividades de diagnóstico y valoración psicológica ejecutadas para niñas y niños que requieran atención en el CAPI</v>
      </c>
      <c r="G350" s="107" t="str">
        <f ca="1">IFERROR(__xludf.DUMMYFUNCTION("""COMPUTED_VALUE"""),"Porcentaje de diagnósticos y valoraciones realizados a niñas y niños que requieran atención en el CAPI en 2024")</f>
        <v>Porcentaje de diagnósticos y valoraciones realizados a niñas y niños que requieran atención en el CAPI en 2024</v>
      </c>
      <c r="H350" s="107" t="str">
        <f ca="1">IFERROR(__xludf.DUMMYFUNCTION("""COMPUTED_VALUE"""),"MUJ Octubre")</f>
        <v>MUJ Octubre</v>
      </c>
      <c r="I350" s="107" t="str">
        <f ca="1">IFERROR(__xludf.DUMMYFUNCTION("""COMPUTED_VALUE"""),"Octubre")</f>
        <v>Octubre</v>
      </c>
      <c r="J350" s="107" t="str">
        <f ca="1">IFERROR(__xludf.DUMMYFUNCTION("""COMPUTED_VALUE"""),"MUJ")</f>
        <v>MUJ</v>
      </c>
      <c r="K350" s="40"/>
      <c r="L350" s="107" t="str">
        <f ca="1">IFERROR(__xludf.DUMMYFUNCTION("""COMPUTED_VALUE"""),"TRIMESTRE 4")</f>
        <v>TRIMESTRE 4</v>
      </c>
      <c r="M350" s="107" t="str">
        <f ca="1">IFERROR(__xludf.DUMMYFUNCTION("""COMPUTED_VALUE"""),"MUJERES ADULTAS")</f>
        <v>MUJERES ADULTAS</v>
      </c>
    </row>
    <row r="351" spans="1:13">
      <c r="A351" s="107" t="str">
        <f ca="1">IFERROR(__xludf.DUMMYFUNCTION("""COMPUTED_VALUE"""),"5.1.2.1")</f>
        <v>5.1.2.1</v>
      </c>
      <c r="B351" s="107" t="str">
        <f ca="1">IFERROR(__xludf.DUMMYFUNCTION("""COMPUTED_VALUE"""),"Atención Psicopedagógica Infantil/Dirección del Área de Centros de Inclusión/Dirección del Área de Centros de Inclusión/Coord.5. Inclusión")</f>
        <v>Atención Psicopedagógica Infantil/Dirección del Área de Centros de Inclusión/Dirección del Área de Centros de Inclusión/Coord.5. Inclusión</v>
      </c>
      <c r="C351" s="107" t="str">
        <f ca="1">IFERROR(__xludf.DUMMYFUNCTION("""COMPUTED_VALUE"""),"5. Inclusión")</f>
        <v>5. Inclusión</v>
      </c>
      <c r="D351" s="107" t="str">
        <f ca="1">IFERROR(__xludf.DUMMYFUNCTION("""COMPUTED_VALUE"""),"Guadalajara bien educada")</f>
        <v>Guadalajara bien educada</v>
      </c>
      <c r="E351" s="107" t="str">
        <f ca="1">IFERROR(__xludf.DUMMYFUNCTION("""COMPUTED_VALUE"""),"Atención Psicopedagógica Infantil")</f>
        <v>Atención Psicopedagógica Infantil</v>
      </c>
      <c r="F351" s="107" t="str">
        <f ca="1">IFERROR(__xludf.DUMMYFUNCTION("""COMPUTED_VALUE"""),"A1C2 Actividades de diagnóstico y valoración psicológica ejecutadas para niñas y niños que requieran atención en el CAPI")</f>
        <v>A1C2 Actividades de diagnóstico y valoración psicológica ejecutadas para niñas y niños que requieran atención en el CAPI</v>
      </c>
      <c r="G351" s="107" t="str">
        <f ca="1">IFERROR(__xludf.DUMMYFUNCTION("""COMPUTED_VALUE"""),"Porcentaje de diagnósticos y valoraciones realizados a niñas y niños que requieran atención en el CAPI en 2024")</f>
        <v>Porcentaje de diagnósticos y valoraciones realizados a niñas y niños que requieran atención en el CAPI en 2024</v>
      </c>
      <c r="H351" s="107" t="str">
        <f ca="1">IFERROR(__xludf.DUMMYFUNCTION("""COMPUTED_VALUE"""),"HOM Octubre")</f>
        <v>HOM Octubre</v>
      </c>
      <c r="I351" s="107" t="str">
        <f ca="1">IFERROR(__xludf.DUMMYFUNCTION("""COMPUTED_VALUE"""),"Octubre")</f>
        <v>Octubre</v>
      </c>
      <c r="J351" s="107" t="str">
        <f ca="1">IFERROR(__xludf.DUMMYFUNCTION("""COMPUTED_VALUE"""),"HOM")</f>
        <v>HOM</v>
      </c>
      <c r="K351" s="40"/>
      <c r="L351" s="107" t="str">
        <f ca="1">IFERROR(__xludf.DUMMYFUNCTION("""COMPUTED_VALUE"""),"TRIMESTRE 4")</f>
        <v>TRIMESTRE 4</v>
      </c>
      <c r="M351" s="107" t="str">
        <f ca="1">IFERROR(__xludf.DUMMYFUNCTION("""COMPUTED_VALUE"""),"HOMBRES ADULTOS")</f>
        <v>HOMBRES ADULTOS</v>
      </c>
    </row>
    <row r="352" spans="1:13">
      <c r="A352" s="107" t="str">
        <f ca="1">IFERROR(__xludf.DUMMYFUNCTION("""COMPUTED_VALUE"""),"5.1.2.1")</f>
        <v>5.1.2.1</v>
      </c>
      <c r="B352" s="107" t="str">
        <f ca="1">IFERROR(__xludf.DUMMYFUNCTION("""COMPUTED_VALUE"""),"Atención Psicopedagógica Infantil/Dirección del Área de Centros de Inclusión/Dirección del Área de Centros de Inclusión/Coord.5. Inclusión")</f>
        <v>Atención Psicopedagógica Infantil/Dirección del Área de Centros de Inclusión/Dirección del Área de Centros de Inclusión/Coord.5. Inclusión</v>
      </c>
      <c r="C352" s="107" t="str">
        <f ca="1">IFERROR(__xludf.DUMMYFUNCTION("""COMPUTED_VALUE"""),"5. Inclusión")</f>
        <v>5. Inclusión</v>
      </c>
      <c r="D352" s="107" t="str">
        <f ca="1">IFERROR(__xludf.DUMMYFUNCTION("""COMPUTED_VALUE"""),"Guadalajara bien educada")</f>
        <v>Guadalajara bien educada</v>
      </c>
      <c r="E352" s="107" t="str">
        <f ca="1">IFERROR(__xludf.DUMMYFUNCTION("""COMPUTED_VALUE"""),"Atención Psicopedagógica Infantil")</f>
        <v>Atención Psicopedagógica Infantil</v>
      </c>
      <c r="F352" s="107" t="str">
        <f ca="1">IFERROR(__xludf.DUMMYFUNCTION("""COMPUTED_VALUE"""),"A1C2 Actividades de diagnóstico y valoración psicológica ejecutadas para niñas y niños que requieran atención en el CAPI")</f>
        <v>A1C2 Actividades de diagnóstico y valoración psicológica ejecutadas para niñas y niños que requieran atención en el CAPI</v>
      </c>
      <c r="G352" s="107" t="str">
        <f ca="1">IFERROR(__xludf.DUMMYFUNCTION("""COMPUTED_VALUE"""),"Porcentaje de diagnósticos y valoraciones realizados a niñas y niños que requieran atención en el CAPI en 2024")</f>
        <v>Porcentaje de diagnósticos y valoraciones realizados a niñas y niños que requieran atención en el CAPI en 2024</v>
      </c>
      <c r="H352" s="107" t="str">
        <f ca="1">IFERROR(__xludf.DUMMYFUNCTION("""COMPUTED_VALUE"""),"AMM Octubre")</f>
        <v>AMM Octubre</v>
      </c>
      <c r="I352" s="107" t="str">
        <f ca="1">IFERROR(__xludf.DUMMYFUNCTION("""COMPUTED_VALUE"""),"Octubre")</f>
        <v>Octubre</v>
      </c>
      <c r="J352" s="107" t="str">
        <f ca="1">IFERROR(__xludf.DUMMYFUNCTION("""COMPUTED_VALUE"""),"AMM")</f>
        <v>AMM</v>
      </c>
      <c r="K352" s="40"/>
      <c r="L352" s="107" t="str">
        <f ca="1">IFERROR(__xludf.DUMMYFUNCTION("""COMPUTED_VALUE"""),"TRIMESTRE 4")</f>
        <v>TRIMESTRE 4</v>
      </c>
      <c r="M352" s="107" t="str">
        <f ca="1">IFERROR(__xludf.DUMMYFUNCTION("""COMPUTED_VALUE"""),"ADULTA MAYOR MUJER")</f>
        <v>ADULTA MAYOR MUJER</v>
      </c>
    </row>
    <row r="353" spans="1:13">
      <c r="A353" s="107" t="str">
        <f ca="1">IFERROR(__xludf.DUMMYFUNCTION("""COMPUTED_VALUE"""),"5.1.2.1")</f>
        <v>5.1.2.1</v>
      </c>
      <c r="B353" s="107" t="str">
        <f ca="1">IFERROR(__xludf.DUMMYFUNCTION("""COMPUTED_VALUE"""),"Atención Psicopedagógica Infantil/Dirección del Área de Centros de Inclusión/Dirección del Área de Centros de Inclusión/Coord.5. Inclusión")</f>
        <v>Atención Psicopedagógica Infantil/Dirección del Área de Centros de Inclusión/Dirección del Área de Centros de Inclusión/Coord.5. Inclusión</v>
      </c>
      <c r="C353" s="107" t="str">
        <f ca="1">IFERROR(__xludf.DUMMYFUNCTION("""COMPUTED_VALUE"""),"5. Inclusión")</f>
        <v>5. Inclusión</v>
      </c>
      <c r="D353" s="107" t="str">
        <f ca="1">IFERROR(__xludf.DUMMYFUNCTION("""COMPUTED_VALUE"""),"Guadalajara bien educada")</f>
        <v>Guadalajara bien educada</v>
      </c>
      <c r="E353" s="107" t="str">
        <f ca="1">IFERROR(__xludf.DUMMYFUNCTION("""COMPUTED_VALUE"""),"Atención Psicopedagógica Infantil")</f>
        <v>Atención Psicopedagógica Infantil</v>
      </c>
      <c r="F353" s="107" t="str">
        <f ca="1">IFERROR(__xludf.DUMMYFUNCTION("""COMPUTED_VALUE"""),"A1C2 Actividades de diagnóstico y valoración psicológica ejecutadas para niñas y niños que requieran atención en el CAPI")</f>
        <v>A1C2 Actividades de diagnóstico y valoración psicológica ejecutadas para niñas y niños que requieran atención en el CAPI</v>
      </c>
      <c r="G353" s="107" t="str">
        <f ca="1">IFERROR(__xludf.DUMMYFUNCTION("""COMPUTED_VALUE"""),"Porcentaje de diagnósticos y valoraciones realizados a niñas y niños que requieran atención en el CAPI en 2024")</f>
        <v>Porcentaje de diagnósticos y valoraciones realizados a niñas y niños que requieran atención en el CAPI en 2024</v>
      </c>
      <c r="H353" s="107" t="str">
        <f ca="1">IFERROR(__xludf.DUMMYFUNCTION("""COMPUTED_VALUE"""),"AMH Octubre")</f>
        <v>AMH Octubre</v>
      </c>
      <c r="I353" s="107" t="str">
        <f ca="1">IFERROR(__xludf.DUMMYFUNCTION("""COMPUTED_VALUE"""),"Octubre")</f>
        <v>Octubre</v>
      </c>
      <c r="J353" s="107" t="str">
        <f ca="1">IFERROR(__xludf.DUMMYFUNCTION("""COMPUTED_VALUE"""),"AMH")</f>
        <v>AMH</v>
      </c>
      <c r="K353" s="40"/>
      <c r="L353" s="107" t="str">
        <f ca="1">IFERROR(__xludf.DUMMYFUNCTION("""COMPUTED_VALUE"""),"TRIMESTRE 4")</f>
        <v>TRIMESTRE 4</v>
      </c>
      <c r="M353" s="107" t="str">
        <f ca="1">IFERROR(__xludf.DUMMYFUNCTION("""COMPUTED_VALUE"""),"ADULTO MAYOR HOMBRE")</f>
        <v>ADULTO MAYOR HOMBRE</v>
      </c>
    </row>
    <row r="354" spans="1:13">
      <c r="A354" s="107" t="str">
        <f ca="1">IFERROR(__xludf.DUMMYFUNCTION("""COMPUTED_VALUE"""),"5.1.2.0")</f>
        <v>5.1.2.0</v>
      </c>
      <c r="B354" s="107" t="str">
        <f ca="1">IFERROR(__xludf.DUMMYFUNCTION("""COMPUTED_VALUE"""),"Atención Psicopedagógica Infantil/Jefatura del Departamento de CDI, CAIC  y CEDI/Dirección del Área de Centros de Atención Infantil/Coord.3. Operación")</f>
        <v>Atención Psicopedagógica Infantil/Jefatura del Departamento de CDI, CAIC  y CEDI/Dirección del Área de Centros de Atención Infantil/Coord.3. Operación</v>
      </c>
      <c r="C354" s="107" t="str">
        <f ca="1">IFERROR(__xludf.DUMMYFUNCTION("""COMPUTED_VALUE"""),"3. Operación")</f>
        <v>3. Operación</v>
      </c>
      <c r="D354" s="107" t="str">
        <f ca="1">IFERROR(__xludf.DUMMYFUNCTION("""COMPUTED_VALUE"""),"Guadalajara bien educada")</f>
        <v>Guadalajara bien educada</v>
      </c>
      <c r="E354" s="107" t="str">
        <f ca="1">IFERROR(__xludf.DUMMYFUNCTION("""COMPUTED_VALUE"""),"Atención Psicopedagógica Infantil")</f>
        <v>Atención Psicopedagógica Infantil</v>
      </c>
      <c r="F354" s="107" t="str">
        <f ca="1">IFERROR(__xludf.DUMMYFUNCTION("""COMPUTED_VALUE"""),"C2. Atenciones terapéuticas brindadas a niñas y niños con barreras de aprendizaje en el Centro de Atención Psicopedagógica Infantil")</f>
        <v>C2. Atenciones terapéuticas brindadas a niñas y niños con barreras de aprendizaje en el Centro de Atención Psicopedagógica Infantil</v>
      </c>
      <c r="G354" s="107" t="str">
        <f ca="1">IFERROR(__xludf.DUMMYFUNCTION("""COMPUTED_VALUE"""),"Promedio de personas atendidas con atención terapéutica - educativa en el Centro de Atención Psicopedagógica Infantil durante el 2024")</f>
        <v>Promedio de personas atendidas con atención terapéutica - educativa en el Centro de Atención Psicopedagógica Infantil durante el 2024</v>
      </c>
      <c r="H354" s="107" t="str">
        <f ca="1">IFERROR(__xludf.DUMMYFUNCTION("""COMPUTED_VALUE"""),"NAS noviembre")</f>
        <v>NAS noviembre</v>
      </c>
      <c r="I354" s="107" t="str">
        <f ca="1">IFERROR(__xludf.DUMMYFUNCTION("""COMPUTED_VALUE"""),"noviembre")</f>
        <v>noviembre</v>
      </c>
      <c r="J354" s="107" t="str">
        <f ca="1">IFERROR(__xludf.DUMMYFUNCTION("""COMPUTED_VALUE"""),"NAS")</f>
        <v>NAS</v>
      </c>
      <c r="K354" s="40">
        <f ca="1">IFERROR(__xludf.DUMMYFUNCTION("""COMPUTED_VALUE"""),0)</f>
        <v>0</v>
      </c>
      <c r="L354" s="107" t="str">
        <f ca="1">IFERROR(__xludf.DUMMYFUNCTION("""COMPUTED_VALUE"""),"TRIMESTRE 4")</f>
        <v>TRIMESTRE 4</v>
      </c>
      <c r="M354" s="107" t="str">
        <f ca="1">IFERROR(__xludf.DUMMYFUNCTION("""COMPUTED_VALUE"""),"NIÑAS")</f>
        <v>NIÑAS</v>
      </c>
    </row>
    <row r="355" spans="1:13">
      <c r="A355" s="107" t="str">
        <f ca="1">IFERROR(__xludf.DUMMYFUNCTION("""COMPUTED_VALUE"""),"5.1.2.0")</f>
        <v>5.1.2.0</v>
      </c>
      <c r="B355" s="107" t="str">
        <f ca="1">IFERROR(__xludf.DUMMYFUNCTION("""COMPUTED_VALUE"""),"Atención Psicopedagógica Infantil/Jefatura del Departamento de CDI, CAIC  y CEDI/Dirección del Área de Centros de Atención Infantil/Coord.3. Operación")</f>
        <v>Atención Psicopedagógica Infantil/Jefatura del Departamento de CDI, CAIC  y CEDI/Dirección del Área de Centros de Atención Infantil/Coord.3. Operación</v>
      </c>
      <c r="C355" s="107" t="str">
        <f ca="1">IFERROR(__xludf.DUMMYFUNCTION("""COMPUTED_VALUE"""),"3. Operación")</f>
        <v>3. Operación</v>
      </c>
      <c r="D355" s="107" t="str">
        <f ca="1">IFERROR(__xludf.DUMMYFUNCTION("""COMPUTED_VALUE"""),"Guadalajara bien educada")</f>
        <v>Guadalajara bien educada</v>
      </c>
      <c r="E355" s="107" t="str">
        <f ca="1">IFERROR(__xludf.DUMMYFUNCTION("""COMPUTED_VALUE"""),"Atención Psicopedagógica Infantil")</f>
        <v>Atención Psicopedagógica Infantil</v>
      </c>
      <c r="F355" s="107" t="str">
        <f ca="1">IFERROR(__xludf.DUMMYFUNCTION("""COMPUTED_VALUE"""),"C2. Atenciones terapéuticas brindadas a niñas y niños con barreras de aprendizaje en el Centro de Atención Psicopedagógica Infantil")</f>
        <v>C2. Atenciones terapéuticas brindadas a niñas y niños con barreras de aprendizaje en el Centro de Atención Psicopedagógica Infantil</v>
      </c>
      <c r="G355" s="107" t="str">
        <f ca="1">IFERROR(__xludf.DUMMYFUNCTION("""COMPUTED_VALUE"""),"Promedio de personas atendidas con atención terapéutica - educativa en el Centro de Atención Psicopedagógica Infantil durante el 2024")</f>
        <v>Promedio de personas atendidas con atención terapéutica - educativa en el Centro de Atención Psicopedagógica Infantil durante el 2024</v>
      </c>
      <c r="H355" s="107" t="str">
        <f ca="1">IFERROR(__xludf.DUMMYFUNCTION("""COMPUTED_VALUE"""),"NOS noviembre")</f>
        <v>NOS noviembre</v>
      </c>
      <c r="I355" s="107" t="str">
        <f ca="1">IFERROR(__xludf.DUMMYFUNCTION("""COMPUTED_VALUE"""),"noviembre")</f>
        <v>noviembre</v>
      </c>
      <c r="J355" s="107" t="str">
        <f ca="1">IFERROR(__xludf.DUMMYFUNCTION("""COMPUTED_VALUE"""),"NOS")</f>
        <v>NOS</v>
      </c>
      <c r="K355" s="40">
        <f ca="1">IFERROR(__xludf.DUMMYFUNCTION("""COMPUTED_VALUE"""),0)</f>
        <v>0</v>
      </c>
      <c r="L355" s="107" t="str">
        <f ca="1">IFERROR(__xludf.DUMMYFUNCTION("""COMPUTED_VALUE"""),"TRIMESTRE 4")</f>
        <v>TRIMESTRE 4</v>
      </c>
      <c r="M355" s="107" t="str">
        <f ca="1">IFERROR(__xludf.DUMMYFUNCTION("""COMPUTED_VALUE"""),"NIÑOS")</f>
        <v>NIÑOS</v>
      </c>
    </row>
    <row r="356" spans="1:13">
      <c r="A356" s="107" t="str">
        <f ca="1">IFERROR(__xludf.DUMMYFUNCTION("""COMPUTED_VALUE"""),"5.1.2.0")</f>
        <v>5.1.2.0</v>
      </c>
      <c r="B356" s="107" t="str">
        <f ca="1">IFERROR(__xludf.DUMMYFUNCTION("""COMPUTED_VALUE"""),"Atención Psicopedagógica Infantil/Jefatura del Departamento de CDI, CAIC  y CEDI/Dirección del Área de Centros de Atención Infantil/Coord.3. Operación")</f>
        <v>Atención Psicopedagógica Infantil/Jefatura del Departamento de CDI, CAIC  y CEDI/Dirección del Área de Centros de Atención Infantil/Coord.3. Operación</v>
      </c>
      <c r="C356" s="107" t="str">
        <f ca="1">IFERROR(__xludf.DUMMYFUNCTION("""COMPUTED_VALUE"""),"3. Operación")</f>
        <v>3. Operación</v>
      </c>
      <c r="D356" s="107" t="str">
        <f ca="1">IFERROR(__xludf.DUMMYFUNCTION("""COMPUTED_VALUE"""),"Guadalajara bien educada")</f>
        <v>Guadalajara bien educada</v>
      </c>
      <c r="E356" s="107" t="str">
        <f ca="1">IFERROR(__xludf.DUMMYFUNCTION("""COMPUTED_VALUE"""),"Atención Psicopedagógica Infantil")</f>
        <v>Atención Psicopedagógica Infantil</v>
      </c>
      <c r="F356" s="107" t="str">
        <f ca="1">IFERROR(__xludf.DUMMYFUNCTION("""COMPUTED_VALUE"""),"C2. Atenciones terapéuticas brindadas a niñas y niños con barreras de aprendizaje en el Centro de Atención Psicopedagógica Infantil")</f>
        <v>C2. Atenciones terapéuticas brindadas a niñas y niños con barreras de aprendizaje en el Centro de Atención Psicopedagógica Infantil</v>
      </c>
      <c r="G356" s="107" t="str">
        <f ca="1">IFERROR(__xludf.DUMMYFUNCTION("""COMPUTED_VALUE"""),"Promedio de personas atendidas con atención terapéutica - educativa en el Centro de Atención Psicopedagógica Infantil durante el 2024")</f>
        <v>Promedio de personas atendidas con atención terapéutica - educativa en el Centro de Atención Psicopedagógica Infantil durante el 2024</v>
      </c>
      <c r="H356" s="107" t="str">
        <f ca="1">IFERROR(__xludf.DUMMYFUNCTION("""COMPUTED_VALUE"""),"AM noviembre")</f>
        <v>AM noviembre</v>
      </c>
      <c r="I356" s="107" t="str">
        <f ca="1">IFERROR(__xludf.DUMMYFUNCTION("""COMPUTED_VALUE"""),"noviembre")</f>
        <v>noviembre</v>
      </c>
      <c r="J356" s="107" t="str">
        <f ca="1">IFERROR(__xludf.DUMMYFUNCTION("""COMPUTED_VALUE"""),"AM")</f>
        <v>AM</v>
      </c>
      <c r="K356" s="40">
        <f ca="1">IFERROR(__xludf.DUMMYFUNCTION("""COMPUTED_VALUE"""),0)</f>
        <v>0</v>
      </c>
      <c r="L356" s="107" t="str">
        <f ca="1">IFERROR(__xludf.DUMMYFUNCTION("""COMPUTED_VALUE"""),"TRIMESTRE 4")</f>
        <v>TRIMESTRE 4</v>
      </c>
      <c r="M356" s="107" t="str">
        <f ca="1">IFERROR(__xludf.DUMMYFUNCTION("""COMPUTED_VALUE"""),"ADOLESCENTES MUJERES")</f>
        <v>ADOLESCENTES MUJERES</v>
      </c>
    </row>
    <row r="357" spans="1:13">
      <c r="A357" s="107" t="str">
        <f ca="1">IFERROR(__xludf.DUMMYFUNCTION("""COMPUTED_VALUE"""),"5.1.2.0")</f>
        <v>5.1.2.0</v>
      </c>
      <c r="B357" s="107" t="str">
        <f ca="1">IFERROR(__xludf.DUMMYFUNCTION("""COMPUTED_VALUE"""),"Atención Psicopedagógica Infantil/Jefatura del Departamento de CDI, CAIC  y CEDI/Dirección del Área de Centros de Atención Infantil/Coord.3. Operación")</f>
        <v>Atención Psicopedagógica Infantil/Jefatura del Departamento de CDI, CAIC  y CEDI/Dirección del Área de Centros de Atención Infantil/Coord.3. Operación</v>
      </c>
      <c r="C357" s="107" t="str">
        <f ca="1">IFERROR(__xludf.DUMMYFUNCTION("""COMPUTED_VALUE"""),"3. Operación")</f>
        <v>3. Operación</v>
      </c>
      <c r="D357" s="107" t="str">
        <f ca="1">IFERROR(__xludf.DUMMYFUNCTION("""COMPUTED_VALUE"""),"Guadalajara bien educada")</f>
        <v>Guadalajara bien educada</v>
      </c>
      <c r="E357" s="107" t="str">
        <f ca="1">IFERROR(__xludf.DUMMYFUNCTION("""COMPUTED_VALUE"""),"Atención Psicopedagógica Infantil")</f>
        <v>Atención Psicopedagógica Infantil</v>
      </c>
      <c r="F357" s="107" t="str">
        <f ca="1">IFERROR(__xludf.DUMMYFUNCTION("""COMPUTED_VALUE"""),"C2. Atenciones terapéuticas brindadas a niñas y niños con barreras de aprendizaje en el Centro de Atención Psicopedagógica Infantil")</f>
        <v>C2. Atenciones terapéuticas brindadas a niñas y niños con barreras de aprendizaje en el Centro de Atención Psicopedagógica Infantil</v>
      </c>
      <c r="G357" s="107" t="str">
        <f ca="1">IFERROR(__xludf.DUMMYFUNCTION("""COMPUTED_VALUE"""),"Promedio de personas atendidas con atención terapéutica - educativa en el Centro de Atención Psicopedagógica Infantil durante el 2024")</f>
        <v>Promedio de personas atendidas con atención terapéutica - educativa en el Centro de Atención Psicopedagógica Infantil durante el 2024</v>
      </c>
      <c r="H357" s="107" t="str">
        <f ca="1">IFERROR(__xludf.DUMMYFUNCTION("""COMPUTED_VALUE"""),"AH noviembre")</f>
        <v>AH noviembre</v>
      </c>
      <c r="I357" s="107" t="str">
        <f ca="1">IFERROR(__xludf.DUMMYFUNCTION("""COMPUTED_VALUE"""),"noviembre")</f>
        <v>noviembre</v>
      </c>
      <c r="J357" s="107" t="str">
        <f ca="1">IFERROR(__xludf.DUMMYFUNCTION("""COMPUTED_VALUE"""),"AH")</f>
        <v>AH</v>
      </c>
      <c r="K357" s="40">
        <f ca="1">IFERROR(__xludf.DUMMYFUNCTION("""COMPUTED_VALUE"""),0)</f>
        <v>0</v>
      </c>
      <c r="L357" s="107" t="str">
        <f ca="1">IFERROR(__xludf.DUMMYFUNCTION("""COMPUTED_VALUE"""),"TRIMESTRE 4")</f>
        <v>TRIMESTRE 4</v>
      </c>
      <c r="M357" s="107" t="str">
        <f ca="1">IFERROR(__xludf.DUMMYFUNCTION("""COMPUTED_VALUE"""),"ADOLESCENTES HOMBRES")</f>
        <v>ADOLESCENTES HOMBRES</v>
      </c>
    </row>
    <row r="358" spans="1:13">
      <c r="A358" s="107" t="str">
        <f ca="1">IFERROR(__xludf.DUMMYFUNCTION("""COMPUTED_VALUE"""),"5.1.2.0")</f>
        <v>5.1.2.0</v>
      </c>
      <c r="B358" s="107" t="str">
        <f ca="1">IFERROR(__xludf.DUMMYFUNCTION("""COMPUTED_VALUE"""),"Atención Psicopedagógica Infantil/Jefatura del Departamento de CDI, CAIC  y CEDI/Dirección del Área de Centros de Atención Infantil/Coord.3. Operación")</f>
        <v>Atención Psicopedagógica Infantil/Jefatura del Departamento de CDI, CAIC  y CEDI/Dirección del Área de Centros de Atención Infantil/Coord.3. Operación</v>
      </c>
      <c r="C358" s="107" t="str">
        <f ca="1">IFERROR(__xludf.DUMMYFUNCTION("""COMPUTED_VALUE"""),"3. Operación")</f>
        <v>3. Operación</v>
      </c>
      <c r="D358" s="107" t="str">
        <f ca="1">IFERROR(__xludf.DUMMYFUNCTION("""COMPUTED_VALUE"""),"Guadalajara bien educada")</f>
        <v>Guadalajara bien educada</v>
      </c>
      <c r="E358" s="107" t="str">
        <f ca="1">IFERROR(__xludf.DUMMYFUNCTION("""COMPUTED_VALUE"""),"Atención Psicopedagógica Infantil")</f>
        <v>Atención Psicopedagógica Infantil</v>
      </c>
      <c r="F358" s="107" t="str">
        <f ca="1">IFERROR(__xludf.DUMMYFUNCTION("""COMPUTED_VALUE"""),"C2. Atenciones terapéuticas brindadas a niñas y niños con barreras de aprendizaje en el Centro de Atención Psicopedagógica Infantil")</f>
        <v>C2. Atenciones terapéuticas brindadas a niñas y niños con barreras de aprendizaje en el Centro de Atención Psicopedagógica Infantil</v>
      </c>
      <c r="G358" s="107" t="str">
        <f ca="1">IFERROR(__xludf.DUMMYFUNCTION("""COMPUTED_VALUE"""),"Promedio de personas atendidas con atención terapéutica - educativa en el Centro de Atención Psicopedagógica Infantil durante el 2024")</f>
        <v>Promedio de personas atendidas con atención terapéutica - educativa en el Centro de Atención Psicopedagógica Infantil durante el 2024</v>
      </c>
      <c r="H358" s="107" t="str">
        <f ca="1">IFERROR(__xludf.DUMMYFUNCTION("""COMPUTED_VALUE"""),"MUJ noviembre")</f>
        <v>MUJ noviembre</v>
      </c>
      <c r="I358" s="107" t="str">
        <f ca="1">IFERROR(__xludf.DUMMYFUNCTION("""COMPUTED_VALUE"""),"noviembre")</f>
        <v>noviembre</v>
      </c>
      <c r="J358" s="107" t="str">
        <f ca="1">IFERROR(__xludf.DUMMYFUNCTION("""COMPUTED_VALUE"""),"MUJ")</f>
        <v>MUJ</v>
      </c>
      <c r="K358" s="40"/>
      <c r="L358" s="107" t="str">
        <f ca="1">IFERROR(__xludf.DUMMYFUNCTION("""COMPUTED_VALUE"""),"TRIMESTRE 4")</f>
        <v>TRIMESTRE 4</v>
      </c>
      <c r="M358" s="107" t="str">
        <f ca="1">IFERROR(__xludf.DUMMYFUNCTION("""COMPUTED_VALUE"""),"MUJERES ADULTAS")</f>
        <v>MUJERES ADULTAS</v>
      </c>
    </row>
    <row r="359" spans="1:13">
      <c r="A359" s="107" t="str">
        <f ca="1">IFERROR(__xludf.DUMMYFUNCTION("""COMPUTED_VALUE"""),"5.1.2.0")</f>
        <v>5.1.2.0</v>
      </c>
      <c r="B359" s="107" t="str">
        <f ca="1">IFERROR(__xludf.DUMMYFUNCTION("""COMPUTED_VALUE"""),"Atención Psicopedagógica Infantil/Jefatura del Departamento de CDI, CAIC  y CEDI/Dirección del Área de Centros de Atención Infantil/Coord.3. Operación")</f>
        <v>Atención Psicopedagógica Infantil/Jefatura del Departamento de CDI, CAIC  y CEDI/Dirección del Área de Centros de Atención Infantil/Coord.3. Operación</v>
      </c>
      <c r="C359" s="107" t="str">
        <f ca="1">IFERROR(__xludf.DUMMYFUNCTION("""COMPUTED_VALUE"""),"3. Operación")</f>
        <v>3. Operación</v>
      </c>
      <c r="D359" s="107" t="str">
        <f ca="1">IFERROR(__xludf.DUMMYFUNCTION("""COMPUTED_VALUE"""),"Guadalajara bien educada")</f>
        <v>Guadalajara bien educada</v>
      </c>
      <c r="E359" s="107" t="str">
        <f ca="1">IFERROR(__xludf.DUMMYFUNCTION("""COMPUTED_VALUE"""),"Atención Psicopedagógica Infantil")</f>
        <v>Atención Psicopedagógica Infantil</v>
      </c>
      <c r="F359" s="107" t="str">
        <f ca="1">IFERROR(__xludf.DUMMYFUNCTION("""COMPUTED_VALUE"""),"C2. Atenciones terapéuticas brindadas a niñas y niños con barreras de aprendizaje en el Centro de Atención Psicopedagógica Infantil")</f>
        <v>C2. Atenciones terapéuticas brindadas a niñas y niños con barreras de aprendizaje en el Centro de Atención Psicopedagógica Infantil</v>
      </c>
      <c r="G359" s="107" t="str">
        <f ca="1">IFERROR(__xludf.DUMMYFUNCTION("""COMPUTED_VALUE"""),"Promedio de personas atendidas con atención terapéutica - educativa en el Centro de Atención Psicopedagógica Infantil durante el 2024")</f>
        <v>Promedio de personas atendidas con atención terapéutica - educativa en el Centro de Atención Psicopedagógica Infantil durante el 2024</v>
      </c>
      <c r="H359" s="107" t="str">
        <f ca="1">IFERROR(__xludf.DUMMYFUNCTION("""COMPUTED_VALUE"""),"HOM noviembre")</f>
        <v>HOM noviembre</v>
      </c>
      <c r="I359" s="107" t="str">
        <f ca="1">IFERROR(__xludf.DUMMYFUNCTION("""COMPUTED_VALUE"""),"noviembre")</f>
        <v>noviembre</v>
      </c>
      <c r="J359" s="107" t="str">
        <f ca="1">IFERROR(__xludf.DUMMYFUNCTION("""COMPUTED_VALUE"""),"HOM")</f>
        <v>HOM</v>
      </c>
      <c r="K359" s="40"/>
      <c r="L359" s="107" t="str">
        <f ca="1">IFERROR(__xludf.DUMMYFUNCTION("""COMPUTED_VALUE"""),"TRIMESTRE 4")</f>
        <v>TRIMESTRE 4</v>
      </c>
      <c r="M359" s="107" t="str">
        <f ca="1">IFERROR(__xludf.DUMMYFUNCTION("""COMPUTED_VALUE"""),"HOMBRES ADULTOS")</f>
        <v>HOMBRES ADULTOS</v>
      </c>
    </row>
    <row r="360" spans="1:13">
      <c r="A360" s="107" t="str">
        <f ca="1">IFERROR(__xludf.DUMMYFUNCTION("""COMPUTED_VALUE"""),"5.1.2.0")</f>
        <v>5.1.2.0</v>
      </c>
      <c r="B360" s="107" t="str">
        <f ca="1">IFERROR(__xludf.DUMMYFUNCTION("""COMPUTED_VALUE"""),"Atención Psicopedagógica Infantil/Jefatura del Departamento de CDI, CAIC  y CEDI/Dirección del Área de Centros de Atención Infantil/Coord.3. Operación")</f>
        <v>Atención Psicopedagógica Infantil/Jefatura del Departamento de CDI, CAIC  y CEDI/Dirección del Área de Centros de Atención Infantil/Coord.3. Operación</v>
      </c>
      <c r="C360" s="107" t="str">
        <f ca="1">IFERROR(__xludf.DUMMYFUNCTION("""COMPUTED_VALUE"""),"3. Operación")</f>
        <v>3. Operación</v>
      </c>
      <c r="D360" s="107" t="str">
        <f ca="1">IFERROR(__xludf.DUMMYFUNCTION("""COMPUTED_VALUE"""),"Guadalajara bien educada")</f>
        <v>Guadalajara bien educada</v>
      </c>
      <c r="E360" s="107" t="str">
        <f ca="1">IFERROR(__xludf.DUMMYFUNCTION("""COMPUTED_VALUE"""),"Atención Psicopedagógica Infantil")</f>
        <v>Atención Psicopedagógica Infantil</v>
      </c>
      <c r="F360" s="107" t="str">
        <f ca="1">IFERROR(__xludf.DUMMYFUNCTION("""COMPUTED_VALUE"""),"C2. Atenciones terapéuticas brindadas a niñas y niños con barreras de aprendizaje en el Centro de Atención Psicopedagógica Infantil")</f>
        <v>C2. Atenciones terapéuticas brindadas a niñas y niños con barreras de aprendizaje en el Centro de Atención Psicopedagógica Infantil</v>
      </c>
      <c r="G360" s="107" t="str">
        <f ca="1">IFERROR(__xludf.DUMMYFUNCTION("""COMPUTED_VALUE"""),"Promedio de personas atendidas con atención terapéutica - educativa en el Centro de Atención Psicopedagógica Infantil durante el 2024")</f>
        <v>Promedio de personas atendidas con atención terapéutica - educativa en el Centro de Atención Psicopedagógica Infantil durante el 2024</v>
      </c>
      <c r="H360" s="107" t="str">
        <f ca="1">IFERROR(__xludf.DUMMYFUNCTION("""COMPUTED_VALUE"""),"AMM noviembre")</f>
        <v>AMM noviembre</v>
      </c>
      <c r="I360" s="107" t="str">
        <f ca="1">IFERROR(__xludf.DUMMYFUNCTION("""COMPUTED_VALUE"""),"noviembre")</f>
        <v>noviembre</v>
      </c>
      <c r="J360" s="107" t="str">
        <f ca="1">IFERROR(__xludf.DUMMYFUNCTION("""COMPUTED_VALUE"""),"AMM")</f>
        <v>AMM</v>
      </c>
      <c r="K360" s="40"/>
      <c r="L360" s="107" t="str">
        <f ca="1">IFERROR(__xludf.DUMMYFUNCTION("""COMPUTED_VALUE"""),"TRIMESTRE 4")</f>
        <v>TRIMESTRE 4</v>
      </c>
      <c r="M360" s="107" t="str">
        <f ca="1">IFERROR(__xludf.DUMMYFUNCTION("""COMPUTED_VALUE"""),"ADULTA MAYOR MUJER")</f>
        <v>ADULTA MAYOR MUJER</v>
      </c>
    </row>
    <row r="361" spans="1:13">
      <c r="A361" s="107" t="str">
        <f ca="1">IFERROR(__xludf.DUMMYFUNCTION("""COMPUTED_VALUE"""),"5.1.2.0")</f>
        <v>5.1.2.0</v>
      </c>
      <c r="B361" s="107" t="str">
        <f ca="1">IFERROR(__xludf.DUMMYFUNCTION("""COMPUTED_VALUE"""),"Atención Psicopedagógica Infantil/Jefatura del Departamento de CDI, CAIC  y CEDI/Dirección del Área de Centros de Atención Infantil/Coord.3. Operación")</f>
        <v>Atención Psicopedagógica Infantil/Jefatura del Departamento de CDI, CAIC  y CEDI/Dirección del Área de Centros de Atención Infantil/Coord.3. Operación</v>
      </c>
      <c r="C361" s="107" t="str">
        <f ca="1">IFERROR(__xludf.DUMMYFUNCTION("""COMPUTED_VALUE"""),"3. Operación")</f>
        <v>3. Operación</v>
      </c>
      <c r="D361" s="107" t="str">
        <f ca="1">IFERROR(__xludf.DUMMYFUNCTION("""COMPUTED_VALUE"""),"Guadalajara bien educada")</f>
        <v>Guadalajara bien educada</v>
      </c>
      <c r="E361" s="107" t="str">
        <f ca="1">IFERROR(__xludf.DUMMYFUNCTION("""COMPUTED_VALUE"""),"Atención Psicopedagógica Infantil")</f>
        <v>Atención Psicopedagógica Infantil</v>
      </c>
      <c r="F361" s="107" t="str">
        <f ca="1">IFERROR(__xludf.DUMMYFUNCTION("""COMPUTED_VALUE"""),"C2. Atenciones terapéuticas brindadas a niñas y niños con barreras de aprendizaje en el Centro de Atención Psicopedagógica Infantil")</f>
        <v>C2. Atenciones terapéuticas brindadas a niñas y niños con barreras de aprendizaje en el Centro de Atención Psicopedagógica Infantil</v>
      </c>
      <c r="G361" s="107" t="str">
        <f ca="1">IFERROR(__xludf.DUMMYFUNCTION("""COMPUTED_VALUE"""),"Promedio de personas atendidas con atención terapéutica - educativa en el Centro de Atención Psicopedagógica Infantil durante el 2024")</f>
        <v>Promedio de personas atendidas con atención terapéutica - educativa en el Centro de Atención Psicopedagógica Infantil durante el 2024</v>
      </c>
      <c r="H361" s="107" t="str">
        <f ca="1">IFERROR(__xludf.DUMMYFUNCTION("""COMPUTED_VALUE"""),"AMH noviembre")</f>
        <v>AMH noviembre</v>
      </c>
      <c r="I361" s="107" t="str">
        <f ca="1">IFERROR(__xludf.DUMMYFUNCTION("""COMPUTED_VALUE"""),"noviembre")</f>
        <v>noviembre</v>
      </c>
      <c r="J361" s="107" t="str">
        <f ca="1">IFERROR(__xludf.DUMMYFUNCTION("""COMPUTED_VALUE"""),"AMH")</f>
        <v>AMH</v>
      </c>
      <c r="K361" s="40"/>
      <c r="L361" s="107" t="str">
        <f ca="1">IFERROR(__xludf.DUMMYFUNCTION("""COMPUTED_VALUE"""),"TRIMESTRE 4")</f>
        <v>TRIMESTRE 4</v>
      </c>
      <c r="M361" s="107" t="str">
        <f ca="1">IFERROR(__xludf.DUMMYFUNCTION("""COMPUTED_VALUE"""),"ADULTO MAYOR HOMBRE")</f>
        <v>ADULTO MAYOR HOMBRE</v>
      </c>
    </row>
    <row r="362" spans="1:13">
      <c r="A362" s="107" t="str">
        <f ca="1">IFERROR(__xludf.DUMMYFUNCTION("""COMPUTED_VALUE"""),"5.1.2.1")</f>
        <v>5.1.2.1</v>
      </c>
      <c r="B362" s="107" t="str">
        <f ca="1">IFERROR(__xludf.DUMMYFUNCTION("""COMPUTED_VALUE"""),"Atención Psicopedagógica Infantil/Dirección del Área de Centros de Inclusión/Dirección del Área de Centros de Inclusión/Coord.5. Inclusión")</f>
        <v>Atención Psicopedagógica Infantil/Dirección del Área de Centros de Inclusión/Dirección del Área de Centros de Inclusión/Coord.5. Inclusión</v>
      </c>
      <c r="C362" s="107" t="str">
        <f ca="1">IFERROR(__xludf.DUMMYFUNCTION("""COMPUTED_VALUE"""),"5. Inclusión")</f>
        <v>5. Inclusión</v>
      </c>
      <c r="D362" s="107" t="str">
        <f ca="1">IFERROR(__xludf.DUMMYFUNCTION("""COMPUTED_VALUE"""),"Guadalajara bien educada")</f>
        <v>Guadalajara bien educada</v>
      </c>
      <c r="E362" s="107" t="str">
        <f ca="1">IFERROR(__xludf.DUMMYFUNCTION("""COMPUTED_VALUE"""),"Atención Psicopedagógica Infantil")</f>
        <v>Atención Psicopedagógica Infantil</v>
      </c>
      <c r="F362" s="107" t="str">
        <f ca="1">IFERROR(__xludf.DUMMYFUNCTION("""COMPUTED_VALUE"""),"A1C2 Actividades de diagnóstico y valoración psicológica ejecutadas para niñas y niños que requieran atención en el CAPI")</f>
        <v>A1C2 Actividades de diagnóstico y valoración psicológica ejecutadas para niñas y niños que requieran atención en el CAPI</v>
      </c>
      <c r="G362" s="107" t="str">
        <f ca="1">IFERROR(__xludf.DUMMYFUNCTION("""COMPUTED_VALUE"""),"Porcentaje de diagnósticos y valoraciones realizados a niñas y niños que requieran atención en el CAPI en 2024")</f>
        <v>Porcentaje de diagnósticos y valoraciones realizados a niñas y niños que requieran atención en el CAPI en 2024</v>
      </c>
      <c r="H362" s="107" t="str">
        <f ca="1">IFERROR(__xludf.DUMMYFUNCTION("""COMPUTED_VALUE"""),"NAS noviembre")</f>
        <v>NAS noviembre</v>
      </c>
      <c r="I362" s="107" t="str">
        <f ca="1">IFERROR(__xludf.DUMMYFUNCTION("""COMPUTED_VALUE"""),"noviembre")</f>
        <v>noviembre</v>
      </c>
      <c r="J362" s="107" t="str">
        <f ca="1">IFERROR(__xludf.DUMMYFUNCTION("""COMPUTED_VALUE"""),"NAS")</f>
        <v>NAS</v>
      </c>
      <c r="K362" s="40">
        <f ca="1">IFERROR(__xludf.DUMMYFUNCTION("""COMPUTED_VALUE"""),0)</f>
        <v>0</v>
      </c>
      <c r="L362" s="107" t="str">
        <f ca="1">IFERROR(__xludf.DUMMYFUNCTION("""COMPUTED_VALUE"""),"TRIMESTRE 4")</f>
        <v>TRIMESTRE 4</v>
      </c>
      <c r="M362" s="107" t="str">
        <f ca="1">IFERROR(__xludf.DUMMYFUNCTION("""COMPUTED_VALUE"""),"NIÑAS")</f>
        <v>NIÑAS</v>
      </c>
    </row>
    <row r="363" spans="1:13">
      <c r="A363" s="107" t="str">
        <f ca="1">IFERROR(__xludf.DUMMYFUNCTION("""COMPUTED_VALUE"""),"5.1.2.1")</f>
        <v>5.1.2.1</v>
      </c>
      <c r="B363" s="107" t="str">
        <f ca="1">IFERROR(__xludf.DUMMYFUNCTION("""COMPUTED_VALUE"""),"Atención Psicopedagógica Infantil/Dirección del Área de Centros de Inclusión/Dirección del Área de Centros de Inclusión/Coord.5. Inclusión")</f>
        <v>Atención Psicopedagógica Infantil/Dirección del Área de Centros de Inclusión/Dirección del Área de Centros de Inclusión/Coord.5. Inclusión</v>
      </c>
      <c r="C363" s="107" t="str">
        <f ca="1">IFERROR(__xludf.DUMMYFUNCTION("""COMPUTED_VALUE"""),"5. Inclusión")</f>
        <v>5. Inclusión</v>
      </c>
      <c r="D363" s="107" t="str">
        <f ca="1">IFERROR(__xludf.DUMMYFUNCTION("""COMPUTED_VALUE"""),"Guadalajara bien educada")</f>
        <v>Guadalajara bien educada</v>
      </c>
      <c r="E363" s="107" t="str">
        <f ca="1">IFERROR(__xludf.DUMMYFUNCTION("""COMPUTED_VALUE"""),"Atención Psicopedagógica Infantil")</f>
        <v>Atención Psicopedagógica Infantil</v>
      </c>
      <c r="F363" s="107" t="str">
        <f ca="1">IFERROR(__xludf.DUMMYFUNCTION("""COMPUTED_VALUE"""),"A1C2 Actividades de diagnóstico y valoración psicológica ejecutadas para niñas y niños que requieran atención en el CAPI")</f>
        <v>A1C2 Actividades de diagnóstico y valoración psicológica ejecutadas para niñas y niños que requieran atención en el CAPI</v>
      </c>
      <c r="G363" s="107" t="str">
        <f ca="1">IFERROR(__xludf.DUMMYFUNCTION("""COMPUTED_VALUE"""),"Porcentaje de diagnósticos y valoraciones realizados a niñas y niños que requieran atención en el CAPI en 2024")</f>
        <v>Porcentaje de diagnósticos y valoraciones realizados a niñas y niños que requieran atención en el CAPI en 2024</v>
      </c>
      <c r="H363" s="107" t="str">
        <f ca="1">IFERROR(__xludf.DUMMYFUNCTION("""COMPUTED_VALUE"""),"NOS noviembre")</f>
        <v>NOS noviembre</v>
      </c>
      <c r="I363" s="107" t="str">
        <f ca="1">IFERROR(__xludf.DUMMYFUNCTION("""COMPUTED_VALUE"""),"noviembre")</f>
        <v>noviembre</v>
      </c>
      <c r="J363" s="107" t="str">
        <f ca="1">IFERROR(__xludf.DUMMYFUNCTION("""COMPUTED_VALUE"""),"NOS")</f>
        <v>NOS</v>
      </c>
      <c r="K363" s="40">
        <f ca="1">IFERROR(__xludf.DUMMYFUNCTION("""COMPUTED_VALUE"""),0)</f>
        <v>0</v>
      </c>
      <c r="L363" s="107" t="str">
        <f ca="1">IFERROR(__xludf.DUMMYFUNCTION("""COMPUTED_VALUE"""),"TRIMESTRE 4")</f>
        <v>TRIMESTRE 4</v>
      </c>
      <c r="M363" s="107" t="str">
        <f ca="1">IFERROR(__xludf.DUMMYFUNCTION("""COMPUTED_VALUE"""),"NIÑOS")</f>
        <v>NIÑOS</v>
      </c>
    </row>
    <row r="364" spans="1:13">
      <c r="A364" s="107" t="str">
        <f ca="1">IFERROR(__xludf.DUMMYFUNCTION("""COMPUTED_VALUE"""),"5.1.2.1")</f>
        <v>5.1.2.1</v>
      </c>
      <c r="B364" s="107" t="str">
        <f ca="1">IFERROR(__xludf.DUMMYFUNCTION("""COMPUTED_VALUE"""),"Atención Psicopedagógica Infantil/Dirección del Área de Centros de Inclusión/Dirección del Área de Centros de Inclusión/Coord.5. Inclusión")</f>
        <v>Atención Psicopedagógica Infantil/Dirección del Área de Centros de Inclusión/Dirección del Área de Centros de Inclusión/Coord.5. Inclusión</v>
      </c>
      <c r="C364" s="107" t="str">
        <f ca="1">IFERROR(__xludf.DUMMYFUNCTION("""COMPUTED_VALUE"""),"5. Inclusión")</f>
        <v>5. Inclusión</v>
      </c>
      <c r="D364" s="107" t="str">
        <f ca="1">IFERROR(__xludf.DUMMYFUNCTION("""COMPUTED_VALUE"""),"Guadalajara bien educada")</f>
        <v>Guadalajara bien educada</v>
      </c>
      <c r="E364" s="107" t="str">
        <f ca="1">IFERROR(__xludf.DUMMYFUNCTION("""COMPUTED_VALUE"""),"Atención Psicopedagógica Infantil")</f>
        <v>Atención Psicopedagógica Infantil</v>
      </c>
      <c r="F364" s="107" t="str">
        <f ca="1">IFERROR(__xludf.DUMMYFUNCTION("""COMPUTED_VALUE"""),"A1C2 Actividades de diagnóstico y valoración psicológica ejecutadas para niñas y niños que requieran atención en el CAPI")</f>
        <v>A1C2 Actividades de diagnóstico y valoración psicológica ejecutadas para niñas y niños que requieran atención en el CAPI</v>
      </c>
      <c r="G364" s="107" t="str">
        <f ca="1">IFERROR(__xludf.DUMMYFUNCTION("""COMPUTED_VALUE"""),"Porcentaje de diagnósticos y valoraciones realizados a niñas y niños que requieran atención en el CAPI en 2024")</f>
        <v>Porcentaje de diagnósticos y valoraciones realizados a niñas y niños que requieran atención en el CAPI en 2024</v>
      </c>
      <c r="H364" s="107" t="str">
        <f ca="1">IFERROR(__xludf.DUMMYFUNCTION("""COMPUTED_VALUE"""),"AM noviembre")</f>
        <v>AM noviembre</v>
      </c>
      <c r="I364" s="107" t="str">
        <f ca="1">IFERROR(__xludf.DUMMYFUNCTION("""COMPUTED_VALUE"""),"noviembre")</f>
        <v>noviembre</v>
      </c>
      <c r="J364" s="107" t="str">
        <f ca="1">IFERROR(__xludf.DUMMYFUNCTION("""COMPUTED_VALUE"""),"AM")</f>
        <v>AM</v>
      </c>
      <c r="K364" s="40">
        <f ca="1">IFERROR(__xludf.DUMMYFUNCTION("""COMPUTED_VALUE"""),0)</f>
        <v>0</v>
      </c>
      <c r="L364" s="107" t="str">
        <f ca="1">IFERROR(__xludf.DUMMYFUNCTION("""COMPUTED_VALUE"""),"TRIMESTRE 4")</f>
        <v>TRIMESTRE 4</v>
      </c>
      <c r="M364" s="107" t="str">
        <f ca="1">IFERROR(__xludf.DUMMYFUNCTION("""COMPUTED_VALUE"""),"ADOLESCENTES MUJERES")</f>
        <v>ADOLESCENTES MUJERES</v>
      </c>
    </row>
    <row r="365" spans="1:13">
      <c r="A365" s="107" t="str">
        <f ca="1">IFERROR(__xludf.DUMMYFUNCTION("""COMPUTED_VALUE"""),"5.1.2.1")</f>
        <v>5.1.2.1</v>
      </c>
      <c r="B365" s="107" t="str">
        <f ca="1">IFERROR(__xludf.DUMMYFUNCTION("""COMPUTED_VALUE"""),"Atención Psicopedagógica Infantil/Dirección del Área de Centros de Inclusión/Dirección del Área de Centros de Inclusión/Coord.5. Inclusión")</f>
        <v>Atención Psicopedagógica Infantil/Dirección del Área de Centros de Inclusión/Dirección del Área de Centros de Inclusión/Coord.5. Inclusión</v>
      </c>
      <c r="C365" s="107" t="str">
        <f ca="1">IFERROR(__xludf.DUMMYFUNCTION("""COMPUTED_VALUE"""),"5. Inclusión")</f>
        <v>5. Inclusión</v>
      </c>
      <c r="D365" s="107" t="str">
        <f ca="1">IFERROR(__xludf.DUMMYFUNCTION("""COMPUTED_VALUE"""),"Guadalajara bien educada")</f>
        <v>Guadalajara bien educada</v>
      </c>
      <c r="E365" s="107" t="str">
        <f ca="1">IFERROR(__xludf.DUMMYFUNCTION("""COMPUTED_VALUE"""),"Atención Psicopedagógica Infantil")</f>
        <v>Atención Psicopedagógica Infantil</v>
      </c>
      <c r="F365" s="107" t="str">
        <f ca="1">IFERROR(__xludf.DUMMYFUNCTION("""COMPUTED_VALUE"""),"A1C2 Actividades de diagnóstico y valoración psicológica ejecutadas para niñas y niños que requieran atención en el CAPI")</f>
        <v>A1C2 Actividades de diagnóstico y valoración psicológica ejecutadas para niñas y niños que requieran atención en el CAPI</v>
      </c>
      <c r="G365" s="107" t="str">
        <f ca="1">IFERROR(__xludf.DUMMYFUNCTION("""COMPUTED_VALUE"""),"Porcentaje de diagnósticos y valoraciones realizados a niñas y niños que requieran atención en el CAPI en 2024")</f>
        <v>Porcentaje de diagnósticos y valoraciones realizados a niñas y niños que requieran atención en el CAPI en 2024</v>
      </c>
      <c r="H365" s="107" t="str">
        <f ca="1">IFERROR(__xludf.DUMMYFUNCTION("""COMPUTED_VALUE"""),"AH noviembre")</f>
        <v>AH noviembre</v>
      </c>
      <c r="I365" s="107" t="str">
        <f ca="1">IFERROR(__xludf.DUMMYFUNCTION("""COMPUTED_VALUE"""),"noviembre")</f>
        <v>noviembre</v>
      </c>
      <c r="J365" s="107" t="str">
        <f ca="1">IFERROR(__xludf.DUMMYFUNCTION("""COMPUTED_VALUE"""),"AH")</f>
        <v>AH</v>
      </c>
      <c r="K365" s="40">
        <f ca="1">IFERROR(__xludf.DUMMYFUNCTION("""COMPUTED_VALUE"""),0)</f>
        <v>0</v>
      </c>
      <c r="L365" s="107" t="str">
        <f ca="1">IFERROR(__xludf.DUMMYFUNCTION("""COMPUTED_VALUE"""),"TRIMESTRE 4")</f>
        <v>TRIMESTRE 4</v>
      </c>
      <c r="M365" s="107" t="str">
        <f ca="1">IFERROR(__xludf.DUMMYFUNCTION("""COMPUTED_VALUE"""),"ADOLESCENTES HOMBRES")</f>
        <v>ADOLESCENTES HOMBRES</v>
      </c>
    </row>
    <row r="366" spans="1:13">
      <c r="A366" s="107" t="str">
        <f ca="1">IFERROR(__xludf.DUMMYFUNCTION("""COMPUTED_VALUE"""),"5.1.2.1")</f>
        <v>5.1.2.1</v>
      </c>
      <c r="B366" s="107" t="str">
        <f ca="1">IFERROR(__xludf.DUMMYFUNCTION("""COMPUTED_VALUE"""),"Atención Psicopedagógica Infantil/Dirección del Área de Centros de Inclusión/Dirección del Área de Centros de Inclusión/Coord.5. Inclusión")</f>
        <v>Atención Psicopedagógica Infantil/Dirección del Área de Centros de Inclusión/Dirección del Área de Centros de Inclusión/Coord.5. Inclusión</v>
      </c>
      <c r="C366" s="107" t="str">
        <f ca="1">IFERROR(__xludf.DUMMYFUNCTION("""COMPUTED_VALUE"""),"5. Inclusión")</f>
        <v>5. Inclusión</v>
      </c>
      <c r="D366" s="107" t="str">
        <f ca="1">IFERROR(__xludf.DUMMYFUNCTION("""COMPUTED_VALUE"""),"Guadalajara bien educada")</f>
        <v>Guadalajara bien educada</v>
      </c>
      <c r="E366" s="107" t="str">
        <f ca="1">IFERROR(__xludf.DUMMYFUNCTION("""COMPUTED_VALUE"""),"Atención Psicopedagógica Infantil")</f>
        <v>Atención Psicopedagógica Infantil</v>
      </c>
      <c r="F366" s="107" t="str">
        <f ca="1">IFERROR(__xludf.DUMMYFUNCTION("""COMPUTED_VALUE"""),"A1C2 Actividades de diagnóstico y valoración psicológica ejecutadas para niñas y niños que requieran atención en el CAPI")</f>
        <v>A1C2 Actividades de diagnóstico y valoración psicológica ejecutadas para niñas y niños que requieran atención en el CAPI</v>
      </c>
      <c r="G366" s="107" t="str">
        <f ca="1">IFERROR(__xludf.DUMMYFUNCTION("""COMPUTED_VALUE"""),"Porcentaje de diagnósticos y valoraciones realizados a niñas y niños que requieran atención en el CAPI en 2024")</f>
        <v>Porcentaje de diagnósticos y valoraciones realizados a niñas y niños que requieran atención en el CAPI en 2024</v>
      </c>
      <c r="H366" s="107" t="str">
        <f ca="1">IFERROR(__xludf.DUMMYFUNCTION("""COMPUTED_VALUE"""),"MUJ noviembre")</f>
        <v>MUJ noviembre</v>
      </c>
      <c r="I366" s="107" t="str">
        <f ca="1">IFERROR(__xludf.DUMMYFUNCTION("""COMPUTED_VALUE"""),"noviembre")</f>
        <v>noviembre</v>
      </c>
      <c r="J366" s="107" t="str">
        <f ca="1">IFERROR(__xludf.DUMMYFUNCTION("""COMPUTED_VALUE"""),"MUJ")</f>
        <v>MUJ</v>
      </c>
      <c r="K366" s="40"/>
      <c r="L366" s="107" t="str">
        <f ca="1">IFERROR(__xludf.DUMMYFUNCTION("""COMPUTED_VALUE"""),"TRIMESTRE 4")</f>
        <v>TRIMESTRE 4</v>
      </c>
      <c r="M366" s="107" t="str">
        <f ca="1">IFERROR(__xludf.DUMMYFUNCTION("""COMPUTED_VALUE"""),"MUJERES ADULTAS")</f>
        <v>MUJERES ADULTAS</v>
      </c>
    </row>
    <row r="367" spans="1:13">
      <c r="A367" s="107" t="str">
        <f ca="1">IFERROR(__xludf.DUMMYFUNCTION("""COMPUTED_VALUE"""),"5.1.2.1")</f>
        <v>5.1.2.1</v>
      </c>
      <c r="B367" s="107" t="str">
        <f ca="1">IFERROR(__xludf.DUMMYFUNCTION("""COMPUTED_VALUE"""),"Atención Psicopedagógica Infantil/Dirección del Área de Centros de Inclusión/Dirección del Área de Centros de Inclusión/Coord.5. Inclusión")</f>
        <v>Atención Psicopedagógica Infantil/Dirección del Área de Centros de Inclusión/Dirección del Área de Centros de Inclusión/Coord.5. Inclusión</v>
      </c>
      <c r="C367" s="107" t="str">
        <f ca="1">IFERROR(__xludf.DUMMYFUNCTION("""COMPUTED_VALUE"""),"5. Inclusión")</f>
        <v>5. Inclusión</v>
      </c>
      <c r="D367" s="107" t="str">
        <f ca="1">IFERROR(__xludf.DUMMYFUNCTION("""COMPUTED_VALUE"""),"Guadalajara bien educada")</f>
        <v>Guadalajara bien educada</v>
      </c>
      <c r="E367" s="107" t="str">
        <f ca="1">IFERROR(__xludf.DUMMYFUNCTION("""COMPUTED_VALUE"""),"Atención Psicopedagógica Infantil")</f>
        <v>Atención Psicopedagógica Infantil</v>
      </c>
      <c r="F367" s="107" t="str">
        <f ca="1">IFERROR(__xludf.DUMMYFUNCTION("""COMPUTED_VALUE"""),"A1C2 Actividades de diagnóstico y valoración psicológica ejecutadas para niñas y niños que requieran atención en el CAPI")</f>
        <v>A1C2 Actividades de diagnóstico y valoración psicológica ejecutadas para niñas y niños que requieran atención en el CAPI</v>
      </c>
      <c r="G367" s="107" t="str">
        <f ca="1">IFERROR(__xludf.DUMMYFUNCTION("""COMPUTED_VALUE"""),"Porcentaje de diagnósticos y valoraciones realizados a niñas y niños que requieran atención en el CAPI en 2024")</f>
        <v>Porcentaje de diagnósticos y valoraciones realizados a niñas y niños que requieran atención en el CAPI en 2024</v>
      </c>
      <c r="H367" s="107" t="str">
        <f ca="1">IFERROR(__xludf.DUMMYFUNCTION("""COMPUTED_VALUE"""),"HOM noviembre")</f>
        <v>HOM noviembre</v>
      </c>
      <c r="I367" s="107" t="str">
        <f ca="1">IFERROR(__xludf.DUMMYFUNCTION("""COMPUTED_VALUE"""),"noviembre")</f>
        <v>noviembre</v>
      </c>
      <c r="J367" s="107" t="str">
        <f ca="1">IFERROR(__xludf.DUMMYFUNCTION("""COMPUTED_VALUE"""),"HOM")</f>
        <v>HOM</v>
      </c>
      <c r="K367" s="40"/>
      <c r="L367" s="107" t="str">
        <f ca="1">IFERROR(__xludf.DUMMYFUNCTION("""COMPUTED_VALUE"""),"TRIMESTRE 4")</f>
        <v>TRIMESTRE 4</v>
      </c>
      <c r="M367" s="107" t="str">
        <f ca="1">IFERROR(__xludf.DUMMYFUNCTION("""COMPUTED_VALUE"""),"HOMBRES ADULTOS")</f>
        <v>HOMBRES ADULTOS</v>
      </c>
    </row>
    <row r="368" spans="1:13">
      <c r="A368" s="107" t="str">
        <f ca="1">IFERROR(__xludf.DUMMYFUNCTION("""COMPUTED_VALUE"""),"5.1.2.1")</f>
        <v>5.1.2.1</v>
      </c>
      <c r="B368" s="107" t="str">
        <f ca="1">IFERROR(__xludf.DUMMYFUNCTION("""COMPUTED_VALUE"""),"Atención Psicopedagógica Infantil/Dirección del Área de Centros de Inclusión/Dirección del Área de Centros de Inclusión/Coord.5. Inclusión")</f>
        <v>Atención Psicopedagógica Infantil/Dirección del Área de Centros de Inclusión/Dirección del Área de Centros de Inclusión/Coord.5. Inclusión</v>
      </c>
      <c r="C368" s="107" t="str">
        <f ca="1">IFERROR(__xludf.DUMMYFUNCTION("""COMPUTED_VALUE"""),"5. Inclusión")</f>
        <v>5. Inclusión</v>
      </c>
      <c r="D368" s="107" t="str">
        <f ca="1">IFERROR(__xludf.DUMMYFUNCTION("""COMPUTED_VALUE"""),"Guadalajara bien educada")</f>
        <v>Guadalajara bien educada</v>
      </c>
      <c r="E368" s="107" t="str">
        <f ca="1">IFERROR(__xludf.DUMMYFUNCTION("""COMPUTED_VALUE"""),"Atención Psicopedagógica Infantil")</f>
        <v>Atención Psicopedagógica Infantil</v>
      </c>
      <c r="F368" s="107" t="str">
        <f ca="1">IFERROR(__xludf.DUMMYFUNCTION("""COMPUTED_VALUE"""),"A1C2 Actividades de diagnóstico y valoración psicológica ejecutadas para niñas y niños que requieran atención en el CAPI")</f>
        <v>A1C2 Actividades de diagnóstico y valoración psicológica ejecutadas para niñas y niños que requieran atención en el CAPI</v>
      </c>
      <c r="G368" s="107" t="str">
        <f ca="1">IFERROR(__xludf.DUMMYFUNCTION("""COMPUTED_VALUE"""),"Porcentaje de diagnósticos y valoraciones realizados a niñas y niños que requieran atención en el CAPI en 2024")</f>
        <v>Porcentaje de diagnósticos y valoraciones realizados a niñas y niños que requieran atención en el CAPI en 2024</v>
      </c>
      <c r="H368" s="107" t="str">
        <f ca="1">IFERROR(__xludf.DUMMYFUNCTION("""COMPUTED_VALUE"""),"AMM noviembre")</f>
        <v>AMM noviembre</v>
      </c>
      <c r="I368" s="107" t="str">
        <f ca="1">IFERROR(__xludf.DUMMYFUNCTION("""COMPUTED_VALUE"""),"noviembre")</f>
        <v>noviembre</v>
      </c>
      <c r="J368" s="107" t="str">
        <f ca="1">IFERROR(__xludf.DUMMYFUNCTION("""COMPUTED_VALUE"""),"AMM")</f>
        <v>AMM</v>
      </c>
      <c r="K368" s="40"/>
      <c r="L368" s="107" t="str">
        <f ca="1">IFERROR(__xludf.DUMMYFUNCTION("""COMPUTED_VALUE"""),"TRIMESTRE 4")</f>
        <v>TRIMESTRE 4</v>
      </c>
      <c r="M368" s="107" t="str">
        <f ca="1">IFERROR(__xludf.DUMMYFUNCTION("""COMPUTED_VALUE"""),"ADULTA MAYOR MUJER")</f>
        <v>ADULTA MAYOR MUJER</v>
      </c>
    </row>
    <row r="369" spans="1:13">
      <c r="A369" s="107" t="str">
        <f ca="1">IFERROR(__xludf.DUMMYFUNCTION("""COMPUTED_VALUE"""),"5.1.2.1")</f>
        <v>5.1.2.1</v>
      </c>
      <c r="B369" s="107" t="str">
        <f ca="1">IFERROR(__xludf.DUMMYFUNCTION("""COMPUTED_VALUE"""),"Atención Psicopedagógica Infantil/Dirección del Área de Centros de Inclusión/Dirección del Área de Centros de Inclusión/Coord.5. Inclusión")</f>
        <v>Atención Psicopedagógica Infantil/Dirección del Área de Centros de Inclusión/Dirección del Área de Centros de Inclusión/Coord.5. Inclusión</v>
      </c>
      <c r="C369" s="107" t="str">
        <f ca="1">IFERROR(__xludf.DUMMYFUNCTION("""COMPUTED_VALUE"""),"5. Inclusión")</f>
        <v>5. Inclusión</v>
      </c>
      <c r="D369" s="107" t="str">
        <f ca="1">IFERROR(__xludf.DUMMYFUNCTION("""COMPUTED_VALUE"""),"Guadalajara bien educada")</f>
        <v>Guadalajara bien educada</v>
      </c>
      <c r="E369" s="107" t="str">
        <f ca="1">IFERROR(__xludf.DUMMYFUNCTION("""COMPUTED_VALUE"""),"Atención Psicopedagógica Infantil")</f>
        <v>Atención Psicopedagógica Infantil</v>
      </c>
      <c r="F369" s="107" t="str">
        <f ca="1">IFERROR(__xludf.DUMMYFUNCTION("""COMPUTED_VALUE"""),"A1C2 Actividades de diagnóstico y valoración psicológica ejecutadas para niñas y niños que requieran atención en el CAPI")</f>
        <v>A1C2 Actividades de diagnóstico y valoración psicológica ejecutadas para niñas y niños que requieran atención en el CAPI</v>
      </c>
      <c r="G369" s="107" t="str">
        <f ca="1">IFERROR(__xludf.DUMMYFUNCTION("""COMPUTED_VALUE"""),"Porcentaje de diagnósticos y valoraciones realizados a niñas y niños que requieran atención en el CAPI en 2024")</f>
        <v>Porcentaje de diagnósticos y valoraciones realizados a niñas y niños que requieran atención en el CAPI en 2024</v>
      </c>
      <c r="H369" s="107" t="str">
        <f ca="1">IFERROR(__xludf.DUMMYFUNCTION("""COMPUTED_VALUE"""),"AMH noviembre")</f>
        <v>AMH noviembre</v>
      </c>
      <c r="I369" s="107" t="str">
        <f ca="1">IFERROR(__xludf.DUMMYFUNCTION("""COMPUTED_VALUE"""),"noviembre")</f>
        <v>noviembre</v>
      </c>
      <c r="J369" s="107" t="str">
        <f ca="1">IFERROR(__xludf.DUMMYFUNCTION("""COMPUTED_VALUE"""),"AMH")</f>
        <v>AMH</v>
      </c>
      <c r="K369" s="40"/>
      <c r="L369" s="107" t="str">
        <f ca="1">IFERROR(__xludf.DUMMYFUNCTION("""COMPUTED_VALUE"""),"TRIMESTRE 4")</f>
        <v>TRIMESTRE 4</v>
      </c>
      <c r="M369" s="107" t="str">
        <f ca="1">IFERROR(__xludf.DUMMYFUNCTION("""COMPUTED_VALUE"""),"ADULTO MAYOR HOMBRE")</f>
        <v>ADULTO MAYOR HOMBRE</v>
      </c>
    </row>
    <row r="370" spans="1:13">
      <c r="A370" s="107" t="str">
        <f ca="1">IFERROR(__xludf.DUMMYFUNCTION("""COMPUTED_VALUE"""),"5.1.2.0")</f>
        <v>5.1.2.0</v>
      </c>
      <c r="B370" s="107" t="str">
        <f ca="1">IFERROR(__xludf.DUMMYFUNCTION("""COMPUTED_VALUE"""),"Atención Psicopedagógica Infantil/Jefatura del Departamento de CDI, CAIC  y CEDI/Dirección del Área de Centros de Atención Infantil/Coord.3. Operación")</f>
        <v>Atención Psicopedagógica Infantil/Jefatura del Departamento de CDI, CAIC  y CEDI/Dirección del Área de Centros de Atención Infantil/Coord.3. Operación</v>
      </c>
      <c r="C370" s="107" t="str">
        <f ca="1">IFERROR(__xludf.DUMMYFUNCTION("""COMPUTED_VALUE"""),"3. Operación")</f>
        <v>3. Operación</v>
      </c>
      <c r="D370" s="107" t="str">
        <f ca="1">IFERROR(__xludf.DUMMYFUNCTION("""COMPUTED_VALUE"""),"Guadalajara bien educada")</f>
        <v>Guadalajara bien educada</v>
      </c>
      <c r="E370" s="107" t="str">
        <f ca="1">IFERROR(__xludf.DUMMYFUNCTION("""COMPUTED_VALUE"""),"Atención Psicopedagógica Infantil")</f>
        <v>Atención Psicopedagógica Infantil</v>
      </c>
      <c r="F370" s="107" t="str">
        <f ca="1">IFERROR(__xludf.DUMMYFUNCTION("""COMPUTED_VALUE"""),"C2. Atenciones terapéuticas brindadas a niñas y niños con barreras de aprendizaje en el Centro de Atención Psicopedagógica Infantil")</f>
        <v>C2. Atenciones terapéuticas brindadas a niñas y niños con barreras de aprendizaje en el Centro de Atención Psicopedagógica Infantil</v>
      </c>
      <c r="G370" s="107" t="str">
        <f ca="1">IFERROR(__xludf.DUMMYFUNCTION("""COMPUTED_VALUE"""),"Promedio de personas atendidas con atención terapéutica - educativa en el Centro de Atención Psicopedagógica Infantil durante el 2024")</f>
        <v>Promedio de personas atendidas con atención terapéutica - educativa en el Centro de Atención Psicopedagógica Infantil durante el 2024</v>
      </c>
      <c r="H370" s="107" t="str">
        <f ca="1">IFERROR(__xludf.DUMMYFUNCTION("""COMPUTED_VALUE"""),"NAS diciembre")</f>
        <v>NAS diciembre</v>
      </c>
      <c r="I370" s="107" t="str">
        <f ca="1">IFERROR(__xludf.DUMMYFUNCTION("""COMPUTED_VALUE"""),"diciembre")</f>
        <v>diciembre</v>
      </c>
      <c r="J370" s="107" t="str">
        <f ca="1">IFERROR(__xludf.DUMMYFUNCTION("""COMPUTED_VALUE"""),"NAS")</f>
        <v>NAS</v>
      </c>
      <c r="K370" s="40">
        <f ca="1">IFERROR(__xludf.DUMMYFUNCTION("""COMPUTED_VALUE"""),0)</f>
        <v>0</v>
      </c>
      <c r="L370" s="107" t="str">
        <f ca="1">IFERROR(__xludf.DUMMYFUNCTION("""COMPUTED_VALUE"""),"TRIMESTRE 4")</f>
        <v>TRIMESTRE 4</v>
      </c>
      <c r="M370" s="107" t="str">
        <f ca="1">IFERROR(__xludf.DUMMYFUNCTION("""COMPUTED_VALUE"""),"NIÑAS")</f>
        <v>NIÑAS</v>
      </c>
    </row>
    <row r="371" spans="1:13">
      <c r="A371" s="107" t="str">
        <f ca="1">IFERROR(__xludf.DUMMYFUNCTION("""COMPUTED_VALUE"""),"5.1.2.0")</f>
        <v>5.1.2.0</v>
      </c>
      <c r="B371" s="107" t="str">
        <f ca="1">IFERROR(__xludf.DUMMYFUNCTION("""COMPUTED_VALUE"""),"Atención Psicopedagógica Infantil/Jefatura del Departamento de CDI, CAIC  y CEDI/Dirección del Área de Centros de Atención Infantil/Coord.3. Operación")</f>
        <v>Atención Psicopedagógica Infantil/Jefatura del Departamento de CDI, CAIC  y CEDI/Dirección del Área de Centros de Atención Infantil/Coord.3. Operación</v>
      </c>
      <c r="C371" s="107" t="str">
        <f ca="1">IFERROR(__xludf.DUMMYFUNCTION("""COMPUTED_VALUE"""),"3. Operación")</f>
        <v>3. Operación</v>
      </c>
      <c r="D371" s="107" t="str">
        <f ca="1">IFERROR(__xludf.DUMMYFUNCTION("""COMPUTED_VALUE"""),"Guadalajara bien educada")</f>
        <v>Guadalajara bien educada</v>
      </c>
      <c r="E371" s="107" t="str">
        <f ca="1">IFERROR(__xludf.DUMMYFUNCTION("""COMPUTED_VALUE"""),"Atención Psicopedagógica Infantil")</f>
        <v>Atención Psicopedagógica Infantil</v>
      </c>
      <c r="F371" s="107" t="str">
        <f ca="1">IFERROR(__xludf.DUMMYFUNCTION("""COMPUTED_VALUE"""),"C2. Atenciones terapéuticas brindadas a niñas y niños con barreras de aprendizaje en el Centro de Atención Psicopedagógica Infantil")</f>
        <v>C2. Atenciones terapéuticas brindadas a niñas y niños con barreras de aprendizaje en el Centro de Atención Psicopedagógica Infantil</v>
      </c>
      <c r="G371" s="107" t="str">
        <f ca="1">IFERROR(__xludf.DUMMYFUNCTION("""COMPUTED_VALUE"""),"Promedio de personas atendidas con atención terapéutica - educativa en el Centro de Atención Psicopedagógica Infantil durante el 2024")</f>
        <v>Promedio de personas atendidas con atención terapéutica - educativa en el Centro de Atención Psicopedagógica Infantil durante el 2024</v>
      </c>
      <c r="H371" s="107" t="str">
        <f ca="1">IFERROR(__xludf.DUMMYFUNCTION("""COMPUTED_VALUE"""),"NOS diciembre")</f>
        <v>NOS diciembre</v>
      </c>
      <c r="I371" s="107" t="str">
        <f ca="1">IFERROR(__xludf.DUMMYFUNCTION("""COMPUTED_VALUE"""),"diciembre")</f>
        <v>diciembre</v>
      </c>
      <c r="J371" s="107" t="str">
        <f ca="1">IFERROR(__xludf.DUMMYFUNCTION("""COMPUTED_VALUE"""),"NOS")</f>
        <v>NOS</v>
      </c>
      <c r="K371" s="40">
        <f ca="1">IFERROR(__xludf.DUMMYFUNCTION("""COMPUTED_VALUE"""),0)</f>
        <v>0</v>
      </c>
      <c r="L371" s="107" t="str">
        <f ca="1">IFERROR(__xludf.DUMMYFUNCTION("""COMPUTED_VALUE"""),"TRIMESTRE 4")</f>
        <v>TRIMESTRE 4</v>
      </c>
      <c r="M371" s="107" t="str">
        <f ca="1">IFERROR(__xludf.DUMMYFUNCTION("""COMPUTED_VALUE"""),"NIÑOS")</f>
        <v>NIÑOS</v>
      </c>
    </row>
    <row r="372" spans="1:13">
      <c r="A372" s="107" t="str">
        <f ca="1">IFERROR(__xludf.DUMMYFUNCTION("""COMPUTED_VALUE"""),"5.1.2.0")</f>
        <v>5.1.2.0</v>
      </c>
      <c r="B372" s="107" t="str">
        <f ca="1">IFERROR(__xludf.DUMMYFUNCTION("""COMPUTED_VALUE"""),"Atención Psicopedagógica Infantil/Jefatura del Departamento de CDI, CAIC  y CEDI/Dirección del Área de Centros de Atención Infantil/Coord.3. Operación")</f>
        <v>Atención Psicopedagógica Infantil/Jefatura del Departamento de CDI, CAIC  y CEDI/Dirección del Área de Centros de Atención Infantil/Coord.3. Operación</v>
      </c>
      <c r="C372" s="107" t="str">
        <f ca="1">IFERROR(__xludf.DUMMYFUNCTION("""COMPUTED_VALUE"""),"3. Operación")</f>
        <v>3. Operación</v>
      </c>
      <c r="D372" s="107" t="str">
        <f ca="1">IFERROR(__xludf.DUMMYFUNCTION("""COMPUTED_VALUE"""),"Guadalajara bien educada")</f>
        <v>Guadalajara bien educada</v>
      </c>
      <c r="E372" s="107" t="str">
        <f ca="1">IFERROR(__xludf.DUMMYFUNCTION("""COMPUTED_VALUE"""),"Atención Psicopedagógica Infantil")</f>
        <v>Atención Psicopedagógica Infantil</v>
      </c>
      <c r="F372" s="107" t="str">
        <f ca="1">IFERROR(__xludf.DUMMYFUNCTION("""COMPUTED_VALUE"""),"C2. Atenciones terapéuticas brindadas a niñas y niños con barreras de aprendizaje en el Centro de Atención Psicopedagógica Infantil")</f>
        <v>C2. Atenciones terapéuticas brindadas a niñas y niños con barreras de aprendizaje en el Centro de Atención Psicopedagógica Infantil</v>
      </c>
      <c r="G372" s="107" t="str">
        <f ca="1">IFERROR(__xludf.DUMMYFUNCTION("""COMPUTED_VALUE"""),"Promedio de personas atendidas con atención terapéutica - educativa en el Centro de Atención Psicopedagógica Infantil durante el 2024")</f>
        <v>Promedio de personas atendidas con atención terapéutica - educativa en el Centro de Atención Psicopedagógica Infantil durante el 2024</v>
      </c>
      <c r="H372" s="107" t="str">
        <f ca="1">IFERROR(__xludf.DUMMYFUNCTION("""COMPUTED_VALUE"""),"AM diciembre")</f>
        <v>AM diciembre</v>
      </c>
      <c r="I372" s="107" t="str">
        <f ca="1">IFERROR(__xludf.DUMMYFUNCTION("""COMPUTED_VALUE"""),"diciembre")</f>
        <v>diciembre</v>
      </c>
      <c r="J372" s="107" t="str">
        <f ca="1">IFERROR(__xludf.DUMMYFUNCTION("""COMPUTED_VALUE"""),"AM")</f>
        <v>AM</v>
      </c>
      <c r="K372" s="40">
        <f ca="1">IFERROR(__xludf.DUMMYFUNCTION("""COMPUTED_VALUE"""),0)</f>
        <v>0</v>
      </c>
      <c r="L372" s="107" t="str">
        <f ca="1">IFERROR(__xludf.DUMMYFUNCTION("""COMPUTED_VALUE"""),"TRIMESTRE 4")</f>
        <v>TRIMESTRE 4</v>
      </c>
      <c r="M372" s="107" t="str">
        <f ca="1">IFERROR(__xludf.DUMMYFUNCTION("""COMPUTED_VALUE"""),"ADOLESCENTES MUJERES")</f>
        <v>ADOLESCENTES MUJERES</v>
      </c>
    </row>
    <row r="373" spans="1:13">
      <c r="A373" s="107" t="str">
        <f ca="1">IFERROR(__xludf.DUMMYFUNCTION("""COMPUTED_VALUE"""),"5.1.2.0")</f>
        <v>5.1.2.0</v>
      </c>
      <c r="B373" s="107" t="str">
        <f ca="1">IFERROR(__xludf.DUMMYFUNCTION("""COMPUTED_VALUE"""),"Atención Psicopedagógica Infantil/Jefatura del Departamento de CDI, CAIC  y CEDI/Dirección del Área de Centros de Atención Infantil/Coord.3. Operación")</f>
        <v>Atención Psicopedagógica Infantil/Jefatura del Departamento de CDI, CAIC  y CEDI/Dirección del Área de Centros de Atención Infantil/Coord.3. Operación</v>
      </c>
      <c r="C373" s="107" t="str">
        <f ca="1">IFERROR(__xludf.DUMMYFUNCTION("""COMPUTED_VALUE"""),"3. Operación")</f>
        <v>3. Operación</v>
      </c>
      <c r="D373" s="107" t="str">
        <f ca="1">IFERROR(__xludf.DUMMYFUNCTION("""COMPUTED_VALUE"""),"Guadalajara bien educada")</f>
        <v>Guadalajara bien educada</v>
      </c>
      <c r="E373" s="107" t="str">
        <f ca="1">IFERROR(__xludf.DUMMYFUNCTION("""COMPUTED_VALUE"""),"Atención Psicopedagógica Infantil")</f>
        <v>Atención Psicopedagógica Infantil</v>
      </c>
      <c r="F373" s="107" t="str">
        <f ca="1">IFERROR(__xludf.DUMMYFUNCTION("""COMPUTED_VALUE"""),"C2. Atenciones terapéuticas brindadas a niñas y niños con barreras de aprendizaje en el Centro de Atención Psicopedagógica Infantil")</f>
        <v>C2. Atenciones terapéuticas brindadas a niñas y niños con barreras de aprendizaje en el Centro de Atención Psicopedagógica Infantil</v>
      </c>
      <c r="G373" s="107" t="str">
        <f ca="1">IFERROR(__xludf.DUMMYFUNCTION("""COMPUTED_VALUE"""),"Promedio de personas atendidas con atención terapéutica - educativa en el Centro de Atención Psicopedagógica Infantil durante el 2024")</f>
        <v>Promedio de personas atendidas con atención terapéutica - educativa en el Centro de Atención Psicopedagógica Infantil durante el 2024</v>
      </c>
      <c r="H373" s="107" t="str">
        <f ca="1">IFERROR(__xludf.DUMMYFUNCTION("""COMPUTED_VALUE"""),"AH diciembre")</f>
        <v>AH diciembre</v>
      </c>
      <c r="I373" s="107" t="str">
        <f ca="1">IFERROR(__xludf.DUMMYFUNCTION("""COMPUTED_VALUE"""),"diciembre")</f>
        <v>diciembre</v>
      </c>
      <c r="J373" s="107" t="str">
        <f ca="1">IFERROR(__xludf.DUMMYFUNCTION("""COMPUTED_VALUE"""),"AH")</f>
        <v>AH</v>
      </c>
      <c r="K373" s="40">
        <f ca="1">IFERROR(__xludf.DUMMYFUNCTION("""COMPUTED_VALUE"""),0)</f>
        <v>0</v>
      </c>
      <c r="L373" s="107" t="str">
        <f ca="1">IFERROR(__xludf.DUMMYFUNCTION("""COMPUTED_VALUE"""),"TRIMESTRE 4")</f>
        <v>TRIMESTRE 4</v>
      </c>
      <c r="M373" s="107" t="str">
        <f ca="1">IFERROR(__xludf.DUMMYFUNCTION("""COMPUTED_VALUE"""),"ADOLESCENTES HOMBRES")</f>
        <v>ADOLESCENTES HOMBRES</v>
      </c>
    </row>
    <row r="374" spans="1:13">
      <c r="A374" s="107" t="str">
        <f ca="1">IFERROR(__xludf.DUMMYFUNCTION("""COMPUTED_VALUE"""),"5.1.2.0")</f>
        <v>5.1.2.0</v>
      </c>
      <c r="B374" s="107" t="str">
        <f ca="1">IFERROR(__xludf.DUMMYFUNCTION("""COMPUTED_VALUE"""),"Atención Psicopedagógica Infantil/Jefatura del Departamento de CDI, CAIC  y CEDI/Dirección del Área de Centros de Atención Infantil/Coord.3. Operación")</f>
        <v>Atención Psicopedagógica Infantil/Jefatura del Departamento de CDI, CAIC  y CEDI/Dirección del Área de Centros de Atención Infantil/Coord.3. Operación</v>
      </c>
      <c r="C374" s="107" t="str">
        <f ca="1">IFERROR(__xludf.DUMMYFUNCTION("""COMPUTED_VALUE"""),"3. Operación")</f>
        <v>3. Operación</v>
      </c>
      <c r="D374" s="107" t="str">
        <f ca="1">IFERROR(__xludf.DUMMYFUNCTION("""COMPUTED_VALUE"""),"Guadalajara bien educada")</f>
        <v>Guadalajara bien educada</v>
      </c>
      <c r="E374" s="107" t="str">
        <f ca="1">IFERROR(__xludf.DUMMYFUNCTION("""COMPUTED_VALUE"""),"Atención Psicopedagógica Infantil")</f>
        <v>Atención Psicopedagógica Infantil</v>
      </c>
      <c r="F374" s="107" t="str">
        <f ca="1">IFERROR(__xludf.DUMMYFUNCTION("""COMPUTED_VALUE"""),"C2. Atenciones terapéuticas brindadas a niñas y niños con barreras de aprendizaje en el Centro de Atención Psicopedagógica Infantil")</f>
        <v>C2. Atenciones terapéuticas brindadas a niñas y niños con barreras de aprendizaje en el Centro de Atención Psicopedagógica Infantil</v>
      </c>
      <c r="G374" s="107" t="str">
        <f ca="1">IFERROR(__xludf.DUMMYFUNCTION("""COMPUTED_VALUE"""),"Promedio de personas atendidas con atención terapéutica - educativa en el Centro de Atención Psicopedagógica Infantil durante el 2024")</f>
        <v>Promedio de personas atendidas con atención terapéutica - educativa en el Centro de Atención Psicopedagógica Infantil durante el 2024</v>
      </c>
      <c r="H374" s="107" t="str">
        <f ca="1">IFERROR(__xludf.DUMMYFUNCTION("""COMPUTED_VALUE"""),"MUJ diciembre")</f>
        <v>MUJ diciembre</v>
      </c>
      <c r="I374" s="107" t="str">
        <f ca="1">IFERROR(__xludf.DUMMYFUNCTION("""COMPUTED_VALUE"""),"diciembre")</f>
        <v>diciembre</v>
      </c>
      <c r="J374" s="107" t="str">
        <f ca="1">IFERROR(__xludf.DUMMYFUNCTION("""COMPUTED_VALUE"""),"MUJ")</f>
        <v>MUJ</v>
      </c>
      <c r="K374" s="40"/>
      <c r="L374" s="107" t="str">
        <f ca="1">IFERROR(__xludf.DUMMYFUNCTION("""COMPUTED_VALUE"""),"TRIMESTRE 4")</f>
        <v>TRIMESTRE 4</v>
      </c>
      <c r="M374" s="107" t="str">
        <f ca="1">IFERROR(__xludf.DUMMYFUNCTION("""COMPUTED_VALUE"""),"MUJERES ADULTAS")</f>
        <v>MUJERES ADULTAS</v>
      </c>
    </row>
    <row r="375" spans="1:13">
      <c r="A375" s="107" t="str">
        <f ca="1">IFERROR(__xludf.DUMMYFUNCTION("""COMPUTED_VALUE"""),"5.1.2.0")</f>
        <v>5.1.2.0</v>
      </c>
      <c r="B375" s="107" t="str">
        <f ca="1">IFERROR(__xludf.DUMMYFUNCTION("""COMPUTED_VALUE"""),"Atención Psicopedagógica Infantil/Jefatura del Departamento de CDI, CAIC  y CEDI/Dirección del Área de Centros de Atención Infantil/Coord.3. Operación")</f>
        <v>Atención Psicopedagógica Infantil/Jefatura del Departamento de CDI, CAIC  y CEDI/Dirección del Área de Centros de Atención Infantil/Coord.3. Operación</v>
      </c>
      <c r="C375" s="107" t="str">
        <f ca="1">IFERROR(__xludf.DUMMYFUNCTION("""COMPUTED_VALUE"""),"3. Operación")</f>
        <v>3. Operación</v>
      </c>
      <c r="D375" s="107" t="str">
        <f ca="1">IFERROR(__xludf.DUMMYFUNCTION("""COMPUTED_VALUE"""),"Guadalajara bien educada")</f>
        <v>Guadalajara bien educada</v>
      </c>
      <c r="E375" s="107" t="str">
        <f ca="1">IFERROR(__xludf.DUMMYFUNCTION("""COMPUTED_VALUE"""),"Atención Psicopedagógica Infantil")</f>
        <v>Atención Psicopedagógica Infantil</v>
      </c>
      <c r="F375" s="107" t="str">
        <f ca="1">IFERROR(__xludf.DUMMYFUNCTION("""COMPUTED_VALUE"""),"C2. Atenciones terapéuticas brindadas a niñas y niños con barreras de aprendizaje en el Centro de Atención Psicopedagógica Infantil")</f>
        <v>C2. Atenciones terapéuticas brindadas a niñas y niños con barreras de aprendizaje en el Centro de Atención Psicopedagógica Infantil</v>
      </c>
      <c r="G375" s="107" t="str">
        <f ca="1">IFERROR(__xludf.DUMMYFUNCTION("""COMPUTED_VALUE"""),"Promedio de personas atendidas con atención terapéutica - educativa en el Centro de Atención Psicopedagógica Infantil durante el 2024")</f>
        <v>Promedio de personas atendidas con atención terapéutica - educativa en el Centro de Atención Psicopedagógica Infantil durante el 2024</v>
      </c>
      <c r="H375" s="107" t="str">
        <f ca="1">IFERROR(__xludf.DUMMYFUNCTION("""COMPUTED_VALUE"""),"HOM diciembre")</f>
        <v>HOM diciembre</v>
      </c>
      <c r="I375" s="107" t="str">
        <f ca="1">IFERROR(__xludf.DUMMYFUNCTION("""COMPUTED_VALUE"""),"diciembre")</f>
        <v>diciembre</v>
      </c>
      <c r="J375" s="107" t="str">
        <f ca="1">IFERROR(__xludf.DUMMYFUNCTION("""COMPUTED_VALUE"""),"HOM")</f>
        <v>HOM</v>
      </c>
      <c r="K375" s="40"/>
      <c r="L375" s="107" t="str">
        <f ca="1">IFERROR(__xludf.DUMMYFUNCTION("""COMPUTED_VALUE"""),"TRIMESTRE 4")</f>
        <v>TRIMESTRE 4</v>
      </c>
      <c r="M375" s="107" t="str">
        <f ca="1">IFERROR(__xludf.DUMMYFUNCTION("""COMPUTED_VALUE"""),"HOMBRES ADULTOS")</f>
        <v>HOMBRES ADULTOS</v>
      </c>
    </row>
    <row r="376" spans="1:13">
      <c r="A376" s="107" t="str">
        <f ca="1">IFERROR(__xludf.DUMMYFUNCTION("""COMPUTED_VALUE"""),"5.1.2.0")</f>
        <v>5.1.2.0</v>
      </c>
      <c r="B376" s="107" t="str">
        <f ca="1">IFERROR(__xludf.DUMMYFUNCTION("""COMPUTED_VALUE"""),"Atención Psicopedagógica Infantil/Jefatura del Departamento de CDI, CAIC  y CEDI/Dirección del Área de Centros de Atención Infantil/Coord.3. Operación")</f>
        <v>Atención Psicopedagógica Infantil/Jefatura del Departamento de CDI, CAIC  y CEDI/Dirección del Área de Centros de Atención Infantil/Coord.3. Operación</v>
      </c>
      <c r="C376" s="107" t="str">
        <f ca="1">IFERROR(__xludf.DUMMYFUNCTION("""COMPUTED_VALUE"""),"3. Operación")</f>
        <v>3. Operación</v>
      </c>
      <c r="D376" s="107" t="str">
        <f ca="1">IFERROR(__xludf.DUMMYFUNCTION("""COMPUTED_VALUE"""),"Guadalajara bien educada")</f>
        <v>Guadalajara bien educada</v>
      </c>
      <c r="E376" s="107" t="str">
        <f ca="1">IFERROR(__xludf.DUMMYFUNCTION("""COMPUTED_VALUE"""),"Atención Psicopedagógica Infantil")</f>
        <v>Atención Psicopedagógica Infantil</v>
      </c>
      <c r="F376" s="107" t="str">
        <f ca="1">IFERROR(__xludf.DUMMYFUNCTION("""COMPUTED_VALUE"""),"C2. Atenciones terapéuticas brindadas a niñas y niños con barreras de aprendizaje en el Centro de Atención Psicopedagógica Infantil")</f>
        <v>C2. Atenciones terapéuticas brindadas a niñas y niños con barreras de aprendizaje en el Centro de Atención Psicopedagógica Infantil</v>
      </c>
      <c r="G376" s="107" t="str">
        <f ca="1">IFERROR(__xludf.DUMMYFUNCTION("""COMPUTED_VALUE"""),"Promedio de personas atendidas con atención terapéutica - educativa en el Centro de Atención Psicopedagógica Infantil durante el 2024")</f>
        <v>Promedio de personas atendidas con atención terapéutica - educativa en el Centro de Atención Psicopedagógica Infantil durante el 2024</v>
      </c>
      <c r="H376" s="107" t="str">
        <f ca="1">IFERROR(__xludf.DUMMYFUNCTION("""COMPUTED_VALUE"""),"AMM diciembre")</f>
        <v>AMM diciembre</v>
      </c>
      <c r="I376" s="107" t="str">
        <f ca="1">IFERROR(__xludf.DUMMYFUNCTION("""COMPUTED_VALUE"""),"diciembre")</f>
        <v>diciembre</v>
      </c>
      <c r="J376" s="107" t="str">
        <f ca="1">IFERROR(__xludf.DUMMYFUNCTION("""COMPUTED_VALUE"""),"AMM")</f>
        <v>AMM</v>
      </c>
      <c r="K376" s="40"/>
      <c r="L376" s="107" t="str">
        <f ca="1">IFERROR(__xludf.DUMMYFUNCTION("""COMPUTED_VALUE"""),"TRIMESTRE 4")</f>
        <v>TRIMESTRE 4</v>
      </c>
      <c r="M376" s="107" t="str">
        <f ca="1">IFERROR(__xludf.DUMMYFUNCTION("""COMPUTED_VALUE"""),"ADULTA MAYOR MUJER")</f>
        <v>ADULTA MAYOR MUJER</v>
      </c>
    </row>
    <row r="377" spans="1:13">
      <c r="A377" s="107" t="str">
        <f ca="1">IFERROR(__xludf.DUMMYFUNCTION("""COMPUTED_VALUE"""),"5.1.2.0")</f>
        <v>5.1.2.0</v>
      </c>
      <c r="B377" s="107" t="str">
        <f ca="1">IFERROR(__xludf.DUMMYFUNCTION("""COMPUTED_VALUE"""),"Atención Psicopedagógica Infantil/Jefatura del Departamento de CDI, CAIC  y CEDI/Dirección del Área de Centros de Atención Infantil/Coord.3. Operación")</f>
        <v>Atención Psicopedagógica Infantil/Jefatura del Departamento de CDI, CAIC  y CEDI/Dirección del Área de Centros de Atención Infantil/Coord.3. Operación</v>
      </c>
      <c r="C377" s="107" t="str">
        <f ca="1">IFERROR(__xludf.DUMMYFUNCTION("""COMPUTED_VALUE"""),"3. Operación")</f>
        <v>3. Operación</v>
      </c>
      <c r="D377" s="107" t="str">
        <f ca="1">IFERROR(__xludf.DUMMYFUNCTION("""COMPUTED_VALUE"""),"Guadalajara bien educada")</f>
        <v>Guadalajara bien educada</v>
      </c>
      <c r="E377" s="107" t="str">
        <f ca="1">IFERROR(__xludf.DUMMYFUNCTION("""COMPUTED_VALUE"""),"Atención Psicopedagógica Infantil")</f>
        <v>Atención Psicopedagógica Infantil</v>
      </c>
      <c r="F377" s="107" t="str">
        <f ca="1">IFERROR(__xludf.DUMMYFUNCTION("""COMPUTED_VALUE"""),"C2. Atenciones terapéuticas brindadas a niñas y niños con barreras de aprendizaje en el Centro de Atención Psicopedagógica Infantil")</f>
        <v>C2. Atenciones terapéuticas brindadas a niñas y niños con barreras de aprendizaje en el Centro de Atención Psicopedagógica Infantil</v>
      </c>
      <c r="G377" s="107" t="str">
        <f ca="1">IFERROR(__xludf.DUMMYFUNCTION("""COMPUTED_VALUE"""),"Promedio de personas atendidas con atención terapéutica - educativa en el Centro de Atención Psicopedagógica Infantil durante el 2024")</f>
        <v>Promedio de personas atendidas con atención terapéutica - educativa en el Centro de Atención Psicopedagógica Infantil durante el 2024</v>
      </c>
      <c r="H377" s="107" t="str">
        <f ca="1">IFERROR(__xludf.DUMMYFUNCTION("""COMPUTED_VALUE"""),"AMH diciembre")</f>
        <v>AMH diciembre</v>
      </c>
      <c r="I377" s="107" t="str">
        <f ca="1">IFERROR(__xludf.DUMMYFUNCTION("""COMPUTED_VALUE"""),"diciembre")</f>
        <v>diciembre</v>
      </c>
      <c r="J377" s="107" t="str">
        <f ca="1">IFERROR(__xludf.DUMMYFUNCTION("""COMPUTED_VALUE"""),"AMH")</f>
        <v>AMH</v>
      </c>
      <c r="K377" s="40"/>
      <c r="L377" s="107" t="str">
        <f ca="1">IFERROR(__xludf.DUMMYFUNCTION("""COMPUTED_VALUE"""),"TRIMESTRE 4")</f>
        <v>TRIMESTRE 4</v>
      </c>
      <c r="M377" s="107" t="str">
        <f ca="1">IFERROR(__xludf.DUMMYFUNCTION("""COMPUTED_VALUE"""),"ADULTO MAYOR HOMBRE")</f>
        <v>ADULTO MAYOR HOMBRE</v>
      </c>
    </row>
    <row r="378" spans="1:13">
      <c r="A378" s="107" t="str">
        <f ca="1">IFERROR(__xludf.DUMMYFUNCTION("""COMPUTED_VALUE"""),"5.1.2.1")</f>
        <v>5.1.2.1</v>
      </c>
      <c r="B378" s="107" t="str">
        <f ca="1">IFERROR(__xludf.DUMMYFUNCTION("""COMPUTED_VALUE"""),"Atención Psicopedagógica Infantil/Dirección del Área de Centros de Inclusión/Dirección del Área de Centros de Inclusión/Coord.5. Inclusión")</f>
        <v>Atención Psicopedagógica Infantil/Dirección del Área de Centros de Inclusión/Dirección del Área de Centros de Inclusión/Coord.5. Inclusión</v>
      </c>
      <c r="C378" s="107" t="str">
        <f ca="1">IFERROR(__xludf.DUMMYFUNCTION("""COMPUTED_VALUE"""),"5. Inclusión")</f>
        <v>5. Inclusión</v>
      </c>
      <c r="D378" s="107" t="str">
        <f ca="1">IFERROR(__xludf.DUMMYFUNCTION("""COMPUTED_VALUE"""),"Guadalajara bien educada")</f>
        <v>Guadalajara bien educada</v>
      </c>
      <c r="E378" s="107" t="str">
        <f ca="1">IFERROR(__xludf.DUMMYFUNCTION("""COMPUTED_VALUE"""),"Atención Psicopedagógica Infantil")</f>
        <v>Atención Psicopedagógica Infantil</v>
      </c>
      <c r="F378" s="107" t="str">
        <f ca="1">IFERROR(__xludf.DUMMYFUNCTION("""COMPUTED_VALUE"""),"A1C2 Actividades de diagnóstico y valoración psicológica ejecutadas para niñas y niños que requieran atención en el CAPI")</f>
        <v>A1C2 Actividades de diagnóstico y valoración psicológica ejecutadas para niñas y niños que requieran atención en el CAPI</v>
      </c>
      <c r="G378" s="107" t="str">
        <f ca="1">IFERROR(__xludf.DUMMYFUNCTION("""COMPUTED_VALUE"""),"Porcentaje de diagnósticos y valoraciones realizados a niñas y niños que requieran atención en el CAPI en 2024")</f>
        <v>Porcentaje de diagnósticos y valoraciones realizados a niñas y niños que requieran atención en el CAPI en 2024</v>
      </c>
      <c r="H378" s="107" t="str">
        <f ca="1">IFERROR(__xludf.DUMMYFUNCTION("""COMPUTED_VALUE"""),"NAS diciembre")</f>
        <v>NAS diciembre</v>
      </c>
      <c r="I378" s="107" t="str">
        <f ca="1">IFERROR(__xludf.DUMMYFUNCTION("""COMPUTED_VALUE"""),"diciembre")</f>
        <v>diciembre</v>
      </c>
      <c r="J378" s="107" t="str">
        <f ca="1">IFERROR(__xludf.DUMMYFUNCTION("""COMPUTED_VALUE"""),"NAS")</f>
        <v>NAS</v>
      </c>
      <c r="K378" s="40">
        <f ca="1">IFERROR(__xludf.DUMMYFUNCTION("""COMPUTED_VALUE"""),0)</f>
        <v>0</v>
      </c>
      <c r="L378" s="107" t="str">
        <f ca="1">IFERROR(__xludf.DUMMYFUNCTION("""COMPUTED_VALUE"""),"TRIMESTRE 4")</f>
        <v>TRIMESTRE 4</v>
      </c>
      <c r="M378" s="107" t="str">
        <f ca="1">IFERROR(__xludf.DUMMYFUNCTION("""COMPUTED_VALUE"""),"NIÑAS")</f>
        <v>NIÑAS</v>
      </c>
    </row>
    <row r="379" spans="1:13">
      <c r="A379" s="107" t="str">
        <f ca="1">IFERROR(__xludf.DUMMYFUNCTION("""COMPUTED_VALUE"""),"5.1.2.1")</f>
        <v>5.1.2.1</v>
      </c>
      <c r="B379" s="107" t="str">
        <f ca="1">IFERROR(__xludf.DUMMYFUNCTION("""COMPUTED_VALUE"""),"Atención Psicopedagógica Infantil/Dirección del Área de Centros de Inclusión/Dirección del Área de Centros de Inclusión/Coord.5. Inclusión")</f>
        <v>Atención Psicopedagógica Infantil/Dirección del Área de Centros de Inclusión/Dirección del Área de Centros de Inclusión/Coord.5. Inclusión</v>
      </c>
      <c r="C379" s="107" t="str">
        <f ca="1">IFERROR(__xludf.DUMMYFUNCTION("""COMPUTED_VALUE"""),"5. Inclusión")</f>
        <v>5. Inclusión</v>
      </c>
      <c r="D379" s="107" t="str">
        <f ca="1">IFERROR(__xludf.DUMMYFUNCTION("""COMPUTED_VALUE"""),"Guadalajara bien educada")</f>
        <v>Guadalajara bien educada</v>
      </c>
      <c r="E379" s="107" t="str">
        <f ca="1">IFERROR(__xludf.DUMMYFUNCTION("""COMPUTED_VALUE"""),"Atención Psicopedagógica Infantil")</f>
        <v>Atención Psicopedagógica Infantil</v>
      </c>
      <c r="F379" s="107" t="str">
        <f ca="1">IFERROR(__xludf.DUMMYFUNCTION("""COMPUTED_VALUE"""),"A1C2 Actividades de diagnóstico y valoración psicológica ejecutadas para niñas y niños que requieran atención en el CAPI")</f>
        <v>A1C2 Actividades de diagnóstico y valoración psicológica ejecutadas para niñas y niños que requieran atención en el CAPI</v>
      </c>
      <c r="G379" s="107" t="str">
        <f ca="1">IFERROR(__xludf.DUMMYFUNCTION("""COMPUTED_VALUE"""),"Porcentaje de diagnósticos y valoraciones realizados a niñas y niños que requieran atención en el CAPI en 2024")</f>
        <v>Porcentaje de diagnósticos y valoraciones realizados a niñas y niños que requieran atención en el CAPI en 2024</v>
      </c>
      <c r="H379" s="107" t="str">
        <f ca="1">IFERROR(__xludf.DUMMYFUNCTION("""COMPUTED_VALUE"""),"NOS diciembre")</f>
        <v>NOS diciembre</v>
      </c>
      <c r="I379" s="107" t="str">
        <f ca="1">IFERROR(__xludf.DUMMYFUNCTION("""COMPUTED_VALUE"""),"diciembre")</f>
        <v>diciembre</v>
      </c>
      <c r="J379" s="107" t="str">
        <f ca="1">IFERROR(__xludf.DUMMYFUNCTION("""COMPUTED_VALUE"""),"NOS")</f>
        <v>NOS</v>
      </c>
      <c r="K379" s="40">
        <f ca="1">IFERROR(__xludf.DUMMYFUNCTION("""COMPUTED_VALUE"""),0)</f>
        <v>0</v>
      </c>
      <c r="L379" s="107" t="str">
        <f ca="1">IFERROR(__xludf.DUMMYFUNCTION("""COMPUTED_VALUE"""),"TRIMESTRE 4")</f>
        <v>TRIMESTRE 4</v>
      </c>
      <c r="M379" s="107" t="str">
        <f ca="1">IFERROR(__xludf.DUMMYFUNCTION("""COMPUTED_VALUE"""),"NIÑOS")</f>
        <v>NIÑOS</v>
      </c>
    </row>
    <row r="380" spans="1:13">
      <c r="A380" s="107" t="str">
        <f ca="1">IFERROR(__xludf.DUMMYFUNCTION("""COMPUTED_VALUE"""),"5.1.2.1")</f>
        <v>5.1.2.1</v>
      </c>
      <c r="B380" s="107" t="str">
        <f ca="1">IFERROR(__xludf.DUMMYFUNCTION("""COMPUTED_VALUE"""),"Atención Psicopedagógica Infantil/Dirección del Área de Centros de Inclusión/Dirección del Área de Centros de Inclusión/Coord.5. Inclusión")</f>
        <v>Atención Psicopedagógica Infantil/Dirección del Área de Centros de Inclusión/Dirección del Área de Centros de Inclusión/Coord.5. Inclusión</v>
      </c>
      <c r="C380" s="107" t="str">
        <f ca="1">IFERROR(__xludf.DUMMYFUNCTION("""COMPUTED_VALUE"""),"5. Inclusión")</f>
        <v>5. Inclusión</v>
      </c>
      <c r="D380" s="107" t="str">
        <f ca="1">IFERROR(__xludf.DUMMYFUNCTION("""COMPUTED_VALUE"""),"Guadalajara bien educada")</f>
        <v>Guadalajara bien educada</v>
      </c>
      <c r="E380" s="107" t="str">
        <f ca="1">IFERROR(__xludf.DUMMYFUNCTION("""COMPUTED_VALUE"""),"Atención Psicopedagógica Infantil")</f>
        <v>Atención Psicopedagógica Infantil</v>
      </c>
      <c r="F380" s="107" t="str">
        <f ca="1">IFERROR(__xludf.DUMMYFUNCTION("""COMPUTED_VALUE"""),"A1C2 Actividades de diagnóstico y valoración psicológica ejecutadas para niñas y niños que requieran atención en el CAPI")</f>
        <v>A1C2 Actividades de diagnóstico y valoración psicológica ejecutadas para niñas y niños que requieran atención en el CAPI</v>
      </c>
      <c r="G380" s="107" t="str">
        <f ca="1">IFERROR(__xludf.DUMMYFUNCTION("""COMPUTED_VALUE"""),"Porcentaje de diagnósticos y valoraciones realizados a niñas y niños que requieran atención en el CAPI en 2024")</f>
        <v>Porcentaje de diagnósticos y valoraciones realizados a niñas y niños que requieran atención en el CAPI en 2024</v>
      </c>
      <c r="H380" s="107" t="str">
        <f ca="1">IFERROR(__xludf.DUMMYFUNCTION("""COMPUTED_VALUE"""),"AM diciembre")</f>
        <v>AM diciembre</v>
      </c>
      <c r="I380" s="107" t="str">
        <f ca="1">IFERROR(__xludf.DUMMYFUNCTION("""COMPUTED_VALUE"""),"diciembre")</f>
        <v>diciembre</v>
      </c>
      <c r="J380" s="107" t="str">
        <f ca="1">IFERROR(__xludf.DUMMYFUNCTION("""COMPUTED_VALUE"""),"AM")</f>
        <v>AM</v>
      </c>
      <c r="K380" s="40">
        <f ca="1">IFERROR(__xludf.DUMMYFUNCTION("""COMPUTED_VALUE"""),0)</f>
        <v>0</v>
      </c>
      <c r="L380" s="107" t="str">
        <f ca="1">IFERROR(__xludf.DUMMYFUNCTION("""COMPUTED_VALUE"""),"TRIMESTRE 4")</f>
        <v>TRIMESTRE 4</v>
      </c>
      <c r="M380" s="107" t="str">
        <f ca="1">IFERROR(__xludf.DUMMYFUNCTION("""COMPUTED_VALUE"""),"ADOLESCENTES MUJERES")</f>
        <v>ADOLESCENTES MUJERES</v>
      </c>
    </row>
    <row r="381" spans="1:13">
      <c r="A381" s="107" t="str">
        <f ca="1">IFERROR(__xludf.DUMMYFUNCTION("""COMPUTED_VALUE"""),"5.1.2.1")</f>
        <v>5.1.2.1</v>
      </c>
      <c r="B381" s="107" t="str">
        <f ca="1">IFERROR(__xludf.DUMMYFUNCTION("""COMPUTED_VALUE"""),"Atención Psicopedagógica Infantil/Dirección del Área de Centros de Inclusión/Dirección del Área de Centros de Inclusión/Coord.5. Inclusión")</f>
        <v>Atención Psicopedagógica Infantil/Dirección del Área de Centros de Inclusión/Dirección del Área de Centros de Inclusión/Coord.5. Inclusión</v>
      </c>
      <c r="C381" s="107" t="str">
        <f ca="1">IFERROR(__xludf.DUMMYFUNCTION("""COMPUTED_VALUE"""),"5. Inclusión")</f>
        <v>5. Inclusión</v>
      </c>
      <c r="D381" s="107" t="str">
        <f ca="1">IFERROR(__xludf.DUMMYFUNCTION("""COMPUTED_VALUE"""),"Guadalajara bien educada")</f>
        <v>Guadalajara bien educada</v>
      </c>
      <c r="E381" s="107" t="str">
        <f ca="1">IFERROR(__xludf.DUMMYFUNCTION("""COMPUTED_VALUE"""),"Atención Psicopedagógica Infantil")</f>
        <v>Atención Psicopedagógica Infantil</v>
      </c>
      <c r="F381" s="107" t="str">
        <f ca="1">IFERROR(__xludf.DUMMYFUNCTION("""COMPUTED_VALUE"""),"A1C2 Actividades de diagnóstico y valoración psicológica ejecutadas para niñas y niños que requieran atención en el CAPI")</f>
        <v>A1C2 Actividades de diagnóstico y valoración psicológica ejecutadas para niñas y niños que requieran atención en el CAPI</v>
      </c>
      <c r="G381" s="107" t="str">
        <f ca="1">IFERROR(__xludf.DUMMYFUNCTION("""COMPUTED_VALUE"""),"Porcentaje de diagnósticos y valoraciones realizados a niñas y niños que requieran atención en el CAPI en 2024")</f>
        <v>Porcentaje de diagnósticos y valoraciones realizados a niñas y niños que requieran atención en el CAPI en 2024</v>
      </c>
      <c r="H381" s="107" t="str">
        <f ca="1">IFERROR(__xludf.DUMMYFUNCTION("""COMPUTED_VALUE"""),"AH diciembre")</f>
        <v>AH diciembre</v>
      </c>
      <c r="I381" s="107" t="str">
        <f ca="1">IFERROR(__xludf.DUMMYFUNCTION("""COMPUTED_VALUE"""),"diciembre")</f>
        <v>diciembre</v>
      </c>
      <c r="J381" s="107" t="str">
        <f ca="1">IFERROR(__xludf.DUMMYFUNCTION("""COMPUTED_VALUE"""),"AH")</f>
        <v>AH</v>
      </c>
      <c r="K381" s="40">
        <f ca="1">IFERROR(__xludf.DUMMYFUNCTION("""COMPUTED_VALUE"""),0)</f>
        <v>0</v>
      </c>
      <c r="L381" s="107" t="str">
        <f ca="1">IFERROR(__xludf.DUMMYFUNCTION("""COMPUTED_VALUE"""),"TRIMESTRE 4")</f>
        <v>TRIMESTRE 4</v>
      </c>
      <c r="M381" s="107" t="str">
        <f ca="1">IFERROR(__xludf.DUMMYFUNCTION("""COMPUTED_VALUE"""),"ADOLESCENTES HOMBRES")</f>
        <v>ADOLESCENTES HOMBRES</v>
      </c>
    </row>
    <row r="382" spans="1:13">
      <c r="A382" s="107" t="str">
        <f ca="1">IFERROR(__xludf.DUMMYFUNCTION("""COMPUTED_VALUE"""),"5.1.2.1")</f>
        <v>5.1.2.1</v>
      </c>
      <c r="B382" s="107" t="str">
        <f ca="1">IFERROR(__xludf.DUMMYFUNCTION("""COMPUTED_VALUE"""),"Atención Psicopedagógica Infantil/Dirección del Área de Centros de Inclusión/Dirección del Área de Centros de Inclusión/Coord.5. Inclusión")</f>
        <v>Atención Psicopedagógica Infantil/Dirección del Área de Centros de Inclusión/Dirección del Área de Centros de Inclusión/Coord.5. Inclusión</v>
      </c>
      <c r="C382" s="107" t="str">
        <f ca="1">IFERROR(__xludf.DUMMYFUNCTION("""COMPUTED_VALUE"""),"5. Inclusión")</f>
        <v>5. Inclusión</v>
      </c>
      <c r="D382" s="107" t="str">
        <f ca="1">IFERROR(__xludf.DUMMYFUNCTION("""COMPUTED_VALUE"""),"Guadalajara bien educada")</f>
        <v>Guadalajara bien educada</v>
      </c>
      <c r="E382" s="107" t="str">
        <f ca="1">IFERROR(__xludf.DUMMYFUNCTION("""COMPUTED_VALUE"""),"Atención Psicopedagógica Infantil")</f>
        <v>Atención Psicopedagógica Infantil</v>
      </c>
      <c r="F382" s="107" t="str">
        <f ca="1">IFERROR(__xludf.DUMMYFUNCTION("""COMPUTED_VALUE"""),"A1C2 Actividades de diagnóstico y valoración psicológica ejecutadas para niñas y niños que requieran atención en el CAPI")</f>
        <v>A1C2 Actividades de diagnóstico y valoración psicológica ejecutadas para niñas y niños que requieran atención en el CAPI</v>
      </c>
      <c r="G382" s="107" t="str">
        <f ca="1">IFERROR(__xludf.DUMMYFUNCTION("""COMPUTED_VALUE"""),"Porcentaje de diagnósticos y valoraciones realizados a niñas y niños que requieran atención en el CAPI en 2024")</f>
        <v>Porcentaje de diagnósticos y valoraciones realizados a niñas y niños que requieran atención en el CAPI en 2024</v>
      </c>
      <c r="H382" s="107" t="str">
        <f ca="1">IFERROR(__xludf.DUMMYFUNCTION("""COMPUTED_VALUE"""),"MUJ diciembre")</f>
        <v>MUJ diciembre</v>
      </c>
      <c r="I382" s="107" t="str">
        <f ca="1">IFERROR(__xludf.DUMMYFUNCTION("""COMPUTED_VALUE"""),"diciembre")</f>
        <v>diciembre</v>
      </c>
      <c r="J382" s="107" t="str">
        <f ca="1">IFERROR(__xludf.DUMMYFUNCTION("""COMPUTED_VALUE"""),"MUJ")</f>
        <v>MUJ</v>
      </c>
      <c r="K382" s="40"/>
      <c r="L382" s="107" t="str">
        <f ca="1">IFERROR(__xludf.DUMMYFUNCTION("""COMPUTED_VALUE"""),"TRIMESTRE 4")</f>
        <v>TRIMESTRE 4</v>
      </c>
      <c r="M382" s="107" t="str">
        <f ca="1">IFERROR(__xludf.DUMMYFUNCTION("""COMPUTED_VALUE"""),"MUJERES ADULTAS")</f>
        <v>MUJERES ADULTAS</v>
      </c>
    </row>
    <row r="383" spans="1:13">
      <c r="A383" s="107" t="str">
        <f ca="1">IFERROR(__xludf.DUMMYFUNCTION("""COMPUTED_VALUE"""),"5.1.2.1")</f>
        <v>5.1.2.1</v>
      </c>
      <c r="B383" s="107" t="str">
        <f ca="1">IFERROR(__xludf.DUMMYFUNCTION("""COMPUTED_VALUE"""),"Atención Psicopedagógica Infantil/Dirección del Área de Centros de Inclusión/Dirección del Área de Centros de Inclusión/Coord.5. Inclusión")</f>
        <v>Atención Psicopedagógica Infantil/Dirección del Área de Centros de Inclusión/Dirección del Área de Centros de Inclusión/Coord.5. Inclusión</v>
      </c>
      <c r="C383" s="107" t="str">
        <f ca="1">IFERROR(__xludf.DUMMYFUNCTION("""COMPUTED_VALUE"""),"5. Inclusión")</f>
        <v>5. Inclusión</v>
      </c>
      <c r="D383" s="107" t="str">
        <f ca="1">IFERROR(__xludf.DUMMYFUNCTION("""COMPUTED_VALUE"""),"Guadalajara bien educada")</f>
        <v>Guadalajara bien educada</v>
      </c>
      <c r="E383" s="107" t="str">
        <f ca="1">IFERROR(__xludf.DUMMYFUNCTION("""COMPUTED_VALUE"""),"Atención Psicopedagógica Infantil")</f>
        <v>Atención Psicopedagógica Infantil</v>
      </c>
      <c r="F383" s="107" t="str">
        <f ca="1">IFERROR(__xludf.DUMMYFUNCTION("""COMPUTED_VALUE"""),"A1C2 Actividades de diagnóstico y valoración psicológica ejecutadas para niñas y niños que requieran atención en el CAPI")</f>
        <v>A1C2 Actividades de diagnóstico y valoración psicológica ejecutadas para niñas y niños que requieran atención en el CAPI</v>
      </c>
      <c r="G383" s="107" t="str">
        <f ca="1">IFERROR(__xludf.DUMMYFUNCTION("""COMPUTED_VALUE"""),"Porcentaje de diagnósticos y valoraciones realizados a niñas y niños que requieran atención en el CAPI en 2024")</f>
        <v>Porcentaje de diagnósticos y valoraciones realizados a niñas y niños que requieran atención en el CAPI en 2024</v>
      </c>
      <c r="H383" s="107" t="str">
        <f ca="1">IFERROR(__xludf.DUMMYFUNCTION("""COMPUTED_VALUE"""),"HOM diciembre")</f>
        <v>HOM diciembre</v>
      </c>
      <c r="I383" s="107" t="str">
        <f ca="1">IFERROR(__xludf.DUMMYFUNCTION("""COMPUTED_VALUE"""),"diciembre")</f>
        <v>diciembre</v>
      </c>
      <c r="J383" s="107" t="str">
        <f ca="1">IFERROR(__xludf.DUMMYFUNCTION("""COMPUTED_VALUE"""),"HOM")</f>
        <v>HOM</v>
      </c>
      <c r="K383" s="40"/>
      <c r="L383" s="107" t="str">
        <f ca="1">IFERROR(__xludf.DUMMYFUNCTION("""COMPUTED_VALUE"""),"TRIMESTRE 4")</f>
        <v>TRIMESTRE 4</v>
      </c>
      <c r="M383" s="107" t="str">
        <f ca="1">IFERROR(__xludf.DUMMYFUNCTION("""COMPUTED_VALUE"""),"HOMBRES ADULTOS")</f>
        <v>HOMBRES ADULTOS</v>
      </c>
    </row>
    <row r="384" spans="1:13">
      <c r="A384" s="107" t="str">
        <f ca="1">IFERROR(__xludf.DUMMYFUNCTION("""COMPUTED_VALUE"""),"5.1.2.1")</f>
        <v>5.1.2.1</v>
      </c>
      <c r="B384" s="107" t="str">
        <f ca="1">IFERROR(__xludf.DUMMYFUNCTION("""COMPUTED_VALUE"""),"Atención Psicopedagógica Infantil/Dirección del Área de Centros de Inclusión/Dirección del Área de Centros de Inclusión/Coord.5. Inclusión")</f>
        <v>Atención Psicopedagógica Infantil/Dirección del Área de Centros de Inclusión/Dirección del Área de Centros de Inclusión/Coord.5. Inclusión</v>
      </c>
      <c r="C384" s="107" t="str">
        <f ca="1">IFERROR(__xludf.DUMMYFUNCTION("""COMPUTED_VALUE"""),"5. Inclusión")</f>
        <v>5. Inclusión</v>
      </c>
      <c r="D384" s="107" t="str">
        <f ca="1">IFERROR(__xludf.DUMMYFUNCTION("""COMPUTED_VALUE"""),"Guadalajara bien educada")</f>
        <v>Guadalajara bien educada</v>
      </c>
      <c r="E384" s="107" t="str">
        <f ca="1">IFERROR(__xludf.DUMMYFUNCTION("""COMPUTED_VALUE"""),"Atención Psicopedagógica Infantil")</f>
        <v>Atención Psicopedagógica Infantil</v>
      </c>
      <c r="F384" s="107" t="str">
        <f ca="1">IFERROR(__xludf.DUMMYFUNCTION("""COMPUTED_VALUE"""),"A1C2 Actividades de diagnóstico y valoración psicológica ejecutadas para niñas y niños que requieran atención en el CAPI")</f>
        <v>A1C2 Actividades de diagnóstico y valoración psicológica ejecutadas para niñas y niños que requieran atención en el CAPI</v>
      </c>
      <c r="G384" s="107" t="str">
        <f ca="1">IFERROR(__xludf.DUMMYFUNCTION("""COMPUTED_VALUE"""),"Porcentaje de diagnósticos y valoraciones realizados a niñas y niños que requieran atención en el CAPI en 2024")</f>
        <v>Porcentaje de diagnósticos y valoraciones realizados a niñas y niños que requieran atención en el CAPI en 2024</v>
      </c>
      <c r="H384" s="107" t="str">
        <f ca="1">IFERROR(__xludf.DUMMYFUNCTION("""COMPUTED_VALUE"""),"AMM diciembre")</f>
        <v>AMM diciembre</v>
      </c>
      <c r="I384" s="107" t="str">
        <f ca="1">IFERROR(__xludf.DUMMYFUNCTION("""COMPUTED_VALUE"""),"diciembre")</f>
        <v>diciembre</v>
      </c>
      <c r="J384" s="107" t="str">
        <f ca="1">IFERROR(__xludf.DUMMYFUNCTION("""COMPUTED_VALUE"""),"AMM")</f>
        <v>AMM</v>
      </c>
      <c r="K384" s="40"/>
      <c r="L384" s="107" t="str">
        <f ca="1">IFERROR(__xludf.DUMMYFUNCTION("""COMPUTED_VALUE"""),"TRIMESTRE 4")</f>
        <v>TRIMESTRE 4</v>
      </c>
      <c r="M384" s="107" t="str">
        <f ca="1">IFERROR(__xludf.DUMMYFUNCTION("""COMPUTED_VALUE"""),"ADULTA MAYOR MUJER")</f>
        <v>ADULTA MAYOR MUJER</v>
      </c>
    </row>
    <row r="385" spans="1:13">
      <c r="A385" s="107" t="str">
        <f ca="1">IFERROR(__xludf.DUMMYFUNCTION("""COMPUTED_VALUE"""),"5.1.2.1")</f>
        <v>5.1.2.1</v>
      </c>
      <c r="B385" s="107" t="str">
        <f ca="1">IFERROR(__xludf.DUMMYFUNCTION("""COMPUTED_VALUE"""),"Atención Psicopedagógica Infantil/Dirección del Área de Centros de Inclusión/Dirección del Área de Centros de Inclusión/Coord.5. Inclusión")</f>
        <v>Atención Psicopedagógica Infantil/Dirección del Área de Centros de Inclusión/Dirección del Área de Centros de Inclusión/Coord.5. Inclusión</v>
      </c>
      <c r="C385" s="107" t="str">
        <f ca="1">IFERROR(__xludf.DUMMYFUNCTION("""COMPUTED_VALUE"""),"5. Inclusión")</f>
        <v>5. Inclusión</v>
      </c>
      <c r="D385" s="107" t="str">
        <f ca="1">IFERROR(__xludf.DUMMYFUNCTION("""COMPUTED_VALUE"""),"Guadalajara bien educada")</f>
        <v>Guadalajara bien educada</v>
      </c>
      <c r="E385" s="107" t="str">
        <f ca="1">IFERROR(__xludf.DUMMYFUNCTION("""COMPUTED_VALUE"""),"Atención Psicopedagógica Infantil")</f>
        <v>Atención Psicopedagógica Infantil</v>
      </c>
      <c r="F385" s="107" t="str">
        <f ca="1">IFERROR(__xludf.DUMMYFUNCTION("""COMPUTED_VALUE"""),"A1C2 Actividades de diagnóstico y valoración psicológica ejecutadas para niñas y niños que requieran atención en el CAPI")</f>
        <v>A1C2 Actividades de diagnóstico y valoración psicológica ejecutadas para niñas y niños que requieran atención en el CAPI</v>
      </c>
      <c r="G385" s="107" t="str">
        <f ca="1">IFERROR(__xludf.DUMMYFUNCTION("""COMPUTED_VALUE"""),"Porcentaje de diagnósticos y valoraciones realizados a niñas y niños que requieran atención en el CAPI en 2024")</f>
        <v>Porcentaje de diagnósticos y valoraciones realizados a niñas y niños que requieran atención en el CAPI en 2024</v>
      </c>
      <c r="H385" s="107" t="str">
        <f ca="1">IFERROR(__xludf.DUMMYFUNCTION("""COMPUTED_VALUE"""),"AMH diciembre")</f>
        <v>AMH diciembre</v>
      </c>
      <c r="I385" s="107" t="str">
        <f ca="1">IFERROR(__xludf.DUMMYFUNCTION("""COMPUTED_VALUE"""),"diciembre")</f>
        <v>diciembre</v>
      </c>
      <c r="J385" s="107" t="str">
        <f ca="1">IFERROR(__xludf.DUMMYFUNCTION("""COMPUTED_VALUE"""),"AMH")</f>
        <v>AMH</v>
      </c>
      <c r="K385" s="40"/>
      <c r="L385" s="107" t="str">
        <f ca="1">IFERROR(__xludf.DUMMYFUNCTION("""COMPUTED_VALUE"""),"TRIMESTRE 4")</f>
        <v>TRIMESTRE 4</v>
      </c>
      <c r="M385" s="107" t="str">
        <f ca="1">IFERROR(__xludf.DUMMYFUNCTION("""COMPUTED_VALUE"""),"ADULTO MAYOR HOMBRE")</f>
        <v>ADULTO MAYOR HOMBRE</v>
      </c>
    </row>
    <row r="386" spans="1:13">
      <c r="A386" s="107" t="str">
        <f ca="1">IFERROR(__xludf.DUMMYFUNCTION("""COMPUTED_VALUE"""),"5.1.1.2")</f>
        <v>5.1.1.2</v>
      </c>
      <c r="B386" s="107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386" s="107" t="str">
        <f ca="1">IFERROR(__xludf.DUMMYFUNCTION("""COMPUTED_VALUE"""),"3. Operación")</f>
        <v>3. Operación</v>
      </c>
      <c r="D386" s="107" t="str">
        <f ca="1">IFERROR(__xludf.DUMMYFUNCTION("""COMPUTED_VALUE"""),"Guadalajara bien educada")</f>
        <v>Guadalajara bien educada</v>
      </c>
      <c r="E386" s="107" t="str">
        <f ca="1">IFERROR(__xludf.DUMMYFUNCTION("""COMPUTED_VALUE"""),"Atención en Centros de Desarrollo Infantil")</f>
        <v>Atención en Centros de Desarrollo Infantil</v>
      </c>
      <c r="F386" s="107" t="str">
        <f ca="1">IFERROR(__xludf.DUMMYFUNCTION("""COMPUTED_VALUE"""),"A2C1. Actividades educativas realizadas en educación inicial y preescolar en CDI, CEDI y CAIC ")</f>
        <v xml:space="preserve">A2C1. Actividades educativas realizadas en educación inicial y preescolar en CDI, CEDI y CAIC </v>
      </c>
      <c r="G386" s="107" t="str">
        <f ca="1">IFERROR(__xludf.DUMMYFUNCTION("""COMPUTED_VALUE"""),"Porcentaje de actividades educativas realizadas en CDI, CEDI y CAIC en 2024")</f>
        <v>Porcentaje de actividades educativas realizadas en CDI, CEDI y CAIC en 2024</v>
      </c>
      <c r="H386" s="107" t="str">
        <f ca="1">IFERROR(__xludf.DUMMYFUNCTION("""COMPUTED_VALUE"""),"Servicio")</f>
        <v>Servicio</v>
      </c>
      <c r="I386" s="107" t="str">
        <f ca="1">IFERROR(__xludf.DUMMYFUNCTION("""COMPUTED_VALUE"""),"Enero")</f>
        <v>Enero</v>
      </c>
      <c r="J386" s="107" t="str">
        <f ca="1">IFERROR(__xludf.DUMMYFUNCTION("""COMPUTED_VALUE"""),"N/A")</f>
        <v>N/A</v>
      </c>
      <c r="K386" s="40">
        <f ca="1">IFERROR(__xludf.DUMMYFUNCTION("""COMPUTED_VALUE"""),4056)</f>
        <v>4056</v>
      </c>
      <c r="L386" s="107" t="str">
        <f ca="1">IFERROR(__xludf.DUMMYFUNCTION("""COMPUTED_VALUE"""),"TRIMESTRE 1")</f>
        <v>TRIMESTRE 1</v>
      </c>
      <c r="M386" s="107" t="str">
        <f ca="1">IFERROR(__xludf.DUMMYFUNCTION("""COMPUTED_VALUE"""),"SERVICIOS")</f>
        <v>SERVICIOS</v>
      </c>
    </row>
    <row r="387" spans="1:13">
      <c r="A387" s="107" t="str">
        <f ca="1">IFERROR(__xludf.DUMMYFUNCTION("""COMPUTED_VALUE"""),"5.1.1.2")</f>
        <v>5.1.1.2</v>
      </c>
      <c r="B387" s="107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387" s="107" t="str">
        <f ca="1">IFERROR(__xludf.DUMMYFUNCTION("""COMPUTED_VALUE"""),"3. Operación")</f>
        <v>3. Operación</v>
      </c>
      <c r="D387" s="107" t="str">
        <f ca="1">IFERROR(__xludf.DUMMYFUNCTION("""COMPUTED_VALUE"""),"Guadalajara bien educada")</f>
        <v>Guadalajara bien educada</v>
      </c>
      <c r="E387" s="107" t="str">
        <f ca="1">IFERROR(__xludf.DUMMYFUNCTION("""COMPUTED_VALUE"""),"Atención en Centros de Desarrollo Infantil")</f>
        <v>Atención en Centros de Desarrollo Infantil</v>
      </c>
      <c r="F387" s="107" t="str">
        <f ca="1">IFERROR(__xludf.DUMMYFUNCTION("""COMPUTED_VALUE"""),"A2C1. Actividades educativas realizadas en educación inicial y preescolar en CDI, CEDI y CAIC ")</f>
        <v xml:space="preserve">A2C1. Actividades educativas realizadas en educación inicial y preescolar en CDI, CEDI y CAIC </v>
      </c>
      <c r="G387" s="107" t="str">
        <f ca="1">IFERROR(__xludf.DUMMYFUNCTION("""COMPUTED_VALUE"""),"Porcentaje de actividades educativas realizadas en CDI, CEDI y CAIC en 2024")</f>
        <v>Porcentaje de actividades educativas realizadas en CDI, CEDI y CAIC en 2024</v>
      </c>
      <c r="H387" s="107" t="str">
        <f ca="1">IFERROR(__xludf.DUMMYFUNCTION("""COMPUTED_VALUE"""),"Servicio")</f>
        <v>Servicio</v>
      </c>
      <c r="I387" s="107" t="str">
        <f ca="1">IFERROR(__xludf.DUMMYFUNCTION("""COMPUTED_VALUE"""),"Febrero")</f>
        <v>Febrero</v>
      </c>
      <c r="J387" s="107" t="str">
        <f ca="1">IFERROR(__xludf.DUMMYFUNCTION("""COMPUTED_VALUE"""),"N/A")</f>
        <v>N/A</v>
      </c>
      <c r="K387" s="40">
        <f ca="1">IFERROR(__xludf.DUMMYFUNCTION("""COMPUTED_VALUE"""),4320)</f>
        <v>4320</v>
      </c>
      <c r="L387" s="107" t="str">
        <f ca="1">IFERROR(__xludf.DUMMYFUNCTION("""COMPUTED_VALUE"""),"TRIMESTRE 1")</f>
        <v>TRIMESTRE 1</v>
      </c>
      <c r="M387" s="107" t="str">
        <f ca="1">IFERROR(__xludf.DUMMYFUNCTION("""COMPUTED_VALUE"""),"SERVICIOS")</f>
        <v>SERVICIOS</v>
      </c>
    </row>
    <row r="388" spans="1:13">
      <c r="A388" s="107" t="str">
        <f ca="1">IFERROR(__xludf.DUMMYFUNCTION("""COMPUTED_VALUE"""),"5.1.1.2")</f>
        <v>5.1.1.2</v>
      </c>
      <c r="B388" s="107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388" s="107" t="str">
        <f ca="1">IFERROR(__xludf.DUMMYFUNCTION("""COMPUTED_VALUE"""),"3. Operación")</f>
        <v>3. Operación</v>
      </c>
      <c r="D388" s="107" t="str">
        <f ca="1">IFERROR(__xludf.DUMMYFUNCTION("""COMPUTED_VALUE"""),"Guadalajara bien educada")</f>
        <v>Guadalajara bien educada</v>
      </c>
      <c r="E388" s="107" t="str">
        <f ca="1">IFERROR(__xludf.DUMMYFUNCTION("""COMPUTED_VALUE"""),"Atención en Centros de Desarrollo Infantil")</f>
        <v>Atención en Centros de Desarrollo Infantil</v>
      </c>
      <c r="F388" s="107" t="str">
        <f ca="1">IFERROR(__xludf.DUMMYFUNCTION("""COMPUTED_VALUE"""),"A2C1. Actividades educativas realizadas en educación inicial y preescolar en CDI, CEDI y CAIC ")</f>
        <v xml:space="preserve">A2C1. Actividades educativas realizadas en educación inicial y preescolar en CDI, CEDI y CAIC </v>
      </c>
      <c r="G388" s="107" t="str">
        <f ca="1">IFERROR(__xludf.DUMMYFUNCTION("""COMPUTED_VALUE"""),"Porcentaje de actividades educativas realizadas en CDI, CEDI y CAIC en 2024")</f>
        <v>Porcentaje de actividades educativas realizadas en CDI, CEDI y CAIC en 2024</v>
      </c>
      <c r="H388" s="107" t="str">
        <f ca="1">IFERROR(__xludf.DUMMYFUNCTION("""COMPUTED_VALUE"""),"Servicio")</f>
        <v>Servicio</v>
      </c>
      <c r="I388" s="107" t="str">
        <f ca="1">IFERROR(__xludf.DUMMYFUNCTION("""COMPUTED_VALUE"""),"Marzo")</f>
        <v>Marzo</v>
      </c>
      <c r="J388" s="107" t="str">
        <f ca="1">IFERROR(__xludf.DUMMYFUNCTION("""COMPUTED_VALUE"""),"N/A")</f>
        <v>N/A</v>
      </c>
      <c r="K388" s="40">
        <f ca="1">IFERROR(__xludf.DUMMYFUNCTION("""COMPUTED_VALUE"""),3780)</f>
        <v>3780</v>
      </c>
      <c r="L388" s="107" t="str">
        <f ca="1">IFERROR(__xludf.DUMMYFUNCTION("""COMPUTED_VALUE"""),"TRIMESTRE 1")</f>
        <v>TRIMESTRE 1</v>
      </c>
      <c r="M388" s="107" t="str">
        <f ca="1">IFERROR(__xludf.DUMMYFUNCTION("""COMPUTED_VALUE"""),"SERVICIOS")</f>
        <v>SERVICIOS</v>
      </c>
    </row>
    <row r="389" spans="1:13">
      <c r="A389" s="107" t="str">
        <f ca="1">IFERROR(__xludf.DUMMYFUNCTION("""COMPUTED_VALUE"""),"5.1.1.2")</f>
        <v>5.1.1.2</v>
      </c>
      <c r="B389" s="107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389" s="107" t="str">
        <f ca="1">IFERROR(__xludf.DUMMYFUNCTION("""COMPUTED_VALUE"""),"3. Operación")</f>
        <v>3. Operación</v>
      </c>
      <c r="D389" s="107" t="str">
        <f ca="1">IFERROR(__xludf.DUMMYFUNCTION("""COMPUTED_VALUE"""),"Guadalajara bien educada")</f>
        <v>Guadalajara bien educada</v>
      </c>
      <c r="E389" s="107" t="str">
        <f ca="1">IFERROR(__xludf.DUMMYFUNCTION("""COMPUTED_VALUE"""),"Atención en Centros de Desarrollo Infantil")</f>
        <v>Atención en Centros de Desarrollo Infantil</v>
      </c>
      <c r="F389" s="107" t="str">
        <f ca="1">IFERROR(__xludf.DUMMYFUNCTION("""COMPUTED_VALUE"""),"A2C1. Actividades educativas realizadas en educación inicial y preescolar en CDI, CEDI y CAIC ")</f>
        <v xml:space="preserve">A2C1. Actividades educativas realizadas en educación inicial y preescolar en CDI, CEDI y CAIC </v>
      </c>
      <c r="G389" s="107" t="str">
        <f ca="1">IFERROR(__xludf.DUMMYFUNCTION("""COMPUTED_VALUE"""),"Porcentaje de actividades educativas realizadas en CDI, CEDI y CAIC en 2024")</f>
        <v>Porcentaje de actividades educativas realizadas en CDI, CEDI y CAIC en 2024</v>
      </c>
      <c r="H389" s="107" t="str">
        <f ca="1">IFERROR(__xludf.DUMMYFUNCTION("""COMPUTED_VALUE"""),"Servicio")</f>
        <v>Servicio</v>
      </c>
      <c r="I389" s="107" t="str">
        <f ca="1">IFERROR(__xludf.DUMMYFUNCTION("""COMPUTED_VALUE"""),"abril")</f>
        <v>abril</v>
      </c>
      <c r="J389" s="107" t="str">
        <f ca="1">IFERROR(__xludf.DUMMYFUNCTION("""COMPUTED_VALUE"""),"N/A")</f>
        <v>N/A</v>
      </c>
      <c r="K389" s="40">
        <f ca="1">IFERROR(__xludf.DUMMYFUNCTION("""COMPUTED_VALUE"""),3993)</f>
        <v>3993</v>
      </c>
      <c r="L389" s="107" t="str">
        <f ca="1">IFERROR(__xludf.DUMMYFUNCTION("""COMPUTED_VALUE"""),"TRIMESTRE 2")</f>
        <v>TRIMESTRE 2</v>
      </c>
      <c r="M389" s="107" t="str">
        <f ca="1">IFERROR(__xludf.DUMMYFUNCTION("""COMPUTED_VALUE"""),"SERVICIOS")</f>
        <v>SERVICIOS</v>
      </c>
    </row>
    <row r="390" spans="1:13">
      <c r="A390" s="107" t="str">
        <f ca="1">IFERROR(__xludf.DUMMYFUNCTION("""COMPUTED_VALUE"""),"5.1.1.2")</f>
        <v>5.1.1.2</v>
      </c>
      <c r="B390" s="107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390" s="107" t="str">
        <f ca="1">IFERROR(__xludf.DUMMYFUNCTION("""COMPUTED_VALUE"""),"3. Operación")</f>
        <v>3. Operación</v>
      </c>
      <c r="D390" s="107" t="str">
        <f ca="1">IFERROR(__xludf.DUMMYFUNCTION("""COMPUTED_VALUE"""),"Guadalajara bien educada")</f>
        <v>Guadalajara bien educada</v>
      </c>
      <c r="E390" s="107" t="str">
        <f ca="1">IFERROR(__xludf.DUMMYFUNCTION("""COMPUTED_VALUE"""),"Atención en Centros de Desarrollo Infantil")</f>
        <v>Atención en Centros de Desarrollo Infantil</v>
      </c>
      <c r="F390" s="107" t="str">
        <f ca="1">IFERROR(__xludf.DUMMYFUNCTION("""COMPUTED_VALUE"""),"A2C1. Actividades educativas realizadas en educación inicial y preescolar en CDI, CEDI y CAIC ")</f>
        <v xml:space="preserve">A2C1. Actividades educativas realizadas en educación inicial y preescolar en CDI, CEDI y CAIC </v>
      </c>
      <c r="G390" s="107" t="str">
        <f ca="1">IFERROR(__xludf.DUMMYFUNCTION("""COMPUTED_VALUE"""),"Porcentaje de actividades educativas realizadas en CDI, CEDI y CAIC en 2024")</f>
        <v>Porcentaje de actividades educativas realizadas en CDI, CEDI y CAIC en 2024</v>
      </c>
      <c r="H390" s="107" t="str">
        <f ca="1">IFERROR(__xludf.DUMMYFUNCTION("""COMPUTED_VALUE"""),"Servicio")</f>
        <v>Servicio</v>
      </c>
      <c r="I390" s="107" t="str">
        <f ca="1">IFERROR(__xludf.DUMMYFUNCTION("""COMPUTED_VALUE"""),"mayo")</f>
        <v>mayo</v>
      </c>
      <c r="J390" s="107" t="str">
        <f ca="1">IFERROR(__xludf.DUMMYFUNCTION("""COMPUTED_VALUE"""),"N/A")</f>
        <v>N/A</v>
      </c>
      <c r="K390" s="40">
        <f ca="1">IFERROR(__xludf.DUMMYFUNCTION("""COMPUTED_VALUE"""),4458)</f>
        <v>4458</v>
      </c>
      <c r="L390" s="107" t="str">
        <f ca="1">IFERROR(__xludf.DUMMYFUNCTION("""COMPUTED_VALUE"""),"TRIMESTRE 2")</f>
        <v>TRIMESTRE 2</v>
      </c>
      <c r="M390" s="107" t="str">
        <f ca="1">IFERROR(__xludf.DUMMYFUNCTION("""COMPUTED_VALUE"""),"SERVICIOS")</f>
        <v>SERVICIOS</v>
      </c>
    </row>
    <row r="391" spans="1:13">
      <c r="A391" s="107" t="str">
        <f ca="1">IFERROR(__xludf.DUMMYFUNCTION("""COMPUTED_VALUE"""),"5.1.1.2")</f>
        <v>5.1.1.2</v>
      </c>
      <c r="B391" s="107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391" s="107" t="str">
        <f ca="1">IFERROR(__xludf.DUMMYFUNCTION("""COMPUTED_VALUE"""),"3. Operación")</f>
        <v>3. Operación</v>
      </c>
      <c r="D391" s="107" t="str">
        <f ca="1">IFERROR(__xludf.DUMMYFUNCTION("""COMPUTED_VALUE"""),"Guadalajara bien educada")</f>
        <v>Guadalajara bien educada</v>
      </c>
      <c r="E391" s="107" t="str">
        <f ca="1">IFERROR(__xludf.DUMMYFUNCTION("""COMPUTED_VALUE"""),"Atención en Centros de Desarrollo Infantil")</f>
        <v>Atención en Centros de Desarrollo Infantil</v>
      </c>
      <c r="F391" s="107" t="str">
        <f ca="1">IFERROR(__xludf.DUMMYFUNCTION("""COMPUTED_VALUE"""),"A2C1. Actividades educativas realizadas en educación inicial y preescolar en CDI, CEDI y CAIC ")</f>
        <v xml:space="preserve">A2C1. Actividades educativas realizadas en educación inicial y preescolar en CDI, CEDI y CAIC </v>
      </c>
      <c r="G391" s="107" t="str">
        <f ca="1">IFERROR(__xludf.DUMMYFUNCTION("""COMPUTED_VALUE"""),"Porcentaje de actividades educativas realizadas en CDI, CEDI y CAIC en 2024")</f>
        <v>Porcentaje de actividades educativas realizadas en CDI, CEDI y CAIC en 2024</v>
      </c>
      <c r="H391" s="107" t="str">
        <f ca="1">IFERROR(__xludf.DUMMYFUNCTION("""COMPUTED_VALUE"""),"Servicio")</f>
        <v>Servicio</v>
      </c>
      <c r="I391" s="107" t="str">
        <f ca="1">IFERROR(__xludf.DUMMYFUNCTION("""COMPUTED_VALUE"""),"junio")</f>
        <v>junio</v>
      </c>
      <c r="J391" s="107" t="str">
        <f ca="1">IFERROR(__xludf.DUMMYFUNCTION("""COMPUTED_VALUE"""),"N/A")</f>
        <v>N/A</v>
      </c>
      <c r="K391" s="40">
        <f ca="1">IFERROR(__xludf.DUMMYFUNCTION("""COMPUTED_VALUE"""),4664)</f>
        <v>4664</v>
      </c>
      <c r="L391" s="107" t="str">
        <f ca="1">IFERROR(__xludf.DUMMYFUNCTION("""COMPUTED_VALUE"""),"TRIMESTRE 2")</f>
        <v>TRIMESTRE 2</v>
      </c>
      <c r="M391" s="107" t="str">
        <f ca="1">IFERROR(__xludf.DUMMYFUNCTION("""COMPUTED_VALUE"""),"SERVICIOS")</f>
        <v>SERVICIOS</v>
      </c>
    </row>
    <row r="392" spans="1:13">
      <c r="A392" s="107" t="str">
        <f ca="1">IFERROR(__xludf.DUMMYFUNCTION("""COMPUTED_VALUE"""),"5.1.1.2")</f>
        <v>5.1.1.2</v>
      </c>
      <c r="B392" s="107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392" s="107" t="str">
        <f ca="1">IFERROR(__xludf.DUMMYFUNCTION("""COMPUTED_VALUE"""),"3. Operación")</f>
        <v>3. Operación</v>
      </c>
      <c r="D392" s="107" t="str">
        <f ca="1">IFERROR(__xludf.DUMMYFUNCTION("""COMPUTED_VALUE"""),"Guadalajara bien educada")</f>
        <v>Guadalajara bien educada</v>
      </c>
      <c r="E392" s="107" t="str">
        <f ca="1">IFERROR(__xludf.DUMMYFUNCTION("""COMPUTED_VALUE"""),"Atención en Centros de Desarrollo Infantil")</f>
        <v>Atención en Centros de Desarrollo Infantil</v>
      </c>
      <c r="F392" s="107" t="str">
        <f ca="1">IFERROR(__xludf.DUMMYFUNCTION("""COMPUTED_VALUE"""),"A2C1. Actividades educativas realizadas en educación inicial y preescolar en CDI, CEDI y CAIC ")</f>
        <v xml:space="preserve">A2C1. Actividades educativas realizadas en educación inicial y preescolar en CDI, CEDI y CAIC </v>
      </c>
      <c r="G392" s="107" t="str">
        <f ca="1">IFERROR(__xludf.DUMMYFUNCTION("""COMPUTED_VALUE"""),"Porcentaje de actividades educativas realizadas en CDI, CEDI y CAIC en 2024")</f>
        <v>Porcentaje de actividades educativas realizadas en CDI, CEDI y CAIC en 2024</v>
      </c>
      <c r="H392" s="107" t="str">
        <f ca="1">IFERROR(__xludf.DUMMYFUNCTION("""COMPUTED_VALUE"""),"Servicio")</f>
        <v>Servicio</v>
      </c>
      <c r="I392" s="107" t="str">
        <f ca="1">IFERROR(__xludf.DUMMYFUNCTION("""COMPUTED_VALUE"""),"julio")</f>
        <v>julio</v>
      </c>
      <c r="J392" s="107" t="str">
        <f ca="1">IFERROR(__xludf.DUMMYFUNCTION("""COMPUTED_VALUE"""),"N/A")</f>
        <v>N/A</v>
      </c>
      <c r="K392" s="40">
        <f ca="1">IFERROR(__xludf.DUMMYFUNCTION("""COMPUTED_VALUE"""),2871)</f>
        <v>2871</v>
      </c>
      <c r="L392" s="107" t="str">
        <f ca="1">IFERROR(__xludf.DUMMYFUNCTION("""COMPUTED_VALUE"""),"TRIMESTRE 3")</f>
        <v>TRIMESTRE 3</v>
      </c>
      <c r="M392" s="107" t="str">
        <f ca="1">IFERROR(__xludf.DUMMYFUNCTION("""COMPUTED_VALUE"""),"SERVICIOS")</f>
        <v>SERVICIOS</v>
      </c>
    </row>
    <row r="393" spans="1:13">
      <c r="A393" s="107" t="str">
        <f ca="1">IFERROR(__xludf.DUMMYFUNCTION("""COMPUTED_VALUE"""),"5.1.1.2")</f>
        <v>5.1.1.2</v>
      </c>
      <c r="B393" s="107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393" s="107" t="str">
        <f ca="1">IFERROR(__xludf.DUMMYFUNCTION("""COMPUTED_VALUE"""),"3. Operación")</f>
        <v>3. Operación</v>
      </c>
      <c r="D393" s="107" t="str">
        <f ca="1">IFERROR(__xludf.DUMMYFUNCTION("""COMPUTED_VALUE"""),"Guadalajara bien educada")</f>
        <v>Guadalajara bien educada</v>
      </c>
      <c r="E393" s="107" t="str">
        <f ca="1">IFERROR(__xludf.DUMMYFUNCTION("""COMPUTED_VALUE"""),"Atención en Centros de Desarrollo Infantil")</f>
        <v>Atención en Centros de Desarrollo Infantil</v>
      </c>
      <c r="F393" s="107" t="str">
        <f ca="1">IFERROR(__xludf.DUMMYFUNCTION("""COMPUTED_VALUE"""),"A2C1. Actividades educativas realizadas en educación inicial y preescolar en CDI, CEDI y CAIC ")</f>
        <v xml:space="preserve">A2C1. Actividades educativas realizadas en educación inicial y preescolar en CDI, CEDI y CAIC </v>
      </c>
      <c r="G393" s="107" t="str">
        <f ca="1">IFERROR(__xludf.DUMMYFUNCTION("""COMPUTED_VALUE"""),"Porcentaje de actividades educativas realizadas en CDI, CEDI y CAIC en 2024")</f>
        <v>Porcentaje de actividades educativas realizadas en CDI, CEDI y CAIC en 2024</v>
      </c>
      <c r="H393" s="107" t="str">
        <f ca="1">IFERROR(__xludf.DUMMYFUNCTION("""COMPUTED_VALUE"""),"Servicio")</f>
        <v>Servicio</v>
      </c>
      <c r="I393" s="107" t="str">
        <f ca="1">IFERROR(__xludf.DUMMYFUNCTION("""COMPUTED_VALUE"""),"agosto")</f>
        <v>agosto</v>
      </c>
      <c r="J393" s="107" t="str">
        <f ca="1">IFERROR(__xludf.DUMMYFUNCTION("""COMPUTED_VALUE"""),"N/A")</f>
        <v>N/A</v>
      </c>
      <c r="K393" s="40">
        <f ca="1">IFERROR(__xludf.DUMMYFUNCTION("""COMPUTED_VALUE"""),1982)</f>
        <v>1982</v>
      </c>
      <c r="L393" s="107" t="str">
        <f ca="1">IFERROR(__xludf.DUMMYFUNCTION("""COMPUTED_VALUE"""),"TRIMESTRE 3")</f>
        <v>TRIMESTRE 3</v>
      </c>
      <c r="M393" s="107" t="str">
        <f ca="1">IFERROR(__xludf.DUMMYFUNCTION("""COMPUTED_VALUE"""),"SERVICIOS")</f>
        <v>SERVICIOS</v>
      </c>
    </row>
    <row r="394" spans="1:13">
      <c r="A394" s="107" t="str">
        <f ca="1">IFERROR(__xludf.DUMMYFUNCTION("""COMPUTED_VALUE"""),"5.1.1.2")</f>
        <v>5.1.1.2</v>
      </c>
      <c r="B394" s="107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394" s="107" t="str">
        <f ca="1">IFERROR(__xludf.DUMMYFUNCTION("""COMPUTED_VALUE"""),"3. Operación")</f>
        <v>3. Operación</v>
      </c>
      <c r="D394" s="107" t="str">
        <f ca="1">IFERROR(__xludf.DUMMYFUNCTION("""COMPUTED_VALUE"""),"Guadalajara bien educada")</f>
        <v>Guadalajara bien educada</v>
      </c>
      <c r="E394" s="107" t="str">
        <f ca="1">IFERROR(__xludf.DUMMYFUNCTION("""COMPUTED_VALUE"""),"Atención en Centros de Desarrollo Infantil")</f>
        <v>Atención en Centros de Desarrollo Infantil</v>
      </c>
      <c r="F394" s="107" t="str">
        <f ca="1">IFERROR(__xludf.DUMMYFUNCTION("""COMPUTED_VALUE"""),"A2C1. Actividades educativas realizadas en educación inicial y preescolar en CDI, CEDI y CAIC ")</f>
        <v xml:space="preserve">A2C1. Actividades educativas realizadas en educación inicial y preescolar en CDI, CEDI y CAIC </v>
      </c>
      <c r="G394" s="107" t="str">
        <f ca="1">IFERROR(__xludf.DUMMYFUNCTION("""COMPUTED_VALUE"""),"Porcentaje de actividades educativas realizadas en CDI, CEDI y CAIC en 2024")</f>
        <v>Porcentaje de actividades educativas realizadas en CDI, CEDI y CAIC en 2024</v>
      </c>
      <c r="H394" s="107" t="str">
        <f ca="1">IFERROR(__xludf.DUMMYFUNCTION("""COMPUTED_VALUE"""),"Servicio")</f>
        <v>Servicio</v>
      </c>
      <c r="I394" s="107" t="str">
        <f ca="1">IFERROR(__xludf.DUMMYFUNCTION("""COMPUTED_VALUE"""),"septiembre")</f>
        <v>septiembre</v>
      </c>
      <c r="J394" s="107" t="str">
        <f ca="1">IFERROR(__xludf.DUMMYFUNCTION("""COMPUTED_VALUE"""),"N/A")</f>
        <v>N/A</v>
      </c>
      <c r="K394" s="40">
        <f ca="1">IFERROR(__xludf.DUMMYFUNCTION("""COMPUTED_VALUE"""),0)</f>
        <v>0</v>
      </c>
      <c r="L394" s="107" t="str">
        <f ca="1">IFERROR(__xludf.DUMMYFUNCTION("""COMPUTED_VALUE"""),"TRIMESTRE 3")</f>
        <v>TRIMESTRE 3</v>
      </c>
      <c r="M394" s="107" t="str">
        <f ca="1">IFERROR(__xludf.DUMMYFUNCTION("""COMPUTED_VALUE"""),"SERVICIOS")</f>
        <v>SERVICIOS</v>
      </c>
    </row>
    <row r="395" spans="1:13">
      <c r="A395" s="107" t="str">
        <f ca="1">IFERROR(__xludf.DUMMYFUNCTION("""COMPUTED_VALUE"""),"5.1.1.2")</f>
        <v>5.1.1.2</v>
      </c>
      <c r="B395" s="107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395" s="107" t="str">
        <f ca="1">IFERROR(__xludf.DUMMYFUNCTION("""COMPUTED_VALUE"""),"3. Operación")</f>
        <v>3. Operación</v>
      </c>
      <c r="D395" s="107" t="str">
        <f ca="1">IFERROR(__xludf.DUMMYFUNCTION("""COMPUTED_VALUE"""),"Guadalajara bien educada")</f>
        <v>Guadalajara bien educada</v>
      </c>
      <c r="E395" s="107" t="str">
        <f ca="1">IFERROR(__xludf.DUMMYFUNCTION("""COMPUTED_VALUE"""),"Atención en Centros de Desarrollo Infantil")</f>
        <v>Atención en Centros de Desarrollo Infantil</v>
      </c>
      <c r="F395" s="107" t="str">
        <f ca="1">IFERROR(__xludf.DUMMYFUNCTION("""COMPUTED_VALUE"""),"A2C1. Actividades educativas realizadas en educación inicial y preescolar en CDI, CEDI y CAIC ")</f>
        <v xml:space="preserve">A2C1. Actividades educativas realizadas en educación inicial y preescolar en CDI, CEDI y CAIC </v>
      </c>
      <c r="G395" s="107" t="str">
        <f ca="1">IFERROR(__xludf.DUMMYFUNCTION("""COMPUTED_VALUE"""),"Porcentaje de actividades educativas realizadas en CDI, CEDI y CAIC en 2024")</f>
        <v>Porcentaje de actividades educativas realizadas en CDI, CEDI y CAIC en 2024</v>
      </c>
      <c r="H395" s="107" t="str">
        <f ca="1">IFERROR(__xludf.DUMMYFUNCTION("""COMPUTED_VALUE"""),"Servicio")</f>
        <v>Servicio</v>
      </c>
      <c r="I395" s="107" t="str">
        <f ca="1">IFERROR(__xludf.DUMMYFUNCTION("""COMPUTED_VALUE"""),"octubre")</f>
        <v>octubre</v>
      </c>
      <c r="J395" s="107" t="str">
        <f ca="1">IFERROR(__xludf.DUMMYFUNCTION("""COMPUTED_VALUE"""),"N/A")</f>
        <v>N/A</v>
      </c>
      <c r="K395" s="40">
        <f ca="1">IFERROR(__xludf.DUMMYFUNCTION("""COMPUTED_VALUE"""),0)</f>
        <v>0</v>
      </c>
      <c r="L395" s="107" t="str">
        <f ca="1">IFERROR(__xludf.DUMMYFUNCTION("""COMPUTED_VALUE"""),"TRIMESTRE 4")</f>
        <v>TRIMESTRE 4</v>
      </c>
      <c r="M395" s="107" t="str">
        <f ca="1">IFERROR(__xludf.DUMMYFUNCTION("""COMPUTED_VALUE"""),"SERVICIOS")</f>
        <v>SERVICIOS</v>
      </c>
    </row>
    <row r="396" spans="1:13">
      <c r="A396" s="107" t="str">
        <f ca="1">IFERROR(__xludf.DUMMYFUNCTION("""COMPUTED_VALUE"""),"5.1.1.2")</f>
        <v>5.1.1.2</v>
      </c>
      <c r="B396" s="107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396" s="107" t="str">
        <f ca="1">IFERROR(__xludf.DUMMYFUNCTION("""COMPUTED_VALUE"""),"3. Operación")</f>
        <v>3. Operación</v>
      </c>
      <c r="D396" s="107" t="str">
        <f ca="1">IFERROR(__xludf.DUMMYFUNCTION("""COMPUTED_VALUE"""),"Guadalajara bien educada")</f>
        <v>Guadalajara bien educada</v>
      </c>
      <c r="E396" s="107" t="str">
        <f ca="1">IFERROR(__xludf.DUMMYFUNCTION("""COMPUTED_VALUE"""),"Atención en Centros de Desarrollo Infantil")</f>
        <v>Atención en Centros de Desarrollo Infantil</v>
      </c>
      <c r="F396" s="107" t="str">
        <f ca="1">IFERROR(__xludf.DUMMYFUNCTION("""COMPUTED_VALUE"""),"A2C1. Actividades educativas realizadas en educación inicial y preescolar en CDI, CEDI y CAIC ")</f>
        <v xml:space="preserve">A2C1. Actividades educativas realizadas en educación inicial y preescolar en CDI, CEDI y CAIC </v>
      </c>
      <c r="G396" s="107" t="str">
        <f ca="1">IFERROR(__xludf.DUMMYFUNCTION("""COMPUTED_VALUE"""),"Porcentaje de actividades educativas realizadas en CDI, CEDI y CAIC en 2024")</f>
        <v>Porcentaje de actividades educativas realizadas en CDI, CEDI y CAIC en 2024</v>
      </c>
      <c r="H396" s="107" t="str">
        <f ca="1">IFERROR(__xludf.DUMMYFUNCTION("""COMPUTED_VALUE"""),"Servicio")</f>
        <v>Servicio</v>
      </c>
      <c r="I396" s="107" t="str">
        <f ca="1">IFERROR(__xludf.DUMMYFUNCTION("""COMPUTED_VALUE"""),"noviembre")</f>
        <v>noviembre</v>
      </c>
      <c r="J396" s="107" t="str">
        <f ca="1">IFERROR(__xludf.DUMMYFUNCTION("""COMPUTED_VALUE"""),"N/A")</f>
        <v>N/A</v>
      </c>
      <c r="K396" s="40">
        <f ca="1">IFERROR(__xludf.DUMMYFUNCTION("""COMPUTED_VALUE"""),0)</f>
        <v>0</v>
      </c>
      <c r="L396" s="107" t="str">
        <f ca="1">IFERROR(__xludf.DUMMYFUNCTION("""COMPUTED_VALUE"""),"TRIMESTRE 4")</f>
        <v>TRIMESTRE 4</v>
      </c>
      <c r="M396" s="107" t="str">
        <f ca="1">IFERROR(__xludf.DUMMYFUNCTION("""COMPUTED_VALUE"""),"SERVICIOS")</f>
        <v>SERVICIOS</v>
      </c>
    </row>
    <row r="397" spans="1:13">
      <c r="A397" s="107" t="str">
        <f ca="1">IFERROR(__xludf.DUMMYFUNCTION("""COMPUTED_VALUE"""),"5.1.1.2")</f>
        <v>5.1.1.2</v>
      </c>
      <c r="B397" s="107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397" s="107" t="str">
        <f ca="1">IFERROR(__xludf.DUMMYFUNCTION("""COMPUTED_VALUE"""),"3. Operación")</f>
        <v>3. Operación</v>
      </c>
      <c r="D397" s="107" t="str">
        <f ca="1">IFERROR(__xludf.DUMMYFUNCTION("""COMPUTED_VALUE"""),"Guadalajara bien educada")</f>
        <v>Guadalajara bien educada</v>
      </c>
      <c r="E397" s="107" t="str">
        <f ca="1">IFERROR(__xludf.DUMMYFUNCTION("""COMPUTED_VALUE"""),"Atención en Centros de Desarrollo Infantil")</f>
        <v>Atención en Centros de Desarrollo Infantil</v>
      </c>
      <c r="F397" s="107" t="str">
        <f ca="1">IFERROR(__xludf.DUMMYFUNCTION("""COMPUTED_VALUE"""),"A2C1. Actividades educativas realizadas en educación inicial y preescolar en CDI, CEDI y CAIC ")</f>
        <v xml:space="preserve">A2C1. Actividades educativas realizadas en educación inicial y preescolar en CDI, CEDI y CAIC </v>
      </c>
      <c r="G397" s="107" t="str">
        <f ca="1">IFERROR(__xludf.DUMMYFUNCTION("""COMPUTED_VALUE"""),"Porcentaje de actividades educativas realizadas en CDI, CEDI y CAIC en 2024")</f>
        <v>Porcentaje de actividades educativas realizadas en CDI, CEDI y CAIC en 2024</v>
      </c>
      <c r="H397" s="107" t="str">
        <f ca="1">IFERROR(__xludf.DUMMYFUNCTION("""COMPUTED_VALUE"""),"Servicio")</f>
        <v>Servicio</v>
      </c>
      <c r="I397" s="107" t="str">
        <f ca="1">IFERROR(__xludf.DUMMYFUNCTION("""COMPUTED_VALUE"""),"diciembre")</f>
        <v>diciembre</v>
      </c>
      <c r="J397" s="107" t="str">
        <f ca="1">IFERROR(__xludf.DUMMYFUNCTION("""COMPUTED_VALUE"""),"N/A")</f>
        <v>N/A</v>
      </c>
      <c r="K397" s="40">
        <f ca="1">IFERROR(__xludf.DUMMYFUNCTION("""COMPUTED_VALUE"""),0)</f>
        <v>0</v>
      </c>
      <c r="L397" s="107" t="str">
        <f ca="1">IFERROR(__xludf.DUMMYFUNCTION("""COMPUTED_VALUE"""),"TRIMESTRE 4")</f>
        <v>TRIMESTRE 4</v>
      </c>
      <c r="M397" s="107" t="str">
        <f ca="1">IFERROR(__xludf.DUMMYFUNCTION("""COMPUTED_VALUE"""),"SERVICIOS")</f>
        <v>SERVICIOS</v>
      </c>
    </row>
    <row r="398" spans="1:13">
      <c r="A398" s="107" t="str">
        <f ca="1">IFERROR(__xludf.DUMMYFUNCTION("""COMPUTED_VALUE"""),"5.1.2.2")</f>
        <v>5.1.2.2</v>
      </c>
      <c r="B398" s="107" t="str">
        <f ca="1">IFERROR(__xludf.DUMMYFUNCTION("""COMPUTED_VALUE"""),"Atención Psicopedagógica Infantil/Dirección del Área de Centros de Inclusión/Dirección del Área de Centros de Inclusión/Coord.5. Inclusión")</f>
        <v>Atención Psicopedagógica Infantil/Dirección del Área de Centros de Inclusión/Dirección del Área de Centros de Inclusión/Coord.5. Inclusión</v>
      </c>
      <c r="C398" s="107" t="str">
        <f ca="1">IFERROR(__xludf.DUMMYFUNCTION("""COMPUTED_VALUE"""),"5. Inclusión")</f>
        <v>5. Inclusión</v>
      </c>
      <c r="D398" s="107" t="str">
        <f ca="1">IFERROR(__xludf.DUMMYFUNCTION("""COMPUTED_VALUE"""),"Guadalajara bien educada")</f>
        <v>Guadalajara bien educada</v>
      </c>
      <c r="E398" s="107" t="str">
        <f ca="1">IFERROR(__xludf.DUMMYFUNCTION("""COMPUTED_VALUE"""),"Atención Psicopedagógica Infantil")</f>
        <v>Atención Psicopedagógica Infantil</v>
      </c>
      <c r="F398" s="107" t="str">
        <f ca="1">IFERROR(__xludf.DUMMYFUNCTION("""COMPUTED_VALUE"""),"A2C2  Terapias impartidas para el desarrollo psicosocial de las niñas y los niños")</f>
        <v>A2C2  Terapias impartidas para el desarrollo psicosocial de las niñas y los niños</v>
      </c>
      <c r="G398" s="107" t="str">
        <f ca="1">IFERROR(__xludf.DUMMYFUNCTION("""COMPUTED_VALUE"""),"Porcentaje de cumplimiento en la ejecución de terapias de lenguaje, conducta y aprendizaje en el CAPI en 2024")</f>
        <v>Porcentaje de cumplimiento en la ejecución de terapias de lenguaje, conducta y aprendizaje en el CAPI en 2024</v>
      </c>
      <c r="H398" s="107" t="str">
        <f ca="1">IFERROR(__xludf.DUMMYFUNCTION("""COMPUTED_VALUE"""),"Servicio")</f>
        <v>Servicio</v>
      </c>
      <c r="I398" s="107" t="str">
        <f ca="1">IFERROR(__xludf.DUMMYFUNCTION("""COMPUTED_VALUE"""),"enero")</f>
        <v>enero</v>
      </c>
      <c r="J398" s="107" t="str">
        <f ca="1">IFERROR(__xludf.DUMMYFUNCTION("""COMPUTED_VALUE"""),"N/A")</f>
        <v>N/A</v>
      </c>
      <c r="K398" s="40">
        <f ca="1">IFERROR(__xludf.DUMMYFUNCTION("""COMPUTED_VALUE"""),708)</f>
        <v>708</v>
      </c>
      <c r="L398" s="107" t="str">
        <f ca="1">IFERROR(__xludf.DUMMYFUNCTION("""COMPUTED_VALUE"""),"TRIMESTRE 1")</f>
        <v>TRIMESTRE 1</v>
      </c>
      <c r="M398" s="107" t="str">
        <f ca="1">IFERROR(__xludf.DUMMYFUNCTION("""COMPUTED_VALUE"""),"SERVICIOS")</f>
        <v>SERVICIOS</v>
      </c>
    </row>
    <row r="399" spans="1:13">
      <c r="A399" s="107" t="str">
        <f ca="1">IFERROR(__xludf.DUMMYFUNCTION("""COMPUTED_VALUE"""),"5.1.2.2")</f>
        <v>5.1.2.2</v>
      </c>
      <c r="B399" s="107" t="str">
        <f ca="1">IFERROR(__xludf.DUMMYFUNCTION("""COMPUTED_VALUE"""),"Atención Psicopedagógica Infantil/Dirección del Área de Centros de Inclusión/Dirección del Área de Centros de Inclusión/Coord.5. Inclusión")</f>
        <v>Atención Psicopedagógica Infantil/Dirección del Área de Centros de Inclusión/Dirección del Área de Centros de Inclusión/Coord.5. Inclusión</v>
      </c>
      <c r="C399" s="107" t="str">
        <f ca="1">IFERROR(__xludf.DUMMYFUNCTION("""COMPUTED_VALUE"""),"5. Inclusión")</f>
        <v>5. Inclusión</v>
      </c>
      <c r="D399" s="107" t="str">
        <f ca="1">IFERROR(__xludf.DUMMYFUNCTION("""COMPUTED_VALUE"""),"Guadalajara bien educada")</f>
        <v>Guadalajara bien educada</v>
      </c>
      <c r="E399" s="107" t="str">
        <f ca="1">IFERROR(__xludf.DUMMYFUNCTION("""COMPUTED_VALUE"""),"Atención Psicopedagógica Infantil")</f>
        <v>Atención Psicopedagógica Infantil</v>
      </c>
      <c r="F399" s="107" t="str">
        <f ca="1">IFERROR(__xludf.DUMMYFUNCTION("""COMPUTED_VALUE"""),"A2C2  Terapias impartidas para el desarrollo psicosocial de las niñas y los niños")</f>
        <v>A2C2  Terapias impartidas para el desarrollo psicosocial de las niñas y los niños</v>
      </c>
      <c r="G399" s="107" t="str">
        <f ca="1">IFERROR(__xludf.DUMMYFUNCTION("""COMPUTED_VALUE"""),"Porcentaje de cumplimiento en la ejecución de terapias de lenguaje, conducta y aprendizaje en el CAPI en 2024")</f>
        <v>Porcentaje de cumplimiento en la ejecución de terapias de lenguaje, conducta y aprendizaje en el CAPI en 2024</v>
      </c>
      <c r="H399" s="107" t="str">
        <f ca="1">IFERROR(__xludf.DUMMYFUNCTION("""COMPUTED_VALUE"""),"Servicio")</f>
        <v>Servicio</v>
      </c>
      <c r="I399" s="107" t="str">
        <f ca="1">IFERROR(__xludf.DUMMYFUNCTION("""COMPUTED_VALUE"""),"febrero")</f>
        <v>febrero</v>
      </c>
      <c r="J399" s="107" t="str">
        <f ca="1">IFERROR(__xludf.DUMMYFUNCTION("""COMPUTED_VALUE"""),"N/A")</f>
        <v>N/A</v>
      </c>
      <c r="K399" s="40">
        <f ca="1">IFERROR(__xludf.DUMMYFUNCTION("""COMPUTED_VALUE"""),821)</f>
        <v>821</v>
      </c>
      <c r="L399" s="107" t="str">
        <f ca="1">IFERROR(__xludf.DUMMYFUNCTION("""COMPUTED_VALUE"""),"TRIMESTRE 1")</f>
        <v>TRIMESTRE 1</v>
      </c>
      <c r="M399" s="107" t="str">
        <f ca="1">IFERROR(__xludf.DUMMYFUNCTION("""COMPUTED_VALUE"""),"SERVICIOS")</f>
        <v>SERVICIOS</v>
      </c>
    </row>
    <row r="400" spans="1:13">
      <c r="A400" s="107" t="str">
        <f ca="1">IFERROR(__xludf.DUMMYFUNCTION("""COMPUTED_VALUE"""),"5.1.2.2")</f>
        <v>5.1.2.2</v>
      </c>
      <c r="B400" s="107" t="str">
        <f ca="1">IFERROR(__xludf.DUMMYFUNCTION("""COMPUTED_VALUE"""),"Atención Psicopedagógica Infantil/Dirección del Área de Centros de Inclusión/Dirección del Área de Centros de Inclusión/Coord.5. Inclusión")</f>
        <v>Atención Psicopedagógica Infantil/Dirección del Área de Centros de Inclusión/Dirección del Área de Centros de Inclusión/Coord.5. Inclusión</v>
      </c>
      <c r="C400" s="107" t="str">
        <f ca="1">IFERROR(__xludf.DUMMYFUNCTION("""COMPUTED_VALUE"""),"5. Inclusión")</f>
        <v>5. Inclusión</v>
      </c>
      <c r="D400" s="107" t="str">
        <f ca="1">IFERROR(__xludf.DUMMYFUNCTION("""COMPUTED_VALUE"""),"Guadalajara bien educada")</f>
        <v>Guadalajara bien educada</v>
      </c>
      <c r="E400" s="107" t="str">
        <f ca="1">IFERROR(__xludf.DUMMYFUNCTION("""COMPUTED_VALUE"""),"Atención Psicopedagógica Infantil")</f>
        <v>Atención Psicopedagógica Infantil</v>
      </c>
      <c r="F400" s="107" t="str">
        <f ca="1">IFERROR(__xludf.DUMMYFUNCTION("""COMPUTED_VALUE"""),"A2C2  Terapias impartidas para el desarrollo psicosocial de las niñas y los niños")</f>
        <v>A2C2  Terapias impartidas para el desarrollo psicosocial de las niñas y los niños</v>
      </c>
      <c r="G400" s="107" t="str">
        <f ca="1">IFERROR(__xludf.DUMMYFUNCTION("""COMPUTED_VALUE"""),"Porcentaje de cumplimiento en la ejecución de terapias de lenguaje, conducta y aprendizaje en el CAPI en 2024")</f>
        <v>Porcentaje de cumplimiento en la ejecución de terapias de lenguaje, conducta y aprendizaje en el CAPI en 2024</v>
      </c>
      <c r="H400" s="107" t="str">
        <f ca="1">IFERROR(__xludf.DUMMYFUNCTION("""COMPUTED_VALUE"""),"Servicio")</f>
        <v>Servicio</v>
      </c>
      <c r="I400" s="107" t="str">
        <f ca="1">IFERROR(__xludf.DUMMYFUNCTION("""COMPUTED_VALUE"""),"marzo")</f>
        <v>marzo</v>
      </c>
      <c r="J400" s="107" t="str">
        <f ca="1">IFERROR(__xludf.DUMMYFUNCTION("""COMPUTED_VALUE"""),"N/A")</f>
        <v>N/A</v>
      </c>
      <c r="K400" s="40">
        <f ca="1">IFERROR(__xludf.DUMMYFUNCTION("""COMPUTED_VALUE"""),668)</f>
        <v>668</v>
      </c>
      <c r="L400" s="107" t="str">
        <f ca="1">IFERROR(__xludf.DUMMYFUNCTION("""COMPUTED_VALUE"""),"TRIMESTRE 1")</f>
        <v>TRIMESTRE 1</v>
      </c>
      <c r="M400" s="107" t="str">
        <f ca="1">IFERROR(__xludf.DUMMYFUNCTION("""COMPUTED_VALUE"""),"SERVICIOS")</f>
        <v>SERVICIOS</v>
      </c>
    </row>
    <row r="401" spans="1:13">
      <c r="A401" s="107" t="str">
        <f ca="1">IFERROR(__xludf.DUMMYFUNCTION("""COMPUTED_VALUE"""),"5.1.2.2")</f>
        <v>5.1.2.2</v>
      </c>
      <c r="B401" s="107" t="str">
        <f ca="1">IFERROR(__xludf.DUMMYFUNCTION("""COMPUTED_VALUE"""),"Atención Psicopedagógica Infantil/Dirección del Área de Centros de Inclusión/Dirección del Área de Centros de Inclusión/Coord.5. Inclusión")</f>
        <v>Atención Psicopedagógica Infantil/Dirección del Área de Centros de Inclusión/Dirección del Área de Centros de Inclusión/Coord.5. Inclusión</v>
      </c>
      <c r="C401" s="107" t="str">
        <f ca="1">IFERROR(__xludf.DUMMYFUNCTION("""COMPUTED_VALUE"""),"5. Inclusión")</f>
        <v>5. Inclusión</v>
      </c>
      <c r="D401" s="107" t="str">
        <f ca="1">IFERROR(__xludf.DUMMYFUNCTION("""COMPUTED_VALUE"""),"Guadalajara bien educada")</f>
        <v>Guadalajara bien educada</v>
      </c>
      <c r="E401" s="107" t="str">
        <f ca="1">IFERROR(__xludf.DUMMYFUNCTION("""COMPUTED_VALUE"""),"Atención Psicopedagógica Infantil")</f>
        <v>Atención Psicopedagógica Infantil</v>
      </c>
      <c r="F401" s="107" t="str">
        <f ca="1">IFERROR(__xludf.DUMMYFUNCTION("""COMPUTED_VALUE"""),"A2C2  Terapias impartidas para el desarrollo psicosocial de las niñas y los niños")</f>
        <v>A2C2  Terapias impartidas para el desarrollo psicosocial de las niñas y los niños</v>
      </c>
      <c r="G401" s="107" t="str">
        <f ca="1">IFERROR(__xludf.DUMMYFUNCTION("""COMPUTED_VALUE"""),"Porcentaje de cumplimiento en la ejecución de terapias de lenguaje, conducta y aprendizaje en el CAPI en 2024")</f>
        <v>Porcentaje de cumplimiento en la ejecución de terapias de lenguaje, conducta y aprendizaje en el CAPI en 2024</v>
      </c>
      <c r="H401" s="107" t="str">
        <f ca="1">IFERROR(__xludf.DUMMYFUNCTION("""COMPUTED_VALUE"""),"Servicio")</f>
        <v>Servicio</v>
      </c>
      <c r="I401" s="107" t="str">
        <f ca="1">IFERROR(__xludf.DUMMYFUNCTION("""COMPUTED_VALUE"""),"abril")</f>
        <v>abril</v>
      </c>
      <c r="J401" s="107" t="str">
        <f ca="1">IFERROR(__xludf.DUMMYFUNCTION("""COMPUTED_VALUE"""),"N/A")</f>
        <v>N/A</v>
      </c>
      <c r="K401" s="40">
        <f ca="1">IFERROR(__xludf.DUMMYFUNCTION("""COMPUTED_VALUE"""),705)</f>
        <v>705</v>
      </c>
      <c r="L401" s="107" t="str">
        <f ca="1">IFERROR(__xludf.DUMMYFUNCTION("""COMPUTED_VALUE"""),"TRIMESTRE 2")</f>
        <v>TRIMESTRE 2</v>
      </c>
      <c r="M401" s="107" t="str">
        <f ca="1">IFERROR(__xludf.DUMMYFUNCTION("""COMPUTED_VALUE"""),"SERVICIOS")</f>
        <v>SERVICIOS</v>
      </c>
    </row>
    <row r="402" spans="1:13">
      <c r="A402" s="107" t="str">
        <f ca="1">IFERROR(__xludf.DUMMYFUNCTION("""COMPUTED_VALUE"""),"5.1.2.2")</f>
        <v>5.1.2.2</v>
      </c>
      <c r="B402" s="107" t="str">
        <f ca="1">IFERROR(__xludf.DUMMYFUNCTION("""COMPUTED_VALUE"""),"Atención Psicopedagógica Infantil/Dirección del Área de Centros de Inclusión/Dirección del Área de Centros de Inclusión/Coord.5. Inclusión")</f>
        <v>Atención Psicopedagógica Infantil/Dirección del Área de Centros de Inclusión/Dirección del Área de Centros de Inclusión/Coord.5. Inclusión</v>
      </c>
      <c r="C402" s="107" t="str">
        <f ca="1">IFERROR(__xludf.DUMMYFUNCTION("""COMPUTED_VALUE"""),"5. Inclusión")</f>
        <v>5. Inclusión</v>
      </c>
      <c r="D402" s="107" t="str">
        <f ca="1">IFERROR(__xludf.DUMMYFUNCTION("""COMPUTED_VALUE"""),"Guadalajara bien educada")</f>
        <v>Guadalajara bien educada</v>
      </c>
      <c r="E402" s="107" t="str">
        <f ca="1">IFERROR(__xludf.DUMMYFUNCTION("""COMPUTED_VALUE"""),"Atención Psicopedagógica Infantil")</f>
        <v>Atención Psicopedagógica Infantil</v>
      </c>
      <c r="F402" s="107" t="str">
        <f ca="1">IFERROR(__xludf.DUMMYFUNCTION("""COMPUTED_VALUE"""),"A2C2  Terapias impartidas para el desarrollo psicosocial de las niñas y los niños")</f>
        <v>A2C2  Terapias impartidas para el desarrollo psicosocial de las niñas y los niños</v>
      </c>
      <c r="G402" s="107" t="str">
        <f ca="1">IFERROR(__xludf.DUMMYFUNCTION("""COMPUTED_VALUE"""),"Porcentaje de cumplimiento en la ejecución de terapias de lenguaje, conducta y aprendizaje en el CAPI en 2024")</f>
        <v>Porcentaje de cumplimiento en la ejecución de terapias de lenguaje, conducta y aprendizaje en el CAPI en 2024</v>
      </c>
      <c r="H402" s="107" t="str">
        <f ca="1">IFERROR(__xludf.DUMMYFUNCTION("""COMPUTED_VALUE"""),"Servicio")</f>
        <v>Servicio</v>
      </c>
      <c r="I402" s="107" t="str">
        <f ca="1">IFERROR(__xludf.DUMMYFUNCTION("""COMPUTED_VALUE"""),"mayo")</f>
        <v>mayo</v>
      </c>
      <c r="J402" s="107" t="str">
        <f ca="1">IFERROR(__xludf.DUMMYFUNCTION("""COMPUTED_VALUE"""),"N/A")</f>
        <v>N/A</v>
      </c>
      <c r="K402" s="40">
        <f ca="1">IFERROR(__xludf.DUMMYFUNCTION("""COMPUTED_VALUE"""),927)</f>
        <v>927</v>
      </c>
      <c r="L402" s="107" t="str">
        <f ca="1">IFERROR(__xludf.DUMMYFUNCTION("""COMPUTED_VALUE"""),"TRIMESTRE 2")</f>
        <v>TRIMESTRE 2</v>
      </c>
      <c r="M402" s="107" t="str">
        <f ca="1">IFERROR(__xludf.DUMMYFUNCTION("""COMPUTED_VALUE"""),"SERVICIOS")</f>
        <v>SERVICIOS</v>
      </c>
    </row>
    <row r="403" spans="1:13">
      <c r="A403" s="107" t="str">
        <f ca="1">IFERROR(__xludf.DUMMYFUNCTION("""COMPUTED_VALUE"""),"5.1.2.2")</f>
        <v>5.1.2.2</v>
      </c>
      <c r="B403" s="107" t="str">
        <f ca="1">IFERROR(__xludf.DUMMYFUNCTION("""COMPUTED_VALUE"""),"Atención Psicopedagógica Infantil/Dirección del Área de Centros de Inclusión/Dirección del Área de Centros de Inclusión/Coord.5. Inclusión")</f>
        <v>Atención Psicopedagógica Infantil/Dirección del Área de Centros de Inclusión/Dirección del Área de Centros de Inclusión/Coord.5. Inclusión</v>
      </c>
      <c r="C403" s="107" t="str">
        <f ca="1">IFERROR(__xludf.DUMMYFUNCTION("""COMPUTED_VALUE"""),"5. Inclusión")</f>
        <v>5. Inclusión</v>
      </c>
      <c r="D403" s="107" t="str">
        <f ca="1">IFERROR(__xludf.DUMMYFUNCTION("""COMPUTED_VALUE"""),"Guadalajara bien educada")</f>
        <v>Guadalajara bien educada</v>
      </c>
      <c r="E403" s="107" t="str">
        <f ca="1">IFERROR(__xludf.DUMMYFUNCTION("""COMPUTED_VALUE"""),"Atención Psicopedagógica Infantil")</f>
        <v>Atención Psicopedagógica Infantil</v>
      </c>
      <c r="F403" s="107" t="str">
        <f ca="1">IFERROR(__xludf.DUMMYFUNCTION("""COMPUTED_VALUE"""),"A2C2  Terapias impartidas para el desarrollo psicosocial de las niñas y los niños")</f>
        <v>A2C2  Terapias impartidas para el desarrollo psicosocial de las niñas y los niños</v>
      </c>
      <c r="G403" s="107" t="str">
        <f ca="1">IFERROR(__xludf.DUMMYFUNCTION("""COMPUTED_VALUE"""),"Porcentaje de cumplimiento en la ejecución de terapias de lenguaje, conducta y aprendizaje en el CAPI en 2024")</f>
        <v>Porcentaje de cumplimiento en la ejecución de terapias de lenguaje, conducta y aprendizaje en el CAPI en 2024</v>
      </c>
      <c r="H403" s="107" t="str">
        <f ca="1">IFERROR(__xludf.DUMMYFUNCTION("""COMPUTED_VALUE"""),"Servicio")</f>
        <v>Servicio</v>
      </c>
      <c r="I403" s="107" t="str">
        <f ca="1">IFERROR(__xludf.DUMMYFUNCTION("""COMPUTED_VALUE"""),"junio")</f>
        <v>junio</v>
      </c>
      <c r="J403" s="107" t="str">
        <f ca="1">IFERROR(__xludf.DUMMYFUNCTION("""COMPUTED_VALUE"""),"N/A")</f>
        <v>N/A</v>
      </c>
      <c r="K403" s="40">
        <f ca="1">IFERROR(__xludf.DUMMYFUNCTION("""COMPUTED_VALUE"""),519)</f>
        <v>519</v>
      </c>
      <c r="L403" s="107" t="str">
        <f ca="1">IFERROR(__xludf.DUMMYFUNCTION("""COMPUTED_VALUE"""),"TRIMESTRE 2")</f>
        <v>TRIMESTRE 2</v>
      </c>
      <c r="M403" s="107" t="str">
        <f ca="1">IFERROR(__xludf.DUMMYFUNCTION("""COMPUTED_VALUE"""),"SERVICIOS")</f>
        <v>SERVICIOS</v>
      </c>
    </row>
    <row r="404" spans="1:13">
      <c r="A404" s="107" t="str">
        <f ca="1">IFERROR(__xludf.DUMMYFUNCTION("""COMPUTED_VALUE"""),"5.1.2.2")</f>
        <v>5.1.2.2</v>
      </c>
      <c r="B404" s="107" t="str">
        <f ca="1">IFERROR(__xludf.DUMMYFUNCTION("""COMPUTED_VALUE"""),"Atención Psicopedagógica Infantil/Dirección del Área de Centros de Inclusión/Dirección del Área de Centros de Inclusión/Coord.5. Inclusión")</f>
        <v>Atención Psicopedagógica Infantil/Dirección del Área de Centros de Inclusión/Dirección del Área de Centros de Inclusión/Coord.5. Inclusión</v>
      </c>
      <c r="C404" s="107" t="str">
        <f ca="1">IFERROR(__xludf.DUMMYFUNCTION("""COMPUTED_VALUE"""),"5. Inclusión")</f>
        <v>5. Inclusión</v>
      </c>
      <c r="D404" s="107" t="str">
        <f ca="1">IFERROR(__xludf.DUMMYFUNCTION("""COMPUTED_VALUE"""),"Guadalajara bien educada")</f>
        <v>Guadalajara bien educada</v>
      </c>
      <c r="E404" s="107" t="str">
        <f ca="1">IFERROR(__xludf.DUMMYFUNCTION("""COMPUTED_VALUE"""),"Atención Psicopedagógica Infantil")</f>
        <v>Atención Psicopedagógica Infantil</v>
      </c>
      <c r="F404" s="107" t="str">
        <f ca="1">IFERROR(__xludf.DUMMYFUNCTION("""COMPUTED_VALUE"""),"A2C2  Terapias impartidas para el desarrollo psicosocial de las niñas y los niños")</f>
        <v>A2C2  Terapias impartidas para el desarrollo psicosocial de las niñas y los niños</v>
      </c>
      <c r="G404" s="107" t="str">
        <f ca="1">IFERROR(__xludf.DUMMYFUNCTION("""COMPUTED_VALUE"""),"Porcentaje de cumplimiento en la ejecución de terapias de lenguaje, conducta y aprendizaje en el CAPI en 2024")</f>
        <v>Porcentaje de cumplimiento en la ejecución de terapias de lenguaje, conducta y aprendizaje en el CAPI en 2024</v>
      </c>
      <c r="H404" s="107" t="str">
        <f ca="1">IFERROR(__xludf.DUMMYFUNCTION("""COMPUTED_VALUE"""),"Servicio")</f>
        <v>Servicio</v>
      </c>
      <c r="I404" s="107" t="str">
        <f ca="1">IFERROR(__xludf.DUMMYFUNCTION("""COMPUTED_VALUE"""),"julio")</f>
        <v>julio</v>
      </c>
      <c r="J404" s="107" t="str">
        <f ca="1">IFERROR(__xludf.DUMMYFUNCTION("""COMPUTED_VALUE"""),"N/A")</f>
        <v>N/A</v>
      </c>
      <c r="K404" s="40">
        <f ca="1">IFERROR(__xludf.DUMMYFUNCTION("""COMPUTED_VALUE"""),44)</f>
        <v>44</v>
      </c>
      <c r="L404" s="107" t="str">
        <f ca="1">IFERROR(__xludf.DUMMYFUNCTION("""COMPUTED_VALUE"""),"TRIMESTRE 3")</f>
        <v>TRIMESTRE 3</v>
      </c>
      <c r="M404" s="107" t="str">
        <f ca="1">IFERROR(__xludf.DUMMYFUNCTION("""COMPUTED_VALUE"""),"SERVICIOS")</f>
        <v>SERVICIOS</v>
      </c>
    </row>
    <row r="405" spans="1:13">
      <c r="A405" s="107" t="str">
        <f ca="1">IFERROR(__xludf.DUMMYFUNCTION("""COMPUTED_VALUE"""),"5.1.2.2")</f>
        <v>5.1.2.2</v>
      </c>
      <c r="B405" s="107" t="str">
        <f ca="1">IFERROR(__xludf.DUMMYFUNCTION("""COMPUTED_VALUE"""),"Atención Psicopedagógica Infantil/Dirección del Área de Centros de Inclusión/Dirección del Área de Centros de Inclusión/Coord.5. Inclusión")</f>
        <v>Atención Psicopedagógica Infantil/Dirección del Área de Centros de Inclusión/Dirección del Área de Centros de Inclusión/Coord.5. Inclusión</v>
      </c>
      <c r="C405" s="107" t="str">
        <f ca="1">IFERROR(__xludf.DUMMYFUNCTION("""COMPUTED_VALUE"""),"5. Inclusión")</f>
        <v>5. Inclusión</v>
      </c>
      <c r="D405" s="107" t="str">
        <f ca="1">IFERROR(__xludf.DUMMYFUNCTION("""COMPUTED_VALUE"""),"Guadalajara bien educada")</f>
        <v>Guadalajara bien educada</v>
      </c>
      <c r="E405" s="107" t="str">
        <f ca="1">IFERROR(__xludf.DUMMYFUNCTION("""COMPUTED_VALUE"""),"Atención Psicopedagógica Infantil")</f>
        <v>Atención Psicopedagógica Infantil</v>
      </c>
      <c r="F405" s="107" t="str">
        <f ca="1">IFERROR(__xludf.DUMMYFUNCTION("""COMPUTED_VALUE"""),"A2C2  Terapias impartidas para el desarrollo psicosocial de las niñas y los niños")</f>
        <v>A2C2  Terapias impartidas para el desarrollo psicosocial de las niñas y los niños</v>
      </c>
      <c r="G405" s="107" t="str">
        <f ca="1">IFERROR(__xludf.DUMMYFUNCTION("""COMPUTED_VALUE"""),"Porcentaje de cumplimiento en la ejecución de terapias de lenguaje, conducta y aprendizaje en el CAPI en 2024")</f>
        <v>Porcentaje de cumplimiento en la ejecución de terapias de lenguaje, conducta y aprendizaje en el CAPI en 2024</v>
      </c>
      <c r="H405" s="107" t="str">
        <f ca="1">IFERROR(__xludf.DUMMYFUNCTION("""COMPUTED_VALUE"""),"Servicio")</f>
        <v>Servicio</v>
      </c>
      <c r="I405" s="107" t="str">
        <f ca="1">IFERROR(__xludf.DUMMYFUNCTION("""COMPUTED_VALUE"""),"agosto")</f>
        <v>agosto</v>
      </c>
      <c r="J405" s="107" t="str">
        <f ca="1">IFERROR(__xludf.DUMMYFUNCTION("""COMPUTED_VALUE"""),"N/A")</f>
        <v>N/A</v>
      </c>
      <c r="K405" s="40">
        <f ca="1">IFERROR(__xludf.DUMMYFUNCTION("""COMPUTED_VALUE"""),0)</f>
        <v>0</v>
      </c>
      <c r="L405" s="107" t="str">
        <f ca="1">IFERROR(__xludf.DUMMYFUNCTION("""COMPUTED_VALUE"""),"TRIMESTRE 3")</f>
        <v>TRIMESTRE 3</v>
      </c>
      <c r="M405" s="107" t="str">
        <f ca="1">IFERROR(__xludf.DUMMYFUNCTION("""COMPUTED_VALUE"""),"SERVICIOS")</f>
        <v>SERVICIOS</v>
      </c>
    </row>
    <row r="406" spans="1:13">
      <c r="A406" s="107" t="str">
        <f ca="1">IFERROR(__xludf.DUMMYFUNCTION("""COMPUTED_VALUE"""),"5.1.2.2")</f>
        <v>5.1.2.2</v>
      </c>
      <c r="B406" s="107" t="str">
        <f ca="1">IFERROR(__xludf.DUMMYFUNCTION("""COMPUTED_VALUE"""),"Atención Psicopedagógica Infantil/Dirección del Área de Centros de Inclusión/Dirección del Área de Centros de Inclusión/Coord.5. Inclusión")</f>
        <v>Atención Psicopedagógica Infantil/Dirección del Área de Centros de Inclusión/Dirección del Área de Centros de Inclusión/Coord.5. Inclusión</v>
      </c>
      <c r="C406" s="107" t="str">
        <f ca="1">IFERROR(__xludf.DUMMYFUNCTION("""COMPUTED_VALUE"""),"5. Inclusión")</f>
        <v>5. Inclusión</v>
      </c>
      <c r="D406" s="107" t="str">
        <f ca="1">IFERROR(__xludf.DUMMYFUNCTION("""COMPUTED_VALUE"""),"Guadalajara bien educada")</f>
        <v>Guadalajara bien educada</v>
      </c>
      <c r="E406" s="107" t="str">
        <f ca="1">IFERROR(__xludf.DUMMYFUNCTION("""COMPUTED_VALUE"""),"Atención Psicopedagógica Infantil")</f>
        <v>Atención Psicopedagógica Infantil</v>
      </c>
      <c r="F406" s="107" t="str">
        <f ca="1">IFERROR(__xludf.DUMMYFUNCTION("""COMPUTED_VALUE"""),"A2C2  Terapias impartidas para el desarrollo psicosocial de las niñas y los niños")</f>
        <v>A2C2  Terapias impartidas para el desarrollo psicosocial de las niñas y los niños</v>
      </c>
      <c r="G406" s="107" t="str">
        <f ca="1">IFERROR(__xludf.DUMMYFUNCTION("""COMPUTED_VALUE"""),"Porcentaje de cumplimiento en la ejecución de terapias de lenguaje, conducta y aprendizaje en el CAPI en 2024")</f>
        <v>Porcentaje de cumplimiento en la ejecución de terapias de lenguaje, conducta y aprendizaje en el CAPI en 2024</v>
      </c>
      <c r="H406" s="107" t="str">
        <f ca="1">IFERROR(__xludf.DUMMYFUNCTION("""COMPUTED_VALUE"""),"Servicio")</f>
        <v>Servicio</v>
      </c>
      <c r="I406" s="107" t="str">
        <f ca="1">IFERROR(__xludf.DUMMYFUNCTION("""COMPUTED_VALUE"""),"septiembre")</f>
        <v>septiembre</v>
      </c>
      <c r="J406" s="107" t="str">
        <f ca="1">IFERROR(__xludf.DUMMYFUNCTION("""COMPUTED_VALUE"""),"N/A")</f>
        <v>N/A</v>
      </c>
      <c r="K406" s="40">
        <f ca="1">IFERROR(__xludf.DUMMYFUNCTION("""COMPUTED_VALUE"""),0)</f>
        <v>0</v>
      </c>
      <c r="L406" s="107" t="str">
        <f ca="1">IFERROR(__xludf.DUMMYFUNCTION("""COMPUTED_VALUE"""),"TRIMESTRE 3")</f>
        <v>TRIMESTRE 3</v>
      </c>
      <c r="M406" s="107" t="str">
        <f ca="1">IFERROR(__xludf.DUMMYFUNCTION("""COMPUTED_VALUE"""),"SERVICIOS")</f>
        <v>SERVICIOS</v>
      </c>
    </row>
    <row r="407" spans="1:13">
      <c r="A407" s="107" t="str">
        <f ca="1">IFERROR(__xludf.DUMMYFUNCTION("""COMPUTED_VALUE"""),"5.1.2.2")</f>
        <v>5.1.2.2</v>
      </c>
      <c r="B407" s="107" t="str">
        <f ca="1">IFERROR(__xludf.DUMMYFUNCTION("""COMPUTED_VALUE"""),"Atención Psicopedagógica Infantil/Dirección del Área de Centros de Inclusión/Dirección del Área de Centros de Inclusión/Coord.5. Inclusión")</f>
        <v>Atención Psicopedagógica Infantil/Dirección del Área de Centros de Inclusión/Dirección del Área de Centros de Inclusión/Coord.5. Inclusión</v>
      </c>
      <c r="C407" s="107" t="str">
        <f ca="1">IFERROR(__xludf.DUMMYFUNCTION("""COMPUTED_VALUE"""),"5. Inclusión")</f>
        <v>5. Inclusión</v>
      </c>
      <c r="D407" s="107" t="str">
        <f ca="1">IFERROR(__xludf.DUMMYFUNCTION("""COMPUTED_VALUE"""),"Guadalajara bien educada")</f>
        <v>Guadalajara bien educada</v>
      </c>
      <c r="E407" s="107" t="str">
        <f ca="1">IFERROR(__xludf.DUMMYFUNCTION("""COMPUTED_VALUE"""),"Atención Psicopedagógica Infantil")</f>
        <v>Atención Psicopedagógica Infantil</v>
      </c>
      <c r="F407" s="107" t="str">
        <f ca="1">IFERROR(__xludf.DUMMYFUNCTION("""COMPUTED_VALUE"""),"A2C2  Terapias impartidas para el desarrollo psicosocial de las niñas y los niños")</f>
        <v>A2C2  Terapias impartidas para el desarrollo psicosocial de las niñas y los niños</v>
      </c>
      <c r="G407" s="107" t="str">
        <f ca="1">IFERROR(__xludf.DUMMYFUNCTION("""COMPUTED_VALUE"""),"Porcentaje de cumplimiento en la ejecución de terapias de lenguaje, conducta y aprendizaje en el CAPI en 2024")</f>
        <v>Porcentaje de cumplimiento en la ejecución de terapias de lenguaje, conducta y aprendizaje en el CAPI en 2024</v>
      </c>
      <c r="H407" s="107" t="str">
        <f ca="1">IFERROR(__xludf.DUMMYFUNCTION("""COMPUTED_VALUE"""),"Servicio")</f>
        <v>Servicio</v>
      </c>
      <c r="I407" s="107" t="str">
        <f ca="1">IFERROR(__xludf.DUMMYFUNCTION("""COMPUTED_VALUE"""),"Octubre")</f>
        <v>Octubre</v>
      </c>
      <c r="J407" s="107" t="str">
        <f ca="1">IFERROR(__xludf.DUMMYFUNCTION("""COMPUTED_VALUE"""),"N/A")</f>
        <v>N/A</v>
      </c>
      <c r="K407" s="40">
        <f ca="1">IFERROR(__xludf.DUMMYFUNCTION("""COMPUTED_VALUE"""),0)</f>
        <v>0</v>
      </c>
      <c r="L407" s="107" t="str">
        <f ca="1">IFERROR(__xludf.DUMMYFUNCTION("""COMPUTED_VALUE"""),"TRIMESTRE 4")</f>
        <v>TRIMESTRE 4</v>
      </c>
      <c r="M407" s="107" t="str">
        <f ca="1">IFERROR(__xludf.DUMMYFUNCTION("""COMPUTED_VALUE"""),"SERVICIOS")</f>
        <v>SERVICIOS</v>
      </c>
    </row>
    <row r="408" spans="1:13">
      <c r="A408" s="107" t="str">
        <f ca="1">IFERROR(__xludf.DUMMYFUNCTION("""COMPUTED_VALUE"""),"5.1.2.2")</f>
        <v>5.1.2.2</v>
      </c>
      <c r="B408" s="107" t="str">
        <f ca="1">IFERROR(__xludf.DUMMYFUNCTION("""COMPUTED_VALUE"""),"Atención Psicopedagógica Infantil/Dirección del Área de Centros de Inclusión/Dirección del Área de Centros de Inclusión/Coord.5. Inclusión")</f>
        <v>Atención Psicopedagógica Infantil/Dirección del Área de Centros de Inclusión/Dirección del Área de Centros de Inclusión/Coord.5. Inclusión</v>
      </c>
      <c r="C408" s="107" t="str">
        <f ca="1">IFERROR(__xludf.DUMMYFUNCTION("""COMPUTED_VALUE"""),"5. Inclusión")</f>
        <v>5. Inclusión</v>
      </c>
      <c r="D408" s="107" t="str">
        <f ca="1">IFERROR(__xludf.DUMMYFUNCTION("""COMPUTED_VALUE"""),"Guadalajara bien educada")</f>
        <v>Guadalajara bien educada</v>
      </c>
      <c r="E408" s="107" t="str">
        <f ca="1">IFERROR(__xludf.DUMMYFUNCTION("""COMPUTED_VALUE"""),"Atención Psicopedagógica Infantil")</f>
        <v>Atención Psicopedagógica Infantil</v>
      </c>
      <c r="F408" s="107" t="str">
        <f ca="1">IFERROR(__xludf.DUMMYFUNCTION("""COMPUTED_VALUE"""),"A2C2  Terapias impartidas para el desarrollo psicosocial de las niñas y los niños")</f>
        <v>A2C2  Terapias impartidas para el desarrollo psicosocial de las niñas y los niños</v>
      </c>
      <c r="G408" s="107" t="str">
        <f ca="1">IFERROR(__xludf.DUMMYFUNCTION("""COMPUTED_VALUE"""),"Porcentaje de cumplimiento en la ejecución de terapias de lenguaje, conducta y aprendizaje en el CAPI en 2024")</f>
        <v>Porcentaje de cumplimiento en la ejecución de terapias de lenguaje, conducta y aprendizaje en el CAPI en 2024</v>
      </c>
      <c r="H408" s="107" t="str">
        <f ca="1">IFERROR(__xludf.DUMMYFUNCTION("""COMPUTED_VALUE"""),"Servicio")</f>
        <v>Servicio</v>
      </c>
      <c r="I408" s="107" t="str">
        <f ca="1">IFERROR(__xludf.DUMMYFUNCTION("""COMPUTED_VALUE"""),"noviembre")</f>
        <v>noviembre</v>
      </c>
      <c r="J408" s="107" t="str">
        <f ca="1">IFERROR(__xludf.DUMMYFUNCTION("""COMPUTED_VALUE"""),"N/A")</f>
        <v>N/A</v>
      </c>
      <c r="K408" s="40">
        <f ca="1">IFERROR(__xludf.DUMMYFUNCTION("""COMPUTED_VALUE"""),0)</f>
        <v>0</v>
      </c>
      <c r="L408" s="107" t="str">
        <f ca="1">IFERROR(__xludf.DUMMYFUNCTION("""COMPUTED_VALUE"""),"TRIMESTRE 4")</f>
        <v>TRIMESTRE 4</v>
      </c>
      <c r="M408" s="107" t="str">
        <f ca="1">IFERROR(__xludf.DUMMYFUNCTION("""COMPUTED_VALUE"""),"SERVICIOS")</f>
        <v>SERVICIOS</v>
      </c>
    </row>
    <row r="409" spans="1:13">
      <c r="A409" s="107" t="str">
        <f ca="1">IFERROR(__xludf.DUMMYFUNCTION("""COMPUTED_VALUE"""),"5.1.2.2")</f>
        <v>5.1.2.2</v>
      </c>
      <c r="B409" s="107" t="str">
        <f ca="1">IFERROR(__xludf.DUMMYFUNCTION("""COMPUTED_VALUE"""),"Atención Psicopedagógica Infantil/Dirección del Área de Centros de Inclusión/Dirección del Área de Centros de Inclusión/Coord.5. Inclusión")</f>
        <v>Atención Psicopedagógica Infantil/Dirección del Área de Centros de Inclusión/Dirección del Área de Centros de Inclusión/Coord.5. Inclusión</v>
      </c>
      <c r="C409" s="107" t="str">
        <f ca="1">IFERROR(__xludf.DUMMYFUNCTION("""COMPUTED_VALUE"""),"5. Inclusión")</f>
        <v>5. Inclusión</v>
      </c>
      <c r="D409" s="107" t="str">
        <f ca="1">IFERROR(__xludf.DUMMYFUNCTION("""COMPUTED_VALUE"""),"Guadalajara bien educada")</f>
        <v>Guadalajara bien educada</v>
      </c>
      <c r="E409" s="107" t="str">
        <f ca="1">IFERROR(__xludf.DUMMYFUNCTION("""COMPUTED_VALUE"""),"Atención Psicopedagógica Infantil")</f>
        <v>Atención Psicopedagógica Infantil</v>
      </c>
      <c r="F409" s="107" t="str">
        <f ca="1">IFERROR(__xludf.DUMMYFUNCTION("""COMPUTED_VALUE"""),"A2C2  Terapias impartidas para el desarrollo psicosocial de las niñas y los niños")</f>
        <v>A2C2  Terapias impartidas para el desarrollo psicosocial de las niñas y los niños</v>
      </c>
      <c r="G409" s="107" t="str">
        <f ca="1">IFERROR(__xludf.DUMMYFUNCTION("""COMPUTED_VALUE"""),"Porcentaje de cumplimiento en la ejecución de terapias de lenguaje, conducta y aprendizaje en el CAPI en 2024")</f>
        <v>Porcentaje de cumplimiento en la ejecución de terapias de lenguaje, conducta y aprendizaje en el CAPI en 2024</v>
      </c>
      <c r="H409" s="107" t="str">
        <f ca="1">IFERROR(__xludf.DUMMYFUNCTION("""COMPUTED_VALUE"""),"Servicio")</f>
        <v>Servicio</v>
      </c>
      <c r="I409" s="107" t="str">
        <f ca="1">IFERROR(__xludf.DUMMYFUNCTION("""COMPUTED_VALUE"""),"diciembre")</f>
        <v>diciembre</v>
      </c>
      <c r="J409" s="107" t="str">
        <f ca="1">IFERROR(__xludf.DUMMYFUNCTION("""COMPUTED_VALUE"""),"N/A")</f>
        <v>N/A</v>
      </c>
      <c r="K409" s="40">
        <f ca="1">IFERROR(__xludf.DUMMYFUNCTION("""COMPUTED_VALUE"""),0)</f>
        <v>0</v>
      </c>
      <c r="L409" s="107" t="str">
        <f ca="1">IFERROR(__xludf.DUMMYFUNCTION("""COMPUTED_VALUE"""),"TRIMESTRE 4")</f>
        <v>TRIMESTRE 4</v>
      </c>
      <c r="M409" s="107" t="str">
        <f ca="1">IFERROR(__xludf.DUMMYFUNCTION("""COMPUTED_VALUE"""),"SERVICIOS")</f>
        <v>SERVICIOS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:C615"/>
  <sheetViews>
    <sheetView workbookViewId="0"/>
  </sheetViews>
  <sheetFormatPr baseColWidth="10" defaultColWidth="12.5703125" defaultRowHeight="15" customHeight="1"/>
  <sheetData>
    <row r="1" spans="1:3">
      <c r="A1" s="107" t="str">
        <f ca="1">IFERROR(__xludf.DUMMYFUNCTION("QUERY(IMPORTRANGE(""1zyBd8IQlNAQI1DEiTZxkkEb6cvqE5P_ZcRvK_jum_2c"",""'Campos meta'!A:C""),""SELECT *"",1)"),"ID")</f>
        <v>ID</v>
      </c>
      <c r="B1" s="107" t="str">
        <f ca="1">IFERROR(__xludf.DUMMYFUNCTION("""COMPUTED_VALUE"""),"UNIDAD DE MEDIDA")</f>
        <v>UNIDAD DE MEDIDA</v>
      </c>
      <c r="C1" s="107" t="str">
        <f ca="1">IFERROR(__xludf.DUMMYFUNCTION("""COMPUTED_VALUE"""),"META PROGRAMADA")</f>
        <v>META PROGRAMADA</v>
      </c>
    </row>
    <row r="2" spans="1:3">
      <c r="A2" s="107" t="str">
        <f ca="1">IFERROR(__xludf.DUMMYFUNCTION("""COMPUTED_VALUE"""),"1.0.0.0")</f>
        <v>1.0.0.0</v>
      </c>
      <c r="B2" s="107" t="str">
        <f ca="1">IFERROR(__xludf.DUMMYFUNCTION("""COMPUTED_VALUE"""),"Porcentaje")</f>
        <v>Porcentaje</v>
      </c>
      <c r="C2" s="40">
        <f ca="1">IFERROR(__xludf.DUMMYFUNCTION("""COMPUTED_VALUE"""),8)</f>
        <v>8</v>
      </c>
    </row>
    <row r="3" spans="1:3">
      <c r="A3" s="107" t="str">
        <f ca="1">IFERROR(__xludf.DUMMYFUNCTION("""COMPUTED_VALUE"""),"1.1.0.0")</f>
        <v>1.1.0.0</v>
      </c>
      <c r="B3" s="107" t="str">
        <f ca="1">IFERROR(__xludf.DUMMYFUNCTION("""COMPUTED_VALUE"""),"Porcentaje")</f>
        <v>Porcentaje</v>
      </c>
      <c r="C3" s="40">
        <f ca="1">IFERROR(__xludf.DUMMYFUNCTION("""COMPUTED_VALUE"""),7865)</f>
        <v>7865</v>
      </c>
    </row>
    <row r="4" spans="1:3">
      <c r="A4" s="107" t="str">
        <f ca="1">IFERROR(__xludf.DUMMYFUNCTION("""COMPUTED_VALUE"""),"1.1.1.0")</f>
        <v>1.1.1.0</v>
      </c>
      <c r="B4" s="107" t="str">
        <f ca="1">IFERROR(__xludf.DUMMYFUNCTION("""COMPUTED_VALUE"""),"Porcentaje")</f>
        <v>Porcentaje</v>
      </c>
      <c r="C4" s="40">
        <f ca="1">IFERROR(__xludf.DUMMYFUNCTION("""COMPUTED_VALUE"""),500)</f>
        <v>500</v>
      </c>
    </row>
    <row r="5" spans="1:3">
      <c r="A5" s="107" t="str">
        <f ca="1">IFERROR(__xludf.DUMMYFUNCTION("""COMPUTED_VALUE"""),"1.1.1.1")</f>
        <v>1.1.1.1</v>
      </c>
      <c r="B5" s="107" t="str">
        <f ca="1">IFERROR(__xludf.DUMMYFUNCTION("""COMPUTED_VALUE"""),"Porcentaje")</f>
        <v>Porcentaje</v>
      </c>
      <c r="C5" s="40">
        <f ca="1">IFERROR(__xludf.DUMMYFUNCTION("""COMPUTED_VALUE"""),24)</f>
        <v>24</v>
      </c>
    </row>
    <row r="6" spans="1:3">
      <c r="A6" s="107" t="str">
        <f ca="1">IFERROR(__xludf.DUMMYFUNCTION("""COMPUTED_VALUE"""),"1.1.1.2")</f>
        <v>1.1.1.2</v>
      </c>
      <c r="B6" s="107" t="str">
        <f ca="1">IFERROR(__xludf.DUMMYFUNCTION("""COMPUTED_VALUE"""),"Porcentaje")</f>
        <v>Porcentaje</v>
      </c>
      <c r="C6" s="40">
        <f ca="1">IFERROR(__xludf.DUMMYFUNCTION("""COMPUTED_VALUE"""),11)</f>
        <v>11</v>
      </c>
    </row>
    <row r="7" spans="1:3">
      <c r="A7" s="107" t="str">
        <f ca="1">IFERROR(__xludf.DUMMYFUNCTION("""COMPUTED_VALUE"""),"1.1.1.3")</f>
        <v>1.1.1.3</v>
      </c>
      <c r="B7" s="107" t="str">
        <f ca="1">IFERROR(__xludf.DUMMYFUNCTION("""COMPUTED_VALUE"""),"Promedio")</f>
        <v>Promedio</v>
      </c>
      <c r="C7" s="40">
        <f ca="1">IFERROR(__xludf.DUMMYFUNCTION("""COMPUTED_VALUE"""),270)</f>
        <v>270</v>
      </c>
    </row>
    <row r="8" spans="1:3">
      <c r="A8" s="107" t="str">
        <f ca="1">IFERROR(__xludf.DUMMYFUNCTION("""COMPUTED_VALUE"""),"1.1.1.4")</f>
        <v>1.1.1.4</v>
      </c>
      <c r="B8" s="107" t="str">
        <f ca="1">IFERROR(__xludf.DUMMYFUNCTION("""COMPUTED_VALUE"""),"Porcentaje")</f>
        <v>Porcentaje</v>
      </c>
      <c r="C8" s="40">
        <f ca="1">IFERROR(__xludf.DUMMYFUNCTION("""COMPUTED_VALUE"""),7)</f>
        <v>7</v>
      </c>
    </row>
    <row r="9" spans="1:3">
      <c r="A9" s="107" t="str">
        <f ca="1">IFERROR(__xludf.DUMMYFUNCTION("""COMPUTED_VALUE"""),"1.1.1.5")</f>
        <v>1.1.1.5</v>
      </c>
      <c r="B9" s="107" t="str">
        <f ca="1">IFERROR(__xludf.DUMMYFUNCTION("""COMPUTED_VALUE"""),"Porcentaje")</f>
        <v>Porcentaje</v>
      </c>
      <c r="C9" s="40">
        <f ca="1">IFERROR(__xludf.DUMMYFUNCTION("""COMPUTED_VALUE"""),422)</f>
        <v>422</v>
      </c>
    </row>
    <row r="10" spans="1:3">
      <c r="A10" s="107" t="str">
        <f ca="1">IFERROR(__xludf.DUMMYFUNCTION("""COMPUTED_VALUE"""),"1.1.2.0")</f>
        <v>1.1.2.0</v>
      </c>
      <c r="B10" s="107" t="str">
        <f ca="1">IFERROR(__xludf.DUMMYFUNCTION("""COMPUTED_VALUE"""),"Porcentaje")</f>
        <v>Porcentaje</v>
      </c>
      <c r="C10" s="40">
        <f ca="1">IFERROR(__xludf.DUMMYFUNCTION("""COMPUTED_VALUE"""),6)</f>
        <v>6</v>
      </c>
    </row>
    <row r="11" spans="1:3">
      <c r="A11" s="107" t="str">
        <f ca="1">IFERROR(__xludf.DUMMYFUNCTION("""COMPUTED_VALUE"""),"1.1.2.1")</f>
        <v>1.1.2.1</v>
      </c>
      <c r="B11" s="107" t="str">
        <f ca="1">IFERROR(__xludf.DUMMYFUNCTION("""COMPUTED_VALUE"""),"Porcentaje")</f>
        <v>Porcentaje</v>
      </c>
      <c r="C11" s="40">
        <f ca="1">IFERROR(__xludf.DUMMYFUNCTION("""COMPUTED_VALUE"""),2)</f>
        <v>2</v>
      </c>
    </row>
    <row r="12" spans="1:3">
      <c r="A12" s="107" t="str">
        <f ca="1">IFERROR(__xludf.DUMMYFUNCTION("""COMPUTED_VALUE"""),"1.1.3.0")</f>
        <v>1.1.3.0</v>
      </c>
      <c r="B12" s="107" t="str">
        <f ca="1">IFERROR(__xludf.DUMMYFUNCTION("""COMPUTED_VALUE"""),"Porcentaje")</f>
        <v>Porcentaje</v>
      </c>
      <c r="C12" s="40">
        <f ca="1">IFERROR(__xludf.DUMMYFUNCTION("""COMPUTED_VALUE"""),2)</f>
        <v>2</v>
      </c>
    </row>
    <row r="13" spans="1:3">
      <c r="A13" s="107" t="str">
        <f ca="1">IFERROR(__xludf.DUMMYFUNCTION("""COMPUTED_VALUE"""),"1.1.3.1")</f>
        <v>1.1.3.1</v>
      </c>
      <c r="B13" s="107" t="str">
        <f ca="1">IFERROR(__xludf.DUMMYFUNCTION("""COMPUTED_VALUE"""),"Porcentaje")</f>
        <v>Porcentaje</v>
      </c>
      <c r="C13" s="40">
        <f ca="1">IFERROR(__xludf.DUMMYFUNCTION("""COMPUTED_VALUE"""),12)</f>
        <v>12</v>
      </c>
    </row>
    <row r="14" spans="1:3">
      <c r="A14" s="107" t="str">
        <f ca="1">IFERROR(__xludf.DUMMYFUNCTION("""COMPUTED_VALUE"""),"1.1.4.0")</f>
        <v>1.1.4.0</v>
      </c>
      <c r="B14" s="107" t="str">
        <f ca="1">IFERROR(__xludf.DUMMYFUNCTION("""COMPUTED_VALUE"""),"Porcentaje")</f>
        <v>Porcentaje</v>
      </c>
      <c r="C14" s="40">
        <f ca="1">IFERROR(__xludf.DUMMYFUNCTION("""COMPUTED_VALUE"""),120)</f>
        <v>120</v>
      </c>
    </row>
    <row r="15" spans="1:3">
      <c r="A15" s="107" t="str">
        <f ca="1">IFERROR(__xludf.DUMMYFUNCTION("""COMPUTED_VALUE"""),"1.1.4.1")</f>
        <v>1.1.4.1</v>
      </c>
      <c r="B15" s="107" t="str">
        <f ca="1">IFERROR(__xludf.DUMMYFUNCTION("""COMPUTED_VALUE"""),"Porcentaje")</f>
        <v>Porcentaje</v>
      </c>
      <c r="C15" s="40">
        <f ca="1">IFERROR(__xludf.DUMMYFUNCTION("""COMPUTED_VALUE"""),3500)</f>
        <v>3500</v>
      </c>
    </row>
    <row r="16" spans="1:3">
      <c r="A16" s="107" t="str">
        <f ca="1">IFERROR(__xludf.DUMMYFUNCTION("""COMPUTED_VALUE"""),"1.1.4.2")</f>
        <v>1.1.4.2</v>
      </c>
      <c r="B16" s="107" t="str">
        <f ca="1">IFERROR(__xludf.DUMMYFUNCTION("""COMPUTED_VALUE"""),"Porcentaje")</f>
        <v>Porcentaje</v>
      </c>
      <c r="C16" s="40">
        <f ca="1">IFERROR(__xludf.DUMMYFUNCTION("""COMPUTED_VALUE"""),90)</f>
        <v>90</v>
      </c>
    </row>
    <row r="17" spans="1:3">
      <c r="A17" s="107" t="str">
        <f ca="1">IFERROR(__xludf.DUMMYFUNCTION("""COMPUTED_VALUE"""),"1.1.4.3")</f>
        <v>1.1.4.3</v>
      </c>
      <c r="B17" s="107" t="str">
        <f ca="1">IFERROR(__xludf.DUMMYFUNCTION("""COMPUTED_VALUE"""),"Porcentaje")</f>
        <v>Porcentaje</v>
      </c>
      <c r="C17" s="40">
        <f ca="1">IFERROR(__xludf.DUMMYFUNCTION("""COMPUTED_VALUE"""),200)</f>
        <v>200</v>
      </c>
    </row>
    <row r="18" spans="1:3">
      <c r="A18" s="107" t="str">
        <f ca="1">IFERROR(__xludf.DUMMYFUNCTION("""COMPUTED_VALUE"""),"1.1.4.4")</f>
        <v>1.1.4.4</v>
      </c>
      <c r="B18" s="107" t="str">
        <f ca="1">IFERROR(__xludf.DUMMYFUNCTION("""COMPUTED_VALUE"""),"Porcentaje")</f>
        <v>Porcentaje</v>
      </c>
      <c r="C18" s="40">
        <f ca="1">IFERROR(__xludf.DUMMYFUNCTION("""COMPUTED_VALUE"""),250)</f>
        <v>250</v>
      </c>
    </row>
    <row r="19" spans="1:3">
      <c r="A19" s="107" t="str">
        <f ca="1">IFERROR(__xludf.DUMMYFUNCTION("""COMPUTED_VALUE"""),"1.1.5.0")</f>
        <v>1.1.5.0</v>
      </c>
      <c r="B19" s="107" t="str">
        <f ca="1">IFERROR(__xludf.DUMMYFUNCTION("""COMPUTED_VALUE"""),"Porcentaje")</f>
        <v>Porcentaje</v>
      </c>
      <c r="C19" s="40">
        <f ca="1">IFERROR(__xludf.DUMMYFUNCTION("""COMPUTED_VALUE"""),80)</f>
        <v>80</v>
      </c>
    </row>
    <row r="20" spans="1:3">
      <c r="A20" s="107" t="str">
        <f ca="1">IFERROR(__xludf.DUMMYFUNCTION("""COMPUTED_VALUE"""),"1.1.5.1")</f>
        <v>1.1.5.1</v>
      </c>
      <c r="B20" s="107" t="str">
        <f ca="1">IFERROR(__xludf.DUMMYFUNCTION("""COMPUTED_VALUE"""),"Porcentaje")</f>
        <v>Porcentaje</v>
      </c>
      <c r="C20" s="40">
        <f ca="1">IFERROR(__xludf.DUMMYFUNCTION("""COMPUTED_VALUE"""),2)</f>
        <v>2</v>
      </c>
    </row>
    <row r="21" spans="1:3">
      <c r="A21" s="107" t="str">
        <f ca="1">IFERROR(__xludf.DUMMYFUNCTION("""COMPUTED_VALUE"""),"1.1.5.2")</f>
        <v>1.1.5.2</v>
      </c>
      <c r="B21" s="107" t="str">
        <f ca="1">IFERROR(__xludf.DUMMYFUNCTION("""COMPUTED_VALUE"""),"Porcentaje")</f>
        <v>Porcentaje</v>
      </c>
      <c r="C21" s="40">
        <f ca="1">IFERROR(__xludf.DUMMYFUNCTION("""COMPUTED_VALUE"""),1300)</f>
        <v>1300</v>
      </c>
    </row>
    <row r="22" spans="1:3">
      <c r="A22" s="107" t="str">
        <f ca="1">IFERROR(__xludf.DUMMYFUNCTION("""COMPUTED_VALUE"""),"1.1.5.3")</f>
        <v>1.1.5.3</v>
      </c>
      <c r="B22" s="107" t="str">
        <f ca="1">IFERROR(__xludf.DUMMYFUNCTION("""COMPUTED_VALUE"""),"Porcentaje")</f>
        <v>Porcentaje</v>
      </c>
      <c r="C22" s="40">
        <f ca="1">IFERROR(__xludf.DUMMYFUNCTION("""COMPUTED_VALUE"""),12)</f>
        <v>12</v>
      </c>
    </row>
    <row r="23" spans="1:3">
      <c r="A23" s="107" t="str">
        <f ca="1">IFERROR(__xludf.DUMMYFUNCTION("""COMPUTED_VALUE"""),"1.1.6.0")</f>
        <v>1.1.6.0</v>
      </c>
      <c r="B23" s="107" t="str">
        <f ca="1">IFERROR(__xludf.DUMMYFUNCTION("""COMPUTED_VALUE"""),"Porcentaje")</f>
        <v>Porcentaje</v>
      </c>
      <c r="C23" s="40">
        <f ca="1">IFERROR(__xludf.DUMMYFUNCTION("""COMPUTED_VALUE"""),2400)</f>
        <v>2400</v>
      </c>
    </row>
    <row r="24" spans="1:3">
      <c r="A24" s="107" t="str">
        <f ca="1">IFERROR(__xludf.DUMMYFUNCTION("""COMPUTED_VALUE"""),"1.1.6.1")</f>
        <v>1.1.6.1</v>
      </c>
      <c r="B24" s="107" t="str">
        <f ca="1">IFERROR(__xludf.DUMMYFUNCTION("""COMPUTED_VALUE"""),"Porcentaje")</f>
        <v>Porcentaje</v>
      </c>
      <c r="C24" s="40">
        <f ca="1">IFERROR(__xludf.DUMMYFUNCTION("""COMPUTED_VALUE"""),200)</f>
        <v>200</v>
      </c>
    </row>
    <row r="25" spans="1:3">
      <c r="A25" s="107" t="str">
        <f ca="1">IFERROR(__xludf.DUMMYFUNCTION("""COMPUTED_VALUE"""),"1.1.7.0")</f>
        <v>1.1.7.0</v>
      </c>
      <c r="B25" s="107" t="str">
        <f ca="1">IFERROR(__xludf.DUMMYFUNCTION("""COMPUTED_VALUE"""),"Porcentaje")</f>
        <v>Porcentaje</v>
      </c>
      <c r="C25" s="40">
        <f ca="1">IFERROR(__xludf.DUMMYFUNCTION("""COMPUTED_VALUE"""),2500)</f>
        <v>2500</v>
      </c>
    </row>
    <row r="26" spans="1:3">
      <c r="A26" s="107" t="str">
        <f ca="1">IFERROR(__xludf.DUMMYFUNCTION("""COMPUTED_VALUE"""),"1.1.7.1")</f>
        <v>1.1.7.1</v>
      </c>
      <c r="B26" s="107" t="str">
        <f ca="1">IFERROR(__xludf.DUMMYFUNCTION("""COMPUTED_VALUE"""),"Porcentaje")</f>
        <v>Porcentaje</v>
      </c>
      <c r="C26" s="40">
        <f ca="1">IFERROR(__xludf.DUMMYFUNCTION("""COMPUTED_VALUE"""),45)</f>
        <v>45</v>
      </c>
    </row>
    <row r="27" spans="1:3">
      <c r="A27" s="107" t="str">
        <f ca="1">IFERROR(__xludf.DUMMYFUNCTION("""COMPUTED_VALUE"""),"1.1.7.2")</f>
        <v>1.1.7.2</v>
      </c>
      <c r="B27" s="107" t="str">
        <f ca="1">IFERROR(__xludf.DUMMYFUNCTION("""COMPUTED_VALUE"""),"Porcentaje")</f>
        <v>Porcentaje</v>
      </c>
      <c r="C27" s="40">
        <f ca="1">IFERROR(__xludf.DUMMYFUNCTION("""COMPUTED_VALUE"""),180)</f>
        <v>180</v>
      </c>
    </row>
    <row r="28" spans="1:3">
      <c r="A28" s="107" t="str">
        <f ca="1">IFERROR(__xludf.DUMMYFUNCTION("""COMPUTED_VALUE"""),"1.1.7.3")</f>
        <v>1.1.7.3</v>
      </c>
      <c r="B28" s="107" t="str">
        <f ca="1">IFERROR(__xludf.DUMMYFUNCTION("""COMPUTED_VALUE"""),"Porcentaje")</f>
        <v>Porcentaje</v>
      </c>
      <c r="C28" s="40">
        <f ca="1">IFERROR(__xludf.DUMMYFUNCTION("""COMPUTED_VALUE"""),720)</f>
        <v>720</v>
      </c>
    </row>
    <row r="29" spans="1:3">
      <c r="A29" s="107" t="str">
        <f ca="1">IFERROR(__xludf.DUMMYFUNCTION("""COMPUTED_VALUE"""),"1.1.8.0")</f>
        <v>1.1.8.0</v>
      </c>
      <c r="B29" s="107" t="str">
        <f ca="1">IFERROR(__xludf.DUMMYFUNCTION("""COMPUTED_VALUE"""),"Porcentaje")</f>
        <v>Porcentaje</v>
      </c>
      <c r="C29" s="40">
        <f ca="1">IFERROR(__xludf.DUMMYFUNCTION("""COMPUTED_VALUE"""),440)</f>
        <v>440</v>
      </c>
    </row>
    <row r="30" spans="1:3">
      <c r="A30" s="107" t="str">
        <f ca="1">IFERROR(__xludf.DUMMYFUNCTION("""COMPUTED_VALUE"""),"1.1.8.1")</f>
        <v>1.1.8.1</v>
      </c>
      <c r="B30" s="107" t="str">
        <f ca="1">IFERROR(__xludf.DUMMYFUNCTION("""COMPUTED_VALUE"""),"Porcentaje")</f>
        <v>Porcentaje</v>
      </c>
      <c r="C30" s="40">
        <f ca="1">IFERROR(__xludf.DUMMYFUNCTION("""COMPUTED_VALUE"""),410)</f>
        <v>410</v>
      </c>
    </row>
    <row r="31" spans="1:3">
      <c r="A31" s="107" t="str">
        <f ca="1">IFERROR(__xludf.DUMMYFUNCTION("""COMPUTED_VALUE"""),"1.1.8.2")</f>
        <v>1.1.8.2</v>
      </c>
      <c r="B31" s="107" t="str">
        <f ca="1">IFERROR(__xludf.DUMMYFUNCTION("""COMPUTED_VALUE"""),"Porcentaje")</f>
        <v>Porcentaje</v>
      </c>
      <c r="C31" s="40">
        <f ca="1">IFERROR(__xludf.DUMMYFUNCTION("""COMPUTED_VALUE"""),30)</f>
        <v>30</v>
      </c>
    </row>
    <row r="32" spans="1:3">
      <c r="A32" s="107" t="str">
        <f ca="1">IFERROR(__xludf.DUMMYFUNCTION("""COMPUTED_VALUE"""),"1.1.9.0")</f>
        <v>1.1.9.0</v>
      </c>
      <c r="B32" s="107" t="str">
        <f ca="1">IFERROR(__xludf.DUMMYFUNCTION("""COMPUTED_VALUE"""),"Porcentaje")</f>
        <v>Porcentaje</v>
      </c>
      <c r="C32" s="40">
        <f ca="1">IFERROR(__xludf.DUMMYFUNCTION("""COMPUTED_VALUE"""),50)</f>
        <v>50</v>
      </c>
    </row>
    <row r="33" spans="1:3">
      <c r="A33" s="107" t="str">
        <f ca="1">IFERROR(__xludf.DUMMYFUNCTION("""COMPUTED_VALUE"""),"1.1.9.1")</f>
        <v>1.1.9.1</v>
      </c>
      <c r="B33" s="107" t="str">
        <f ca="1">IFERROR(__xludf.DUMMYFUNCTION("""COMPUTED_VALUE"""),"Porcentaje")</f>
        <v>Porcentaje</v>
      </c>
      <c r="C33" s="40">
        <f ca="1">IFERROR(__xludf.DUMMYFUNCTION("""COMPUTED_VALUE"""),400)</f>
        <v>400</v>
      </c>
    </row>
    <row r="34" spans="1:3">
      <c r="A34" s="107" t="str">
        <f ca="1">IFERROR(__xludf.DUMMYFUNCTION("""COMPUTED_VALUE"""),"1.1.9.2")</f>
        <v>1.1.9.2</v>
      </c>
      <c r="B34" s="107" t="str">
        <f ca="1">IFERROR(__xludf.DUMMYFUNCTION("""COMPUTED_VALUE"""),"Porcentaje")</f>
        <v>Porcentaje</v>
      </c>
      <c r="C34" s="40">
        <f ca="1">IFERROR(__xludf.DUMMYFUNCTION("""COMPUTED_VALUE"""),40)</f>
        <v>40</v>
      </c>
    </row>
    <row r="35" spans="1:3">
      <c r="A35" s="107" t="str">
        <f ca="1">IFERROR(__xludf.DUMMYFUNCTION("""COMPUTED_VALUE"""),"1.1.9.3")</f>
        <v>1.1.9.3</v>
      </c>
      <c r="B35" s="107" t="str">
        <f ca="1">IFERROR(__xludf.DUMMYFUNCTION("""COMPUTED_VALUE"""),"Porcentaje")</f>
        <v>Porcentaje</v>
      </c>
      <c r="C35" s="40">
        <f ca="1">IFERROR(__xludf.DUMMYFUNCTION("""COMPUTED_VALUE"""),20)</f>
        <v>20</v>
      </c>
    </row>
    <row r="36" spans="1:3">
      <c r="A36" s="107" t="str">
        <f ca="1">IFERROR(__xludf.DUMMYFUNCTION("""COMPUTED_VALUE"""),"2.0.0.0")</f>
        <v>2.0.0.0</v>
      </c>
      <c r="B36" s="107" t="str">
        <f ca="1">IFERROR(__xludf.DUMMYFUNCTION("""COMPUTED_VALUE"""),"Porcentaje")</f>
        <v>Porcentaje</v>
      </c>
      <c r="C36" s="40">
        <f ca="1">IFERROR(__xludf.DUMMYFUNCTION("""COMPUTED_VALUE"""),44359)</f>
        <v>44359</v>
      </c>
    </row>
    <row r="37" spans="1:3">
      <c r="A37" s="107" t="str">
        <f ca="1">IFERROR(__xludf.DUMMYFUNCTION("""COMPUTED_VALUE"""),"2.1.0.0")</f>
        <v>2.1.0.0</v>
      </c>
      <c r="B37" s="107" t="str">
        <f ca="1">IFERROR(__xludf.DUMMYFUNCTION("""COMPUTED_VALUE"""),"Porcentaje")</f>
        <v>Porcentaje</v>
      </c>
      <c r="C37" s="40">
        <f ca="1">IFERROR(__xludf.DUMMYFUNCTION("""COMPUTED_VALUE"""),1531976)</f>
        <v>1531976</v>
      </c>
    </row>
    <row r="38" spans="1:3">
      <c r="A38" s="107" t="str">
        <f ca="1">IFERROR(__xludf.DUMMYFUNCTION("""COMPUTED_VALUE"""),"2.1.1.0")</f>
        <v>2.1.1.0</v>
      </c>
      <c r="B38" s="107" t="str">
        <f ca="1">IFERROR(__xludf.DUMMYFUNCTION("""COMPUTED_VALUE"""),"Porcentaje")</f>
        <v>Porcentaje</v>
      </c>
      <c r="C38" s="40">
        <f ca="1">IFERROR(__xludf.DUMMYFUNCTION("""COMPUTED_VALUE"""),9)</f>
        <v>9</v>
      </c>
    </row>
    <row r="39" spans="1:3">
      <c r="A39" s="107" t="str">
        <f ca="1">IFERROR(__xludf.DUMMYFUNCTION("""COMPUTED_VALUE"""),"2.1.1.1")</f>
        <v>2.1.1.1</v>
      </c>
      <c r="B39" s="107" t="str">
        <f ca="1">IFERROR(__xludf.DUMMYFUNCTION("""COMPUTED_VALUE"""),"Porcentaje")</f>
        <v>Porcentaje</v>
      </c>
      <c r="C39" s="40">
        <f ca="1">IFERROR(__xludf.DUMMYFUNCTION("""COMPUTED_VALUE"""),7500)</f>
        <v>7500</v>
      </c>
    </row>
    <row r="40" spans="1:3">
      <c r="A40" s="107" t="str">
        <f ca="1">IFERROR(__xludf.DUMMYFUNCTION("""COMPUTED_VALUE"""),"2.1.1.2")</f>
        <v>2.1.1.2</v>
      </c>
      <c r="B40" s="107" t="str">
        <f ca="1">IFERROR(__xludf.DUMMYFUNCTION("""COMPUTED_VALUE"""),"Porcentaje")</f>
        <v>Porcentaje</v>
      </c>
      <c r="C40" s="40">
        <f ca="1">IFERROR(__xludf.DUMMYFUNCTION("""COMPUTED_VALUE"""),1500)</f>
        <v>1500</v>
      </c>
    </row>
    <row r="41" spans="1:3">
      <c r="A41" s="107" t="str">
        <f ca="1">IFERROR(__xludf.DUMMYFUNCTION("""COMPUTED_VALUE"""),"2.1.1.3")</f>
        <v>2.1.1.3</v>
      </c>
      <c r="B41" s="107" t="str">
        <f ca="1">IFERROR(__xludf.DUMMYFUNCTION("""COMPUTED_VALUE"""),"Porcentaje")</f>
        <v>Porcentaje</v>
      </c>
      <c r="C41" s="40">
        <f ca="1">IFERROR(__xludf.DUMMYFUNCTION("""COMPUTED_VALUE"""),5000)</f>
        <v>5000</v>
      </c>
    </row>
    <row r="42" spans="1:3">
      <c r="A42" s="107" t="str">
        <f ca="1">IFERROR(__xludf.DUMMYFUNCTION("""COMPUTED_VALUE"""),"2.1.1.4")</f>
        <v>2.1.1.4</v>
      </c>
      <c r="B42" s="107" t="str">
        <f ca="1">IFERROR(__xludf.DUMMYFUNCTION("""COMPUTED_VALUE"""),"Porcentaje")</f>
        <v>Porcentaje</v>
      </c>
      <c r="C42" s="40">
        <f ca="1">IFERROR(__xludf.DUMMYFUNCTION("""COMPUTED_VALUE"""),8769)</f>
        <v>8769</v>
      </c>
    </row>
    <row r="43" spans="1:3">
      <c r="A43" s="107" t="str">
        <f ca="1">IFERROR(__xludf.DUMMYFUNCTION("""COMPUTED_VALUE"""),"2.1.1.5")</f>
        <v>2.1.1.5</v>
      </c>
      <c r="B43" s="107" t="str">
        <f ca="1">IFERROR(__xludf.DUMMYFUNCTION("""COMPUTED_VALUE"""),"Porcentaje")</f>
        <v>Porcentaje</v>
      </c>
      <c r="C43" s="40">
        <f ca="1">IFERROR(__xludf.DUMMYFUNCTION("""COMPUTED_VALUE"""),1190350)</f>
        <v>1190350</v>
      </c>
    </row>
    <row r="44" spans="1:3">
      <c r="A44" s="107" t="str">
        <f ca="1">IFERROR(__xludf.DUMMYFUNCTION("""COMPUTED_VALUE"""),"2.1.1.6")</f>
        <v>2.1.1.6</v>
      </c>
      <c r="B44" s="107" t="str">
        <f ca="1">IFERROR(__xludf.DUMMYFUNCTION("""COMPUTED_VALUE"""),"Porcentaje")</f>
        <v>Porcentaje</v>
      </c>
      <c r="C44" s="40">
        <f ca="1">IFERROR(__xludf.DUMMYFUNCTION("""COMPUTED_VALUE"""),27852)</f>
        <v>27852</v>
      </c>
    </row>
    <row r="45" spans="1:3">
      <c r="A45" s="107" t="str">
        <f ca="1">IFERROR(__xludf.DUMMYFUNCTION("""COMPUTED_VALUE"""),"2.1.1.7")</f>
        <v>2.1.1.7</v>
      </c>
      <c r="B45" s="107" t="str">
        <f ca="1">IFERROR(__xludf.DUMMYFUNCTION("""COMPUTED_VALUE"""),"Porcentaje")</f>
        <v>Porcentaje</v>
      </c>
      <c r="C45" s="40">
        <f ca="1">IFERROR(__xludf.DUMMYFUNCTION("""COMPUTED_VALUE"""),2196)</f>
        <v>2196</v>
      </c>
    </row>
    <row r="46" spans="1:3">
      <c r="A46" s="107" t="str">
        <f ca="1">IFERROR(__xludf.DUMMYFUNCTION("""COMPUTED_VALUE"""),"2.1.1.8")</f>
        <v>2.1.1.8</v>
      </c>
      <c r="B46" s="107" t="str">
        <f ca="1">IFERROR(__xludf.DUMMYFUNCTION("""COMPUTED_VALUE"""),"Porcentaje")</f>
        <v>Porcentaje</v>
      </c>
      <c r="C46" s="40">
        <f ca="1">IFERROR(__xludf.DUMMYFUNCTION("""COMPUTED_VALUE"""),6500)</f>
        <v>6500</v>
      </c>
    </row>
    <row r="47" spans="1:3">
      <c r="A47" s="107" t="str">
        <f ca="1">IFERROR(__xludf.DUMMYFUNCTION("""COMPUTED_VALUE"""),"2.1.1.9")</f>
        <v>2.1.1.9</v>
      </c>
      <c r="B47" s="107" t="str">
        <f ca="1">IFERROR(__xludf.DUMMYFUNCTION("""COMPUTED_VALUE"""),"Promedio")</f>
        <v>Promedio</v>
      </c>
      <c r="C47" s="40">
        <f ca="1">IFERROR(__xludf.DUMMYFUNCTION("""COMPUTED_VALUE"""),2280)</f>
        <v>2280</v>
      </c>
    </row>
    <row r="48" spans="1:3">
      <c r="A48" s="107" t="str">
        <f ca="1">IFERROR(__xludf.DUMMYFUNCTION("""COMPUTED_VALUE"""),"2.1.1.10")</f>
        <v>2.1.1.10</v>
      </c>
      <c r="B48" s="107" t="str">
        <f ca="1">IFERROR(__xludf.DUMMYFUNCTION("""COMPUTED_VALUE"""),"Porcentaje")</f>
        <v>Porcentaje</v>
      </c>
      <c r="C48" s="40">
        <f ca="1">IFERROR(__xludf.DUMMYFUNCTION("""COMPUTED_VALUE"""),14000)</f>
        <v>14000</v>
      </c>
    </row>
    <row r="49" spans="1:3">
      <c r="A49" s="107" t="str">
        <f ca="1">IFERROR(__xludf.DUMMYFUNCTION("""COMPUTED_VALUE"""),"2.1.1.11")</f>
        <v>2.1.1.11</v>
      </c>
      <c r="B49" s="107" t="str">
        <f ca="1">IFERROR(__xludf.DUMMYFUNCTION("""COMPUTED_VALUE"""),"Porcentaje")</f>
        <v>Porcentaje</v>
      </c>
      <c r="C49" s="40">
        <f ca="1">IFERROR(__xludf.DUMMYFUNCTION("""COMPUTED_VALUE"""),29000)</f>
        <v>29000</v>
      </c>
    </row>
    <row r="50" spans="1:3">
      <c r="A50" s="107" t="str">
        <f ca="1">IFERROR(__xludf.DUMMYFUNCTION("""COMPUTED_VALUE"""),"2.1.1.12")</f>
        <v>2.1.1.12</v>
      </c>
      <c r="B50" s="107" t="str">
        <f ca="1">IFERROR(__xludf.DUMMYFUNCTION("""COMPUTED_VALUE"""),"Promedio")</f>
        <v>Promedio</v>
      </c>
      <c r="C50" s="40">
        <f ca="1">IFERROR(__xludf.DUMMYFUNCTION("""COMPUTED_VALUE"""),1650)</f>
        <v>1650</v>
      </c>
    </row>
    <row r="51" spans="1:3">
      <c r="A51" s="107" t="str">
        <f ca="1">IFERROR(__xludf.DUMMYFUNCTION("""COMPUTED_VALUE"""),"2.1.1.13")</f>
        <v>2.1.1.13</v>
      </c>
      <c r="B51" s="107" t="str">
        <f ca="1">IFERROR(__xludf.DUMMYFUNCTION("""COMPUTED_VALUE"""),"Porcentaje")</f>
        <v>Porcentaje</v>
      </c>
      <c r="C51" s="40">
        <f ca="1">IFERROR(__xludf.DUMMYFUNCTION("""COMPUTED_VALUE"""),250000)</f>
        <v>250000</v>
      </c>
    </row>
    <row r="52" spans="1:3">
      <c r="A52" s="107" t="str">
        <f ca="1">IFERROR(__xludf.DUMMYFUNCTION("""COMPUTED_VALUE"""),"2.1.1.14")</f>
        <v>2.1.1.14</v>
      </c>
      <c r="B52" s="107" t="str">
        <f ca="1">IFERROR(__xludf.DUMMYFUNCTION("""COMPUTED_VALUE"""),"Promedio")</f>
        <v>Promedio</v>
      </c>
      <c r="C52" s="40">
        <f ca="1">IFERROR(__xludf.DUMMYFUNCTION("""COMPUTED_VALUE"""),4500)</f>
        <v>4500</v>
      </c>
    </row>
    <row r="53" spans="1:3">
      <c r="A53" s="107" t="str">
        <f ca="1">IFERROR(__xludf.DUMMYFUNCTION("""COMPUTED_VALUE"""),"2.1.1.15")</f>
        <v>2.1.1.15</v>
      </c>
      <c r="B53" s="107" t="str">
        <f ca="1">IFERROR(__xludf.DUMMYFUNCTION("""COMPUTED_VALUE"""),"Promedio")</f>
        <v>Promedio</v>
      </c>
      <c r="C53" s="40">
        <f ca="1">IFERROR(__xludf.DUMMYFUNCTION("""COMPUTED_VALUE"""),780)</f>
        <v>780</v>
      </c>
    </row>
    <row r="54" spans="1:3">
      <c r="A54" s="107" t="str">
        <f ca="1">IFERROR(__xludf.DUMMYFUNCTION("""COMPUTED_VALUE"""),"2.1.1.16")</f>
        <v>2.1.1.16</v>
      </c>
      <c r="B54" s="107" t="str">
        <f ca="1">IFERROR(__xludf.DUMMYFUNCTION("""COMPUTED_VALUE"""),"Porcentaje")</f>
        <v>Porcentaje</v>
      </c>
      <c r="C54" s="40">
        <f ca="1">IFERROR(__xludf.DUMMYFUNCTION("""COMPUTED_VALUE"""),2030)</f>
        <v>2030</v>
      </c>
    </row>
    <row r="55" spans="1:3">
      <c r="A55" s="107" t="str">
        <f ca="1">IFERROR(__xludf.DUMMYFUNCTION("""COMPUTED_VALUE"""),"2.1.1.17")</f>
        <v>2.1.1.17</v>
      </c>
      <c r="B55" s="107" t="str">
        <f ca="1">IFERROR(__xludf.DUMMYFUNCTION("""COMPUTED_VALUE"""),"Porcentaje")</f>
        <v>Porcentaje</v>
      </c>
      <c r="C55" s="40">
        <f ca="1">IFERROR(__xludf.DUMMYFUNCTION("""COMPUTED_VALUE"""),1188)</f>
        <v>1188</v>
      </c>
    </row>
    <row r="56" spans="1:3">
      <c r="A56" s="107" t="str">
        <f ca="1">IFERROR(__xludf.DUMMYFUNCTION("""COMPUTED_VALUE"""),"2.1.2.0")</f>
        <v>2.1.2.0</v>
      </c>
      <c r="B56" s="107" t="str">
        <f ca="1">IFERROR(__xludf.DUMMYFUNCTION("""COMPUTED_VALUE"""),"Porcentaje")</f>
        <v>Porcentaje</v>
      </c>
      <c r="C56" s="40">
        <f ca="1">IFERROR(__xludf.DUMMYFUNCTION("""COMPUTED_VALUE"""),5000)</f>
        <v>5000</v>
      </c>
    </row>
    <row r="57" spans="1:3">
      <c r="A57" s="107" t="str">
        <f ca="1">IFERROR(__xludf.DUMMYFUNCTION("""COMPUTED_VALUE"""),"2.1.2.1")</f>
        <v>2.1.2.1</v>
      </c>
      <c r="B57" s="107" t="str">
        <f ca="1">IFERROR(__xludf.DUMMYFUNCTION("""COMPUTED_VALUE"""),"Porcentaje")</f>
        <v>Porcentaje</v>
      </c>
      <c r="C57" s="40">
        <f ca="1">IFERROR(__xludf.DUMMYFUNCTION("""COMPUTED_VALUE"""),10)</f>
        <v>10</v>
      </c>
    </row>
    <row r="58" spans="1:3">
      <c r="A58" s="107" t="str">
        <f ca="1">IFERROR(__xludf.DUMMYFUNCTION("""COMPUTED_VALUE"""),"2.1.3.0")</f>
        <v>2.1.3.0</v>
      </c>
      <c r="B58" s="107" t="str">
        <f ca="1">IFERROR(__xludf.DUMMYFUNCTION("""COMPUTED_VALUE"""),"Porcentaje")</f>
        <v>Porcentaje</v>
      </c>
      <c r="C58" s="40">
        <f ca="1">IFERROR(__xludf.DUMMYFUNCTION("""COMPUTED_VALUE"""),1250)</f>
        <v>1250</v>
      </c>
    </row>
    <row r="59" spans="1:3">
      <c r="A59" s="107" t="str">
        <f ca="1">IFERROR(__xludf.DUMMYFUNCTION("""COMPUTED_VALUE"""),"2.1.3.1")</f>
        <v>2.1.3.1</v>
      </c>
      <c r="B59" s="107" t="str">
        <f ca="1">IFERROR(__xludf.DUMMYFUNCTION("""COMPUTED_VALUE"""),"Porcentaje")</f>
        <v>Porcentaje</v>
      </c>
      <c r="C59" s="40">
        <f ca="1">IFERROR(__xludf.DUMMYFUNCTION("""COMPUTED_VALUE"""),800)</f>
        <v>800</v>
      </c>
    </row>
    <row r="60" spans="1:3">
      <c r="A60" s="107" t="str">
        <f ca="1">IFERROR(__xludf.DUMMYFUNCTION("""COMPUTED_VALUE"""),"2.1.3.2")</f>
        <v>2.1.3.2</v>
      </c>
      <c r="B60" s="107" t="str">
        <f ca="1">IFERROR(__xludf.DUMMYFUNCTION("""COMPUTED_VALUE"""),"Porcentaje")</f>
        <v>Porcentaje</v>
      </c>
      <c r="C60" s="40">
        <f ca="1">IFERROR(__xludf.DUMMYFUNCTION("""COMPUTED_VALUE"""),450)</f>
        <v>450</v>
      </c>
    </row>
    <row r="61" spans="1:3">
      <c r="A61" s="107" t="str">
        <f ca="1">IFERROR(__xludf.DUMMYFUNCTION("""COMPUTED_VALUE"""),"2.1.4.0")</f>
        <v>2.1.4.0</v>
      </c>
      <c r="B61" s="107" t="str">
        <f ca="1">IFERROR(__xludf.DUMMYFUNCTION("""COMPUTED_VALUE"""),"Porcentaje")</f>
        <v>Porcentaje</v>
      </c>
      <c r="C61" s="40">
        <f ca="1">IFERROR(__xludf.DUMMYFUNCTION("""COMPUTED_VALUE"""),11)</f>
        <v>11</v>
      </c>
    </row>
    <row r="62" spans="1:3">
      <c r="A62" s="107" t="str">
        <f ca="1">IFERROR(__xludf.DUMMYFUNCTION("""COMPUTED_VALUE"""),"2.1.4.1")</f>
        <v>2.1.4.1</v>
      </c>
      <c r="B62" s="107" t="str">
        <f ca="1">IFERROR(__xludf.DUMMYFUNCTION("""COMPUTED_VALUE"""),"Promedio")</f>
        <v>Promedio</v>
      </c>
      <c r="C62" s="40">
        <f ca="1">IFERROR(__xludf.DUMMYFUNCTION("""COMPUTED_VALUE"""),330)</f>
        <v>330</v>
      </c>
    </row>
    <row r="63" spans="1:3">
      <c r="A63" s="107" t="str">
        <f ca="1">IFERROR(__xludf.DUMMYFUNCTION("""COMPUTED_VALUE"""),"2.1.4.2")</f>
        <v>2.1.4.2</v>
      </c>
      <c r="B63" s="107" t="str">
        <f ca="1">IFERROR(__xludf.DUMMYFUNCTION("""COMPUTED_VALUE"""),"Porcentaje")</f>
        <v>Porcentaje</v>
      </c>
      <c r="C63" s="40">
        <f ca="1">IFERROR(__xludf.DUMMYFUNCTION("""COMPUTED_VALUE"""),1900)</f>
        <v>1900</v>
      </c>
    </row>
    <row r="64" spans="1:3">
      <c r="A64" s="107" t="str">
        <f ca="1">IFERROR(__xludf.DUMMYFUNCTION("""COMPUTED_VALUE"""),"3.0.0.0")</f>
        <v>3.0.0.0</v>
      </c>
      <c r="B64" s="107" t="str">
        <f ca="1">IFERROR(__xludf.DUMMYFUNCTION("""COMPUTED_VALUE"""),"Porcentaje")</f>
        <v>Porcentaje</v>
      </c>
      <c r="C64" s="40">
        <f ca="1">IFERROR(__xludf.DUMMYFUNCTION("""COMPUTED_VALUE"""),1140)</f>
        <v>1140</v>
      </c>
    </row>
    <row r="65" spans="1:3">
      <c r="A65" s="107" t="str">
        <f ca="1">IFERROR(__xludf.DUMMYFUNCTION("""COMPUTED_VALUE"""),"3.1.0.0")</f>
        <v>3.1.0.0</v>
      </c>
      <c r="B65" s="107" t="str">
        <f ca="1">IFERROR(__xludf.DUMMYFUNCTION("""COMPUTED_VALUE"""),"Porcentaje")</f>
        <v>Porcentaje</v>
      </c>
      <c r="C65" s="40">
        <f ca="1">IFERROR(__xludf.DUMMYFUNCTION("""COMPUTED_VALUE"""),110873)</f>
        <v>110873</v>
      </c>
    </row>
    <row r="66" spans="1:3">
      <c r="A66" s="107" t="str">
        <f ca="1">IFERROR(__xludf.DUMMYFUNCTION("""COMPUTED_VALUE"""),"3.1.1.0")</f>
        <v>3.1.1.0</v>
      </c>
      <c r="B66" s="107" t="str">
        <f ca="1">IFERROR(__xludf.DUMMYFUNCTION("""COMPUTED_VALUE"""),"Porcentaje")</f>
        <v>Porcentaje</v>
      </c>
      <c r="C66" s="40">
        <f ca="1">IFERROR(__xludf.DUMMYFUNCTION("""COMPUTED_VALUE"""),50)</f>
        <v>50</v>
      </c>
    </row>
    <row r="67" spans="1:3">
      <c r="A67" s="107" t="str">
        <f ca="1">IFERROR(__xludf.DUMMYFUNCTION("""COMPUTED_VALUE"""),"3.1.1.1")</f>
        <v>3.1.1.1</v>
      </c>
      <c r="B67" s="107" t="str">
        <f ca="1">IFERROR(__xludf.DUMMYFUNCTION("""COMPUTED_VALUE"""),"Porcentaje")</f>
        <v>Porcentaje</v>
      </c>
      <c r="C67" s="40">
        <f ca="1">IFERROR(__xludf.DUMMYFUNCTION("""COMPUTED_VALUE"""),1500)</f>
        <v>1500</v>
      </c>
    </row>
    <row r="68" spans="1:3">
      <c r="A68" s="107" t="str">
        <f ca="1">IFERROR(__xludf.DUMMYFUNCTION("""COMPUTED_VALUE"""),"3.1.2.0")</f>
        <v>3.1.2.0</v>
      </c>
      <c r="B68" s="107" t="str">
        <f ca="1">IFERROR(__xludf.DUMMYFUNCTION("""COMPUTED_VALUE"""),"Promedio")</f>
        <v>Promedio</v>
      </c>
      <c r="C68" s="40">
        <f ca="1">IFERROR(__xludf.DUMMYFUNCTION("""COMPUTED_VALUE"""),240)</f>
        <v>240</v>
      </c>
    </row>
    <row r="69" spans="1:3">
      <c r="A69" s="107" t="str">
        <f ca="1">IFERROR(__xludf.DUMMYFUNCTION("""COMPUTED_VALUE"""),"3.1.2.1")</f>
        <v>3.1.2.1</v>
      </c>
      <c r="B69" s="107" t="str">
        <f ca="1">IFERROR(__xludf.DUMMYFUNCTION("""COMPUTED_VALUE"""),"Porcentaje")</f>
        <v>Porcentaje</v>
      </c>
      <c r="C69" s="40">
        <f ca="1">IFERROR(__xludf.DUMMYFUNCTION("""COMPUTED_VALUE"""),25)</f>
        <v>25</v>
      </c>
    </row>
    <row r="70" spans="1:3">
      <c r="A70" s="107" t="str">
        <f ca="1">IFERROR(__xludf.DUMMYFUNCTION("""COMPUTED_VALUE"""),"3.1.3.0")</f>
        <v>3.1.3.0</v>
      </c>
      <c r="B70" s="107" t="str">
        <f ca="1">IFERROR(__xludf.DUMMYFUNCTION("""COMPUTED_VALUE"""),"Porcentaje")</f>
        <v>Porcentaje</v>
      </c>
      <c r="C70" s="40">
        <f ca="1">IFERROR(__xludf.DUMMYFUNCTION("""COMPUTED_VALUE"""),109348)</f>
        <v>109348</v>
      </c>
    </row>
    <row r="71" spans="1:3">
      <c r="A71" s="107" t="str">
        <f ca="1">IFERROR(__xludf.DUMMYFUNCTION("""COMPUTED_VALUE"""),"3.1.3.1")</f>
        <v>3.1.3.1</v>
      </c>
      <c r="B71" s="107" t="str">
        <f ca="1">IFERROR(__xludf.DUMMYFUNCTION("""COMPUTED_VALUE"""),"Porcentaje")</f>
        <v>Porcentaje</v>
      </c>
      <c r="C71" s="40">
        <f ca="1">IFERROR(__xludf.DUMMYFUNCTION("""COMPUTED_VALUE"""),2200)</f>
        <v>2200</v>
      </c>
    </row>
    <row r="72" spans="1:3">
      <c r="A72" s="107" t="str">
        <f ca="1">IFERROR(__xludf.DUMMYFUNCTION("""COMPUTED_VALUE"""),"3.1.3.2")</f>
        <v>3.1.3.2</v>
      </c>
      <c r="B72" s="107" t="str">
        <f ca="1">IFERROR(__xludf.DUMMYFUNCTION("""COMPUTED_VALUE"""),"Porcentaje")</f>
        <v>Porcentaje</v>
      </c>
      <c r="C72" s="40">
        <f ca="1">IFERROR(__xludf.DUMMYFUNCTION("""COMPUTED_VALUE"""),1098)</f>
        <v>1098</v>
      </c>
    </row>
    <row r="73" spans="1:3">
      <c r="A73" s="107" t="str">
        <f ca="1">IFERROR(__xludf.DUMMYFUNCTION("""COMPUTED_VALUE"""),"3.1.3.3")</f>
        <v>3.1.3.3</v>
      </c>
      <c r="B73" s="107" t="str">
        <f ca="1">IFERROR(__xludf.DUMMYFUNCTION("""COMPUTED_VALUE"""),"Porcentaje")</f>
        <v>Porcentaje</v>
      </c>
      <c r="C73" s="40">
        <f ca="1">IFERROR(__xludf.DUMMYFUNCTION("""COMPUTED_VALUE"""),104000)</f>
        <v>104000</v>
      </c>
    </row>
    <row r="74" spans="1:3">
      <c r="A74" s="107" t="str">
        <f ca="1">IFERROR(__xludf.DUMMYFUNCTION("""COMPUTED_VALUE"""),"3.1.3.4")</f>
        <v>3.1.3.4</v>
      </c>
      <c r="B74" s="107" t="str">
        <f ca="1">IFERROR(__xludf.DUMMYFUNCTION("""COMPUTED_VALUE"""),"Porcentaje")</f>
        <v>Porcentaje</v>
      </c>
      <c r="C74" s="40">
        <f ca="1">IFERROR(__xludf.DUMMYFUNCTION("""COMPUTED_VALUE"""),1200)</f>
        <v>1200</v>
      </c>
    </row>
    <row r="75" spans="1:3">
      <c r="A75" s="107" t="str">
        <f ca="1">IFERROR(__xludf.DUMMYFUNCTION("""COMPUTED_VALUE"""),"3.1.3.5")</f>
        <v>3.1.3.5</v>
      </c>
      <c r="B75" s="107" t="str">
        <f ca="1">IFERROR(__xludf.DUMMYFUNCTION("""COMPUTED_VALUE"""),"Porcentaje")</f>
        <v>Porcentaje</v>
      </c>
      <c r="C75" s="40">
        <f ca="1">IFERROR(__xludf.DUMMYFUNCTION("""COMPUTED_VALUE"""),850)</f>
        <v>850</v>
      </c>
    </row>
    <row r="76" spans="1:3">
      <c r="A76" s="107" t="str">
        <f ca="1">IFERROR(__xludf.DUMMYFUNCTION("""COMPUTED_VALUE"""),"4.0.0.0")</f>
        <v>4.0.0.0</v>
      </c>
      <c r="B76" s="107" t="str">
        <f ca="1">IFERROR(__xludf.DUMMYFUNCTION("""COMPUTED_VALUE"""),"Porcentaje")</f>
        <v>Porcentaje</v>
      </c>
      <c r="C76" s="40">
        <f ca="1">IFERROR(__xludf.DUMMYFUNCTION("""COMPUTED_VALUE"""),29697)</f>
        <v>29697</v>
      </c>
    </row>
    <row r="77" spans="1:3">
      <c r="A77" s="107" t="str">
        <f ca="1">IFERROR(__xludf.DUMMYFUNCTION("""COMPUTED_VALUE"""),"4.1.0.0")</f>
        <v>4.1.0.0</v>
      </c>
      <c r="B77" s="107" t="str">
        <f ca="1">IFERROR(__xludf.DUMMYFUNCTION("""COMPUTED_VALUE"""),"Porcentaje")</f>
        <v>Porcentaje</v>
      </c>
      <c r="C77" s="40">
        <f ca="1">IFERROR(__xludf.DUMMYFUNCTION("""COMPUTED_VALUE"""),11000)</f>
        <v>11000</v>
      </c>
    </row>
    <row r="78" spans="1:3">
      <c r="A78" s="107" t="str">
        <f ca="1">IFERROR(__xludf.DUMMYFUNCTION("""COMPUTED_VALUE"""),"4.1.1.0")</f>
        <v>4.1.1.0</v>
      </c>
      <c r="B78" s="107" t="str">
        <f ca="1">IFERROR(__xludf.DUMMYFUNCTION("""COMPUTED_VALUE"""),"Porcentaje")</f>
        <v>Porcentaje</v>
      </c>
      <c r="C78" s="40">
        <f ca="1">IFERROR(__xludf.DUMMYFUNCTION("""COMPUTED_VALUE"""),7000)</f>
        <v>7000</v>
      </c>
    </row>
    <row r="79" spans="1:3">
      <c r="A79" s="107" t="str">
        <f ca="1">IFERROR(__xludf.DUMMYFUNCTION("""COMPUTED_VALUE"""),"4.1.1.1")</f>
        <v>4.1.1.1</v>
      </c>
      <c r="B79" s="107" t="str">
        <f ca="1">IFERROR(__xludf.DUMMYFUNCTION("""COMPUTED_VALUE"""),"Porcentaje")</f>
        <v>Porcentaje</v>
      </c>
      <c r="C79" s="40">
        <f ca="1">IFERROR(__xludf.DUMMYFUNCTION("""COMPUTED_VALUE"""),5000)</f>
        <v>5000</v>
      </c>
    </row>
    <row r="80" spans="1:3">
      <c r="A80" s="107" t="str">
        <f ca="1">IFERROR(__xludf.DUMMYFUNCTION("""COMPUTED_VALUE"""),"4.1.1.2")</f>
        <v>4.1.1.2</v>
      </c>
      <c r="B80" s="107" t="str">
        <f ca="1">IFERROR(__xludf.DUMMYFUNCTION("""COMPUTED_VALUE"""),"Porcentaje")</f>
        <v>Porcentaje</v>
      </c>
      <c r="C80" s="40">
        <f ca="1">IFERROR(__xludf.DUMMYFUNCTION("""COMPUTED_VALUE"""),2000)</f>
        <v>2000</v>
      </c>
    </row>
    <row r="81" spans="1:3">
      <c r="A81" s="107" t="str">
        <f ca="1">IFERROR(__xludf.DUMMYFUNCTION("""COMPUTED_VALUE"""),"4.1.2.0")</f>
        <v>4.1.2.0</v>
      </c>
      <c r="B81" s="107" t="str">
        <f ca="1">IFERROR(__xludf.DUMMYFUNCTION("""COMPUTED_VALUE"""),"Porcentaje")</f>
        <v>Porcentaje</v>
      </c>
      <c r="C81" s="40">
        <f ca="1">IFERROR(__xludf.DUMMYFUNCTION("""COMPUTED_VALUE"""),10600)</f>
        <v>10600</v>
      </c>
    </row>
    <row r="82" spans="1:3">
      <c r="A82" s="107" t="str">
        <f ca="1">IFERROR(__xludf.DUMMYFUNCTION("""COMPUTED_VALUE"""),"4.1.2.1")</f>
        <v>4.1.2.1</v>
      </c>
      <c r="B82" s="107" t="str">
        <f ca="1">IFERROR(__xludf.DUMMYFUNCTION("""COMPUTED_VALUE"""),"Porcentaje")</f>
        <v>Porcentaje</v>
      </c>
      <c r="C82" s="40">
        <f ca="1">IFERROR(__xludf.DUMMYFUNCTION("""COMPUTED_VALUE"""),3100)</f>
        <v>3100</v>
      </c>
    </row>
    <row r="83" spans="1:3">
      <c r="A83" s="107" t="str">
        <f ca="1">IFERROR(__xludf.DUMMYFUNCTION("""COMPUTED_VALUE"""),"4.1.2.2")</f>
        <v>4.1.2.2</v>
      </c>
      <c r="B83" s="107" t="str">
        <f ca="1">IFERROR(__xludf.DUMMYFUNCTION("""COMPUTED_VALUE"""),"Porcentaje")</f>
        <v>Porcentaje</v>
      </c>
      <c r="C83" s="40">
        <f ca="1">IFERROR(__xludf.DUMMYFUNCTION("""COMPUTED_VALUE"""),7500)</f>
        <v>7500</v>
      </c>
    </row>
    <row r="84" spans="1:3">
      <c r="A84" s="107" t="str">
        <f ca="1">IFERROR(__xludf.DUMMYFUNCTION("""COMPUTED_VALUE"""),"4.1.3.0")</f>
        <v>4.1.3.0</v>
      </c>
      <c r="B84" s="107" t="str">
        <f ca="1">IFERROR(__xludf.DUMMYFUNCTION("""COMPUTED_VALUE"""),"Porcentaje")</f>
        <v>Porcentaje</v>
      </c>
      <c r="C84" s="40">
        <f ca="1">IFERROR(__xludf.DUMMYFUNCTION("""COMPUTED_VALUE"""),1400)</f>
        <v>1400</v>
      </c>
    </row>
    <row r="85" spans="1:3">
      <c r="A85" s="107" t="str">
        <f ca="1">IFERROR(__xludf.DUMMYFUNCTION("""COMPUTED_VALUE"""),"4.1.3.1")</f>
        <v>4.1.3.1</v>
      </c>
      <c r="B85" s="107" t="str">
        <f ca="1">IFERROR(__xludf.DUMMYFUNCTION("""COMPUTED_VALUE"""),"Porcentaje")</f>
        <v>Porcentaje</v>
      </c>
      <c r="C85" s="40">
        <f ca="1">IFERROR(__xludf.DUMMYFUNCTION("""COMPUTED_VALUE"""),200)</f>
        <v>200</v>
      </c>
    </row>
    <row r="86" spans="1:3">
      <c r="A86" s="107" t="str">
        <f ca="1">IFERROR(__xludf.DUMMYFUNCTION("""COMPUTED_VALUE"""),"4.1.3.2")</f>
        <v>4.1.3.2</v>
      </c>
      <c r="B86" s="107" t="str">
        <f ca="1">IFERROR(__xludf.DUMMYFUNCTION("""COMPUTED_VALUE"""),"Porcentaje")</f>
        <v>Porcentaje</v>
      </c>
      <c r="C86" s="40">
        <f ca="1">IFERROR(__xludf.DUMMYFUNCTION("""COMPUTED_VALUE"""),1265)</f>
        <v>1265</v>
      </c>
    </row>
    <row r="87" spans="1:3">
      <c r="A87" s="107" t="str">
        <f ca="1">IFERROR(__xludf.DUMMYFUNCTION("""COMPUTED_VALUE"""),"4.1.3.3")</f>
        <v>4.1.3.3</v>
      </c>
      <c r="B87" s="107" t="str">
        <f ca="1">IFERROR(__xludf.DUMMYFUNCTION("""COMPUTED_VALUE"""),"Porcentaje")</f>
        <v>Porcentaje</v>
      </c>
      <c r="C87" s="40">
        <f ca="1">IFERROR(__xludf.DUMMYFUNCTION("""COMPUTED_VALUE"""),200)</f>
        <v>200</v>
      </c>
    </row>
    <row r="88" spans="1:3">
      <c r="A88" s="107" t="str">
        <f ca="1">IFERROR(__xludf.DUMMYFUNCTION("""COMPUTED_VALUE"""),"4.1.3.4")</f>
        <v>4.1.3.4</v>
      </c>
      <c r="B88" s="107" t="str">
        <f ca="1">IFERROR(__xludf.DUMMYFUNCTION("""COMPUTED_VALUE"""),"Porcentaje")</f>
        <v>Porcentaje</v>
      </c>
      <c r="C88" s="40">
        <f ca="1">IFERROR(__xludf.DUMMYFUNCTION("""COMPUTED_VALUE"""),150)</f>
        <v>150</v>
      </c>
    </row>
    <row r="89" spans="1:3">
      <c r="A89" s="107" t="str">
        <f ca="1">IFERROR(__xludf.DUMMYFUNCTION("""COMPUTED_VALUE"""),"4.1.3.5")</f>
        <v>4.1.3.5</v>
      </c>
      <c r="B89" s="107" t="str">
        <f ca="1">IFERROR(__xludf.DUMMYFUNCTION("""COMPUTED_VALUE"""),"Porcentaje")</f>
        <v>Porcentaje</v>
      </c>
      <c r="C89" s="40">
        <f ca="1">IFERROR(__xludf.DUMMYFUNCTION("""COMPUTED_VALUE"""),700)</f>
        <v>700</v>
      </c>
    </row>
    <row r="90" spans="1:3">
      <c r="A90" s="107" t="str">
        <f ca="1">IFERROR(__xludf.DUMMYFUNCTION("""COMPUTED_VALUE"""),"5.0.0.0")</f>
        <v>5.0.0.0</v>
      </c>
      <c r="B90" s="107" t="str">
        <f ca="1">IFERROR(__xludf.DUMMYFUNCTION("""COMPUTED_VALUE"""),"Porcentaje")</f>
        <v>Porcentaje</v>
      </c>
      <c r="C90" s="40">
        <f ca="1">IFERROR(__xludf.DUMMYFUNCTION("""COMPUTED_VALUE"""),1650)</f>
        <v>1650</v>
      </c>
    </row>
    <row r="91" spans="1:3">
      <c r="A91" s="107" t="str">
        <f ca="1">IFERROR(__xludf.DUMMYFUNCTION("""COMPUTED_VALUE"""),"5.1.0.0")</f>
        <v>5.1.0.0</v>
      </c>
      <c r="B91" s="107" t="str">
        <f ca="1">IFERROR(__xludf.DUMMYFUNCTION("""COMPUTED_VALUE"""),"Porcentaje")</f>
        <v>Porcentaje</v>
      </c>
      <c r="C91" s="40">
        <f ca="1">IFERROR(__xludf.DUMMYFUNCTION("""COMPUTED_VALUE"""),54400)</f>
        <v>54400</v>
      </c>
    </row>
    <row r="92" spans="1:3">
      <c r="A92" s="107" t="str">
        <f ca="1">IFERROR(__xludf.DUMMYFUNCTION("""COMPUTED_VALUE"""),"5.1.1.0")</f>
        <v>5.1.1.0</v>
      </c>
      <c r="B92" s="107" t="str">
        <f ca="1">IFERROR(__xludf.DUMMYFUNCTION("""COMPUTED_VALUE"""),"Porcentaje")</f>
        <v>Porcentaje</v>
      </c>
      <c r="C92" s="40">
        <f ca="1">IFERROR(__xludf.DUMMYFUNCTION("""COMPUTED_VALUE"""),550)</f>
        <v>550</v>
      </c>
    </row>
    <row r="93" spans="1:3">
      <c r="A93" s="107" t="str">
        <f ca="1">IFERROR(__xludf.DUMMYFUNCTION("""COMPUTED_VALUE"""),"5.1.1.1")</f>
        <v>5.1.1.1</v>
      </c>
      <c r="B93" s="107" t="str">
        <f ca="1">IFERROR(__xludf.DUMMYFUNCTION("""COMPUTED_VALUE"""),"Porcentaje")</f>
        <v>Porcentaje</v>
      </c>
      <c r="C93" s="40">
        <f ca="1">IFERROR(__xludf.DUMMYFUNCTION("""COMPUTED_VALUE"""),1550)</f>
        <v>1550</v>
      </c>
    </row>
    <row r="94" spans="1:3">
      <c r="A94" s="107" t="str">
        <f ca="1">IFERROR(__xludf.DUMMYFUNCTION("""COMPUTED_VALUE"""),"5.1.1.2")</f>
        <v>5.1.1.2</v>
      </c>
      <c r="B94" s="107" t="str">
        <f ca="1">IFERROR(__xludf.DUMMYFUNCTION("""COMPUTED_VALUE"""),"Porcentaje")</f>
        <v>Porcentaje</v>
      </c>
      <c r="C94" s="40">
        <f ca="1">IFERROR(__xludf.DUMMYFUNCTION("""COMPUTED_VALUE"""),48000)</f>
        <v>48000</v>
      </c>
    </row>
    <row r="95" spans="1:3">
      <c r="A95" s="107" t="str">
        <f ca="1">IFERROR(__xludf.DUMMYFUNCTION("""COMPUTED_VALUE"""),"5.1.2.0")</f>
        <v>5.1.2.0</v>
      </c>
      <c r="B95" s="107" t="str">
        <f ca="1">IFERROR(__xludf.DUMMYFUNCTION("""COMPUTED_VALUE"""),"Promedio")</f>
        <v>Promedio</v>
      </c>
      <c r="C95" s="40">
        <f ca="1">IFERROR(__xludf.DUMMYFUNCTION("""COMPUTED_VALUE"""),300)</f>
        <v>300</v>
      </c>
    </row>
    <row r="96" spans="1:3">
      <c r="A96" s="107" t="str">
        <f ca="1">IFERROR(__xludf.DUMMYFUNCTION("""COMPUTED_VALUE"""),"5.1.2.1")</f>
        <v>5.1.2.1</v>
      </c>
      <c r="B96" s="107" t="str">
        <f ca="1">IFERROR(__xludf.DUMMYFUNCTION("""COMPUTED_VALUE"""),"Porcentaje")</f>
        <v>Porcentaje</v>
      </c>
      <c r="C96" s="40">
        <f ca="1">IFERROR(__xludf.DUMMYFUNCTION("""COMPUTED_VALUE"""),160)</f>
        <v>160</v>
      </c>
    </row>
    <row r="97" spans="1:3">
      <c r="A97" s="107" t="str">
        <f ca="1">IFERROR(__xludf.DUMMYFUNCTION("""COMPUTED_VALUE"""),"5.1.2.2")</f>
        <v>5.1.2.2</v>
      </c>
      <c r="B97" s="107" t="str">
        <f ca="1">IFERROR(__xludf.DUMMYFUNCTION("""COMPUTED_VALUE"""),"Porcentaje")</f>
        <v>Porcentaje</v>
      </c>
      <c r="C97" s="40">
        <f ca="1">IFERROR(__xludf.DUMMYFUNCTION("""COMPUTED_VALUE"""),6400)</f>
        <v>6400</v>
      </c>
    </row>
    <row r="98" spans="1:3">
      <c r="A98" s="107" t="str">
        <f ca="1">IFERROR(__xludf.DUMMYFUNCTION("""COMPUTED_VALUE"""),"6.0.0.0")</f>
        <v>6.0.0.0</v>
      </c>
      <c r="B98" s="107" t="str">
        <f ca="1">IFERROR(__xludf.DUMMYFUNCTION("""COMPUTED_VALUE"""),"Porcentaje")</f>
        <v>Porcentaje</v>
      </c>
      <c r="C98" s="40">
        <f ca="1">IFERROR(__xludf.DUMMYFUNCTION("""COMPUTED_VALUE"""),19346)</f>
        <v>19346</v>
      </c>
    </row>
    <row r="99" spans="1:3">
      <c r="A99" s="107" t="str">
        <f ca="1">IFERROR(__xludf.DUMMYFUNCTION("""COMPUTED_VALUE"""),"6.1.0.0")</f>
        <v>6.1.0.0</v>
      </c>
      <c r="B99" s="107" t="str">
        <f ca="1">IFERROR(__xludf.DUMMYFUNCTION("""COMPUTED_VALUE"""),"Porcentaje")</f>
        <v>Porcentaje</v>
      </c>
      <c r="C99" s="40">
        <f ca="1">IFERROR(__xludf.DUMMYFUNCTION("""COMPUTED_VALUE"""),55686)</f>
        <v>55686</v>
      </c>
    </row>
    <row r="100" spans="1:3">
      <c r="A100" s="107" t="str">
        <f ca="1">IFERROR(__xludf.DUMMYFUNCTION("""COMPUTED_VALUE"""),"6.1.1.0")</f>
        <v>6.1.1.0</v>
      </c>
      <c r="B100" s="107" t="str">
        <f ca="1">IFERROR(__xludf.DUMMYFUNCTION("""COMPUTED_VALUE"""),"Promedio")</f>
        <v>Promedio</v>
      </c>
      <c r="C100" s="40">
        <f ca="1">IFERROR(__xludf.DUMMYFUNCTION("""COMPUTED_VALUE"""),415)</f>
        <v>415</v>
      </c>
    </row>
    <row r="101" spans="1:3">
      <c r="A101" s="107" t="str">
        <f ca="1">IFERROR(__xludf.DUMMYFUNCTION("""COMPUTED_VALUE"""),"6.1.1.1")</f>
        <v>6.1.1.1</v>
      </c>
      <c r="B101" s="107" t="str">
        <f ca="1">IFERROR(__xludf.DUMMYFUNCTION("""COMPUTED_VALUE"""),"Porcentaje")</f>
        <v>Porcentaje</v>
      </c>
      <c r="C101" s="40">
        <f ca="1">IFERROR(__xludf.DUMMYFUNCTION("""COMPUTED_VALUE"""),900)</f>
        <v>900</v>
      </c>
    </row>
    <row r="102" spans="1:3">
      <c r="A102" s="107" t="str">
        <f ca="1">IFERROR(__xludf.DUMMYFUNCTION("""COMPUTED_VALUE"""),"6.1.1.2")</f>
        <v>6.1.1.2</v>
      </c>
      <c r="B102" s="107" t="str">
        <f ca="1">IFERROR(__xludf.DUMMYFUNCTION("""COMPUTED_VALUE"""),"Porcentaje")</f>
        <v>Porcentaje</v>
      </c>
      <c r="C102" s="40">
        <f ca="1">IFERROR(__xludf.DUMMYFUNCTION("""COMPUTED_VALUE"""),1100)</f>
        <v>1100</v>
      </c>
    </row>
    <row r="103" spans="1:3">
      <c r="A103" s="107" t="str">
        <f ca="1">IFERROR(__xludf.DUMMYFUNCTION("""COMPUTED_VALUE"""),"6.1.2.0")</f>
        <v>6.1.2.0</v>
      </c>
      <c r="B103" s="107" t="str">
        <f ca="1">IFERROR(__xludf.DUMMYFUNCTION("""COMPUTED_VALUE"""),"Promedio")</f>
        <v>Promedio</v>
      </c>
      <c r="C103" s="40">
        <f ca="1">IFERROR(__xludf.DUMMYFUNCTION("""COMPUTED_VALUE"""),600)</f>
        <v>600</v>
      </c>
    </row>
    <row r="104" spans="1:3">
      <c r="A104" s="107" t="str">
        <f ca="1">IFERROR(__xludf.DUMMYFUNCTION("""COMPUTED_VALUE"""),"6.1.2.1")</f>
        <v>6.1.2.1</v>
      </c>
      <c r="B104" s="107" t="str">
        <f ca="1">IFERROR(__xludf.DUMMYFUNCTION("""COMPUTED_VALUE"""),"Porcentaje")</f>
        <v>Porcentaje</v>
      </c>
      <c r="C104" s="40">
        <f ca="1">IFERROR(__xludf.DUMMYFUNCTION("""COMPUTED_VALUE"""),14000)</f>
        <v>14000</v>
      </c>
    </row>
    <row r="105" spans="1:3">
      <c r="A105" s="107" t="str">
        <f ca="1">IFERROR(__xludf.DUMMYFUNCTION("""COMPUTED_VALUE"""),"6.1.3.0")</f>
        <v>6.1.3.0</v>
      </c>
      <c r="B105" s="107" t="str">
        <f ca="1">IFERROR(__xludf.DUMMYFUNCTION("""COMPUTED_VALUE"""),"Porcentaje")</f>
        <v>Porcentaje</v>
      </c>
      <c r="C105" s="40">
        <f ca="1">IFERROR(__xludf.DUMMYFUNCTION("""COMPUTED_VALUE"""),600)</f>
        <v>600</v>
      </c>
    </row>
    <row r="106" spans="1:3">
      <c r="A106" s="107" t="str">
        <f ca="1">IFERROR(__xludf.DUMMYFUNCTION("""COMPUTED_VALUE"""),"6.1.3.1")</f>
        <v>6.1.3.1</v>
      </c>
      <c r="B106" s="107" t="str">
        <f ca="1">IFERROR(__xludf.DUMMYFUNCTION("""COMPUTED_VALUE"""),"Promedio")</f>
        <v>Promedio</v>
      </c>
      <c r="C106" s="40">
        <f ca="1">IFERROR(__xludf.DUMMYFUNCTION("""COMPUTED_VALUE"""),86)</f>
        <v>86</v>
      </c>
    </row>
    <row r="107" spans="1:3">
      <c r="A107" s="107" t="str">
        <f ca="1">IFERROR(__xludf.DUMMYFUNCTION("""COMPUTED_VALUE"""),"6.1.3.2")</f>
        <v>6.1.3.2</v>
      </c>
      <c r="B107" s="107" t="str">
        <f ca="1">IFERROR(__xludf.DUMMYFUNCTION("""COMPUTED_VALUE"""),"Porcentaje")</f>
        <v>Porcentaje</v>
      </c>
      <c r="C107" s="40">
        <f ca="1">IFERROR(__xludf.DUMMYFUNCTION("""COMPUTED_VALUE"""),36)</f>
        <v>36</v>
      </c>
    </row>
    <row r="108" spans="1:3">
      <c r="A108" s="107" t="str">
        <f ca="1">IFERROR(__xludf.DUMMYFUNCTION("""COMPUTED_VALUE"""),"6.1.3.3")</f>
        <v>6.1.3.3</v>
      </c>
      <c r="B108" s="107" t="str">
        <f ca="1">IFERROR(__xludf.DUMMYFUNCTION("""COMPUTED_VALUE"""),"Porcentaje")</f>
        <v>Porcentaje</v>
      </c>
      <c r="C108" s="40">
        <f ca="1">IFERROR(__xludf.DUMMYFUNCTION("""COMPUTED_VALUE"""),45)</f>
        <v>45</v>
      </c>
    </row>
    <row r="109" spans="1:3">
      <c r="A109" s="107" t="str">
        <f ca="1">IFERROR(__xludf.DUMMYFUNCTION("""COMPUTED_VALUE"""),"6.1.4.0")</f>
        <v>6.1.4.0</v>
      </c>
      <c r="B109" s="107" t="str">
        <f ca="1">IFERROR(__xludf.DUMMYFUNCTION("""COMPUTED_VALUE"""),"Promedio")</f>
        <v>Promedio</v>
      </c>
      <c r="C109" s="40">
        <f ca="1">IFERROR(__xludf.DUMMYFUNCTION("""COMPUTED_VALUE"""),7000)</f>
        <v>7000</v>
      </c>
    </row>
    <row r="110" spans="1:3">
      <c r="A110" s="107" t="str">
        <f ca="1">IFERROR(__xludf.DUMMYFUNCTION("""COMPUTED_VALUE"""),"6.1.4.1")</f>
        <v>6.1.4.1</v>
      </c>
      <c r="B110" s="107" t="str">
        <f ca="1">IFERROR(__xludf.DUMMYFUNCTION("""COMPUTED_VALUE"""),"Porcentaje")</f>
        <v>Porcentaje</v>
      </c>
      <c r="C110" s="40">
        <f ca="1">IFERROR(__xludf.DUMMYFUNCTION("""COMPUTED_VALUE"""),25)</f>
        <v>25</v>
      </c>
    </row>
    <row r="111" spans="1:3">
      <c r="A111" s="107" t="str">
        <f ca="1">IFERROR(__xludf.DUMMYFUNCTION("""COMPUTED_VALUE"""),"6.1.4.2")</f>
        <v>6.1.4.2</v>
      </c>
      <c r="B111" s="107" t="str">
        <f ca="1">IFERROR(__xludf.DUMMYFUNCTION("""COMPUTED_VALUE"""),"Porcentaje")</f>
        <v>Porcentaje</v>
      </c>
      <c r="C111" s="40">
        <f ca="1">IFERROR(__xludf.DUMMYFUNCTION("""COMPUTED_VALUE"""),23540)</f>
        <v>23540</v>
      </c>
    </row>
    <row r="112" spans="1:3">
      <c r="A112" s="107" t="str">
        <f ca="1">IFERROR(__xludf.DUMMYFUNCTION("""COMPUTED_VALUE"""),"6.1.5.0")</f>
        <v>6.1.5.0</v>
      </c>
      <c r="B112" s="107" t="str">
        <f ca="1">IFERROR(__xludf.DUMMYFUNCTION("""COMPUTED_VALUE"""),"Porcentaje")</f>
        <v>Porcentaje</v>
      </c>
      <c r="C112" s="40">
        <f ca="1">IFERROR(__xludf.DUMMYFUNCTION("""COMPUTED_VALUE"""),16646)</f>
        <v>16646</v>
      </c>
    </row>
    <row r="113" spans="1:3">
      <c r="A113" s="107" t="str">
        <f ca="1">IFERROR(__xludf.DUMMYFUNCTION("""COMPUTED_VALUE"""),"6.1.5.1")</f>
        <v>6.1.5.1</v>
      </c>
      <c r="B113" s="107" t="str">
        <f ca="1">IFERROR(__xludf.DUMMYFUNCTION("""COMPUTED_VALUE"""),"Porcentaje")</f>
        <v>Porcentaje</v>
      </c>
      <c r="C113" s="40">
        <f ca="1">IFERROR(__xludf.DUMMYFUNCTION("""COMPUTED_VALUE"""),13688)</f>
        <v>13688</v>
      </c>
    </row>
    <row r="114" spans="1:3">
      <c r="A114" s="107" t="str">
        <f ca="1">IFERROR(__xludf.DUMMYFUNCTION("""COMPUTED_VALUE"""),"6.1.5.2")</f>
        <v>6.1.5.2</v>
      </c>
      <c r="B114" s="107" t="str">
        <f ca="1">IFERROR(__xludf.DUMMYFUNCTION("""COMPUTED_VALUE"""),"Porcentaje")</f>
        <v>Porcentaje</v>
      </c>
      <c r="C114" s="40">
        <f ca="1">IFERROR(__xludf.DUMMYFUNCTION("""COMPUTED_VALUE"""),2958)</f>
        <v>2958</v>
      </c>
    </row>
    <row r="115" spans="1:3">
      <c r="A115" s="107"/>
      <c r="B115" s="107"/>
      <c r="C115" s="40"/>
    </row>
    <row r="116" spans="1:3">
      <c r="A116" s="107"/>
      <c r="B116" s="107"/>
      <c r="C116" s="40"/>
    </row>
    <row r="117" spans="1:3">
      <c r="A117" s="107"/>
      <c r="B117" s="107"/>
      <c r="C117" s="40"/>
    </row>
    <row r="118" spans="1:3">
      <c r="A118" s="107"/>
      <c r="B118" s="107"/>
      <c r="C118" s="40"/>
    </row>
    <row r="119" spans="1:3">
      <c r="A119" s="107"/>
      <c r="B119" s="107"/>
      <c r="C119" s="40"/>
    </row>
    <row r="120" spans="1:3">
      <c r="A120" s="107"/>
      <c r="B120" s="107"/>
      <c r="C120" s="40"/>
    </row>
    <row r="121" spans="1:3">
      <c r="A121" s="107"/>
      <c r="B121" s="107"/>
      <c r="C121" s="40"/>
    </row>
    <row r="122" spans="1:3">
      <c r="A122" s="107"/>
      <c r="B122" s="107"/>
      <c r="C122" s="40"/>
    </row>
    <row r="123" spans="1:3">
      <c r="A123" s="107"/>
      <c r="B123" s="107"/>
      <c r="C123" s="40"/>
    </row>
    <row r="124" spans="1:3">
      <c r="A124" s="107"/>
      <c r="B124" s="107"/>
      <c r="C124" s="40"/>
    </row>
    <row r="125" spans="1:3">
      <c r="A125" s="107"/>
      <c r="B125" s="107"/>
      <c r="C125" s="40"/>
    </row>
    <row r="126" spans="1:3">
      <c r="A126" s="107"/>
      <c r="B126" s="107"/>
      <c r="C126" s="40"/>
    </row>
    <row r="127" spans="1:3">
      <c r="A127" s="107"/>
      <c r="B127" s="107"/>
      <c r="C127" s="40"/>
    </row>
    <row r="128" spans="1:3">
      <c r="A128" s="107"/>
      <c r="B128" s="107"/>
      <c r="C128" s="40"/>
    </row>
    <row r="129" spans="1:3">
      <c r="A129" s="107"/>
      <c r="B129" s="107"/>
      <c r="C129" s="40"/>
    </row>
    <row r="130" spans="1:3">
      <c r="A130" s="107"/>
      <c r="B130" s="107"/>
      <c r="C130" s="40"/>
    </row>
    <row r="131" spans="1:3">
      <c r="A131" s="107"/>
      <c r="B131" s="107"/>
      <c r="C131" s="40"/>
    </row>
    <row r="132" spans="1:3">
      <c r="A132" s="107"/>
      <c r="B132" s="107"/>
      <c r="C132" s="40"/>
    </row>
    <row r="133" spans="1:3">
      <c r="A133" s="107"/>
      <c r="B133" s="107"/>
      <c r="C133" s="40"/>
    </row>
    <row r="134" spans="1:3">
      <c r="A134" s="107"/>
      <c r="B134" s="107"/>
      <c r="C134" s="40"/>
    </row>
    <row r="135" spans="1:3">
      <c r="A135" s="107"/>
      <c r="B135" s="107"/>
      <c r="C135" s="40"/>
    </row>
    <row r="136" spans="1:3">
      <c r="A136" s="107"/>
      <c r="B136" s="107"/>
      <c r="C136" s="40"/>
    </row>
    <row r="137" spans="1:3">
      <c r="A137" s="107"/>
      <c r="B137" s="107"/>
      <c r="C137" s="40"/>
    </row>
    <row r="138" spans="1:3">
      <c r="A138" s="107"/>
      <c r="B138" s="107"/>
      <c r="C138" s="40"/>
    </row>
    <row r="139" spans="1:3">
      <c r="A139" s="107"/>
      <c r="B139" s="107"/>
      <c r="C139" s="40"/>
    </row>
    <row r="140" spans="1:3">
      <c r="A140" s="107"/>
      <c r="B140" s="107"/>
      <c r="C140" s="40"/>
    </row>
    <row r="141" spans="1:3">
      <c r="A141" s="107"/>
      <c r="B141" s="107"/>
      <c r="C141" s="40"/>
    </row>
    <row r="142" spans="1:3">
      <c r="A142" s="107"/>
      <c r="B142" s="107"/>
      <c r="C142" s="40"/>
    </row>
    <row r="143" spans="1:3">
      <c r="A143" s="107"/>
      <c r="B143" s="107"/>
      <c r="C143" s="40"/>
    </row>
    <row r="144" spans="1:3">
      <c r="A144" s="107"/>
      <c r="B144" s="107"/>
      <c r="C144" s="40"/>
    </row>
    <row r="145" spans="1:3">
      <c r="A145" s="107"/>
      <c r="B145" s="107"/>
      <c r="C145" s="40"/>
    </row>
    <row r="146" spans="1:3">
      <c r="A146" s="107"/>
      <c r="B146" s="107"/>
      <c r="C146" s="40"/>
    </row>
    <row r="147" spans="1:3">
      <c r="A147" s="107"/>
      <c r="B147" s="107"/>
      <c r="C147" s="40"/>
    </row>
    <row r="148" spans="1:3">
      <c r="A148" s="107"/>
      <c r="B148" s="107"/>
      <c r="C148" s="40"/>
    </row>
    <row r="149" spans="1:3">
      <c r="A149" s="107"/>
      <c r="B149" s="107"/>
      <c r="C149" s="40"/>
    </row>
    <row r="150" spans="1:3">
      <c r="A150" s="107"/>
      <c r="B150" s="107"/>
      <c r="C150" s="40"/>
    </row>
    <row r="151" spans="1:3">
      <c r="A151" s="107"/>
      <c r="B151" s="107"/>
      <c r="C151" s="40"/>
    </row>
    <row r="152" spans="1:3">
      <c r="A152" s="107"/>
      <c r="B152" s="107"/>
      <c r="C152" s="40"/>
    </row>
    <row r="153" spans="1:3">
      <c r="A153" s="107"/>
      <c r="B153" s="107"/>
      <c r="C153" s="40"/>
    </row>
    <row r="154" spans="1:3">
      <c r="A154" s="107"/>
      <c r="B154" s="107"/>
      <c r="C154" s="40"/>
    </row>
    <row r="155" spans="1:3">
      <c r="A155" s="107"/>
      <c r="B155" s="107"/>
      <c r="C155" s="40"/>
    </row>
    <row r="156" spans="1:3">
      <c r="A156" s="107"/>
      <c r="B156" s="107"/>
      <c r="C156" s="40"/>
    </row>
    <row r="157" spans="1:3">
      <c r="A157" s="107"/>
      <c r="B157" s="107"/>
      <c r="C157" s="40"/>
    </row>
    <row r="158" spans="1:3">
      <c r="A158" s="107"/>
      <c r="B158" s="107"/>
      <c r="C158" s="40"/>
    </row>
    <row r="159" spans="1:3">
      <c r="A159" s="107"/>
      <c r="B159" s="107"/>
      <c r="C159" s="40"/>
    </row>
    <row r="160" spans="1:3">
      <c r="A160" s="107"/>
      <c r="B160" s="107"/>
      <c r="C160" s="40"/>
    </row>
    <row r="161" spans="1:3">
      <c r="A161" s="107"/>
      <c r="B161" s="107"/>
      <c r="C161" s="40"/>
    </row>
    <row r="162" spans="1:3">
      <c r="A162" s="107"/>
      <c r="B162" s="107"/>
      <c r="C162" s="40"/>
    </row>
    <row r="163" spans="1:3">
      <c r="A163" s="107"/>
      <c r="B163" s="107"/>
      <c r="C163" s="40"/>
    </row>
    <row r="164" spans="1:3">
      <c r="A164" s="107"/>
      <c r="B164" s="107"/>
      <c r="C164" s="40"/>
    </row>
    <row r="165" spans="1:3">
      <c r="A165" s="107"/>
      <c r="B165" s="107"/>
      <c r="C165" s="40"/>
    </row>
    <row r="166" spans="1:3">
      <c r="A166" s="107"/>
      <c r="B166" s="107"/>
      <c r="C166" s="40"/>
    </row>
    <row r="167" spans="1:3">
      <c r="A167" s="107"/>
      <c r="B167" s="107"/>
      <c r="C167" s="40"/>
    </row>
    <row r="168" spans="1:3">
      <c r="A168" s="107"/>
      <c r="B168" s="107"/>
      <c r="C168" s="40"/>
    </row>
    <row r="169" spans="1:3">
      <c r="A169" s="107"/>
      <c r="B169" s="107"/>
      <c r="C169" s="40"/>
    </row>
    <row r="170" spans="1:3">
      <c r="A170" s="107"/>
      <c r="B170" s="107"/>
      <c r="C170" s="40"/>
    </row>
    <row r="171" spans="1:3">
      <c r="A171" s="107"/>
      <c r="B171" s="107"/>
      <c r="C171" s="40"/>
    </row>
    <row r="172" spans="1:3">
      <c r="A172" s="107"/>
      <c r="B172" s="107"/>
      <c r="C172" s="40"/>
    </row>
    <row r="173" spans="1:3">
      <c r="A173" s="107"/>
      <c r="B173" s="107"/>
      <c r="C173" s="40"/>
    </row>
    <row r="174" spans="1:3">
      <c r="A174" s="107"/>
      <c r="B174" s="107"/>
      <c r="C174" s="40"/>
    </row>
    <row r="175" spans="1:3">
      <c r="A175" s="107"/>
      <c r="B175" s="107"/>
      <c r="C175" s="40"/>
    </row>
    <row r="176" spans="1:3">
      <c r="A176" s="107"/>
      <c r="B176" s="107"/>
      <c r="C176" s="40"/>
    </row>
    <row r="177" spans="1:3">
      <c r="A177" s="107"/>
      <c r="B177" s="107"/>
      <c r="C177" s="40"/>
    </row>
    <row r="178" spans="1:3">
      <c r="A178" s="107"/>
      <c r="B178" s="107"/>
      <c r="C178" s="40"/>
    </row>
    <row r="179" spans="1:3">
      <c r="A179" s="107"/>
      <c r="B179" s="107"/>
      <c r="C179" s="40"/>
    </row>
    <row r="180" spans="1:3">
      <c r="A180" s="107"/>
      <c r="B180" s="107"/>
      <c r="C180" s="40"/>
    </row>
    <row r="181" spans="1:3">
      <c r="A181" s="107"/>
      <c r="B181" s="107"/>
      <c r="C181" s="40"/>
    </row>
    <row r="182" spans="1:3">
      <c r="A182" s="107"/>
      <c r="B182" s="107"/>
      <c r="C182" s="40"/>
    </row>
    <row r="183" spans="1:3">
      <c r="A183" s="107"/>
      <c r="B183" s="107"/>
      <c r="C183" s="40"/>
    </row>
    <row r="184" spans="1:3">
      <c r="A184" s="107"/>
      <c r="B184" s="107"/>
      <c r="C184" s="40"/>
    </row>
    <row r="185" spans="1:3">
      <c r="A185" s="107"/>
      <c r="B185" s="107"/>
      <c r="C185" s="40"/>
    </row>
    <row r="186" spans="1:3">
      <c r="A186" s="107"/>
      <c r="B186" s="107"/>
      <c r="C186" s="40"/>
    </row>
    <row r="187" spans="1:3">
      <c r="A187" s="107"/>
      <c r="B187" s="107"/>
      <c r="C187" s="40"/>
    </row>
    <row r="188" spans="1:3">
      <c r="A188" s="107"/>
      <c r="B188" s="107"/>
      <c r="C188" s="40"/>
    </row>
    <row r="189" spans="1:3">
      <c r="A189" s="107"/>
      <c r="B189" s="107"/>
      <c r="C189" s="40"/>
    </row>
    <row r="190" spans="1:3">
      <c r="A190" s="107"/>
      <c r="B190" s="107"/>
      <c r="C190" s="40"/>
    </row>
    <row r="191" spans="1:3">
      <c r="A191" s="107"/>
      <c r="B191" s="107"/>
      <c r="C191" s="40"/>
    </row>
    <row r="192" spans="1:3">
      <c r="A192" s="107"/>
      <c r="B192" s="107"/>
      <c r="C192" s="40"/>
    </row>
    <row r="193" spans="1:3">
      <c r="A193" s="107"/>
      <c r="B193" s="107"/>
      <c r="C193" s="40"/>
    </row>
    <row r="194" spans="1:3">
      <c r="A194" s="107"/>
      <c r="B194" s="107"/>
      <c r="C194" s="40"/>
    </row>
    <row r="195" spans="1:3">
      <c r="A195" s="107"/>
      <c r="B195" s="107"/>
      <c r="C195" s="40"/>
    </row>
    <row r="196" spans="1:3">
      <c r="A196" s="107"/>
      <c r="B196" s="107"/>
      <c r="C196" s="40"/>
    </row>
    <row r="197" spans="1:3">
      <c r="A197" s="107"/>
      <c r="B197" s="107"/>
      <c r="C197" s="40"/>
    </row>
    <row r="198" spans="1:3">
      <c r="A198" s="107"/>
      <c r="B198" s="107"/>
      <c r="C198" s="40"/>
    </row>
    <row r="199" spans="1:3">
      <c r="A199" s="107"/>
      <c r="B199" s="107"/>
      <c r="C199" s="40"/>
    </row>
    <row r="200" spans="1:3">
      <c r="A200" s="107"/>
      <c r="B200" s="107"/>
      <c r="C200" s="40"/>
    </row>
    <row r="201" spans="1:3">
      <c r="A201" s="107"/>
      <c r="B201" s="107"/>
      <c r="C201" s="40"/>
    </row>
    <row r="202" spans="1:3">
      <c r="A202" s="107"/>
      <c r="B202" s="107"/>
      <c r="C202" s="40"/>
    </row>
    <row r="203" spans="1:3">
      <c r="A203" s="107"/>
      <c r="B203" s="107"/>
      <c r="C203" s="40"/>
    </row>
    <row r="204" spans="1:3">
      <c r="A204" s="107"/>
      <c r="B204" s="107"/>
      <c r="C204" s="40"/>
    </row>
    <row r="205" spans="1:3">
      <c r="A205" s="107"/>
      <c r="B205" s="107"/>
      <c r="C205" s="40"/>
    </row>
    <row r="206" spans="1:3">
      <c r="A206" s="107"/>
      <c r="B206" s="107"/>
      <c r="C206" s="40"/>
    </row>
    <row r="207" spans="1:3">
      <c r="A207" s="107"/>
      <c r="B207" s="107"/>
      <c r="C207" s="40"/>
    </row>
    <row r="208" spans="1:3">
      <c r="A208" s="107"/>
      <c r="B208" s="107"/>
      <c r="C208" s="40"/>
    </row>
    <row r="209" spans="1:3">
      <c r="A209" s="107"/>
      <c r="B209" s="107"/>
      <c r="C209" s="40"/>
    </row>
    <row r="210" spans="1:3">
      <c r="A210" s="107"/>
      <c r="B210" s="107"/>
      <c r="C210" s="40"/>
    </row>
    <row r="211" spans="1:3">
      <c r="A211" s="107"/>
      <c r="B211" s="107"/>
      <c r="C211" s="40"/>
    </row>
    <row r="212" spans="1:3">
      <c r="A212" s="107"/>
      <c r="B212" s="107"/>
      <c r="C212" s="40"/>
    </row>
    <row r="213" spans="1:3">
      <c r="A213" s="107"/>
      <c r="B213" s="107"/>
      <c r="C213" s="40"/>
    </row>
    <row r="214" spans="1:3">
      <c r="A214" s="107"/>
      <c r="B214" s="107"/>
      <c r="C214" s="40"/>
    </row>
    <row r="215" spans="1:3">
      <c r="A215" s="107"/>
      <c r="B215" s="107"/>
      <c r="C215" s="40"/>
    </row>
    <row r="216" spans="1:3">
      <c r="A216" s="107"/>
      <c r="B216" s="107"/>
      <c r="C216" s="40"/>
    </row>
    <row r="217" spans="1:3">
      <c r="A217" s="107"/>
      <c r="B217" s="107"/>
      <c r="C217" s="40"/>
    </row>
    <row r="218" spans="1:3">
      <c r="A218" s="107"/>
      <c r="B218" s="107"/>
      <c r="C218" s="40"/>
    </row>
    <row r="219" spans="1:3">
      <c r="A219" s="107"/>
      <c r="B219" s="107"/>
      <c r="C219" s="40"/>
    </row>
    <row r="220" spans="1:3">
      <c r="A220" s="107"/>
      <c r="B220" s="107"/>
      <c r="C220" s="40"/>
    </row>
    <row r="221" spans="1:3">
      <c r="A221" s="107"/>
      <c r="B221" s="107"/>
      <c r="C221" s="40"/>
    </row>
    <row r="222" spans="1:3">
      <c r="A222" s="107"/>
      <c r="B222" s="107"/>
      <c r="C222" s="40"/>
    </row>
    <row r="223" spans="1:3">
      <c r="A223" s="107"/>
      <c r="B223" s="107"/>
      <c r="C223" s="40"/>
    </row>
    <row r="224" spans="1:3">
      <c r="A224" s="107"/>
      <c r="B224" s="107"/>
      <c r="C224" s="40"/>
    </row>
    <row r="225" spans="1:3">
      <c r="A225" s="107"/>
      <c r="B225" s="107"/>
      <c r="C225" s="40"/>
    </row>
    <row r="226" spans="1:3">
      <c r="A226" s="107"/>
      <c r="B226" s="107"/>
      <c r="C226" s="40"/>
    </row>
    <row r="227" spans="1:3">
      <c r="A227" s="107"/>
      <c r="B227" s="107"/>
      <c r="C227" s="40"/>
    </row>
    <row r="228" spans="1:3">
      <c r="A228" s="107"/>
      <c r="B228" s="107"/>
      <c r="C228" s="40"/>
    </row>
    <row r="229" spans="1:3">
      <c r="A229" s="107"/>
      <c r="B229" s="107"/>
      <c r="C229" s="40"/>
    </row>
    <row r="230" spans="1:3">
      <c r="A230" s="107"/>
      <c r="B230" s="107"/>
      <c r="C230" s="40"/>
    </row>
    <row r="231" spans="1:3">
      <c r="A231" s="107"/>
      <c r="B231" s="107"/>
      <c r="C231" s="40"/>
    </row>
    <row r="232" spans="1:3">
      <c r="A232" s="107"/>
      <c r="B232" s="107"/>
      <c r="C232" s="40"/>
    </row>
    <row r="233" spans="1:3">
      <c r="A233" s="107"/>
      <c r="B233" s="107"/>
      <c r="C233" s="40"/>
    </row>
    <row r="234" spans="1:3">
      <c r="A234" s="107"/>
      <c r="B234" s="107"/>
      <c r="C234" s="40"/>
    </row>
    <row r="235" spans="1:3">
      <c r="A235" s="107"/>
      <c r="B235" s="107"/>
      <c r="C235" s="40"/>
    </row>
    <row r="236" spans="1:3">
      <c r="A236" s="107"/>
      <c r="B236" s="107"/>
      <c r="C236" s="40"/>
    </row>
    <row r="237" spans="1:3">
      <c r="A237" s="107"/>
      <c r="B237" s="107"/>
      <c r="C237" s="40"/>
    </row>
    <row r="238" spans="1:3">
      <c r="A238" s="107"/>
      <c r="B238" s="107"/>
      <c r="C238" s="40"/>
    </row>
    <row r="239" spans="1:3">
      <c r="A239" s="107"/>
      <c r="B239" s="107"/>
      <c r="C239" s="40"/>
    </row>
    <row r="240" spans="1:3">
      <c r="A240" s="107"/>
      <c r="B240" s="107"/>
      <c r="C240" s="40"/>
    </row>
    <row r="241" spans="1:3">
      <c r="A241" s="107"/>
      <c r="B241" s="107"/>
      <c r="C241" s="40"/>
    </row>
    <row r="242" spans="1:3">
      <c r="A242" s="107"/>
      <c r="B242" s="107"/>
      <c r="C242" s="40"/>
    </row>
    <row r="243" spans="1:3">
      <c r="A243" s="107"/>
      <c r="B243" s="107"/>
      <c r="C243" s="40"/>
    </row>
    <row r="244" spans="1:3">
      <c r="A244" s="107"/>
      <c r="B244" s="107"/>
      <c r="C244" s="40"/>
    </row>
    <row r="245" spans="1:3">
      <c r="A245" s="107"/>
      <c r="B245" s="107"/>
      <c r="C245" s="40"/>
    </row>
    <row r="246" spans="1:3">
      <c r="A246" s="107"/>
      <c r="B246" s="107"/>
      <c r="C246" s="40"/>
    </row>
    <row r="247" spans="1:3">
      <c r="A247" s="107"/>
      <c r="B247" s="107"/>
      <c r="C247" s="40"/>
    </row>
    <row r="248" spans="1:3">
      <c r="A248" s="107"/>
      <c r="B248" s="107"/>
      <c r="C248" s="40"/>
    </row>
    <row r="249" spans="1:3">
      <c r="A249" s="107"/>
      <c r="B249" s="107"/>
      <c r="C249" s="40"/>
    </row>
    <row r="250" spans="1:3">
      <c r="A250" s="107"/>
      <c r="B250" s="107"/>
      <c r="C250" s="40"/>
    </row>
    <row r="251" spans="1:3">
      <c r="A251" s="107"/>
      <c r="B251" s="107"/>
      <c r="C251" s="40"/>
    </row>
    <row r="252" spans="1:3">
      <c r="A252" s="107"/>
      <c r="B252" s="107"/>
      <c r="C252" s="40"/>
    </row>
    <row r="253" spans="1:3">
      <c r="A253" s="107"/>
      <c r="B253" s="107"/>
      <c r="C253" s="40"/>
    </row>
    <row r="254" spans="1:3">
      <c r="A254" s="107"/>
      <c r="B254" s="107"/>
      <c r="C254" s="40"/>
    </row>
    <row r="255" spans="1:3">
      <c r="A255" s="107"/>
      <c r="B255" s="107"/>
      <c r="C255" s="40"/>
    </row>
    <row r="256" spans="1:3">
      <c r="A256" s="107"/>
      <c r="B256" s="107"/>
      <c r="C256" s="40"/>
    </row>
    <row r="257" spans="1:3">
      <c r="A257" s="107"/>
      <c r="B257" s="107"/>
      <c r="C257" s="40"/>
    </row>
    <row r="258" spans="1:3">
      <c r="A258" s="107"/>
      <c r="B258" s="107"/>
      <c r="C258" s="40"/>
    </row>
    <row r="259" spans="1:3">
      <c r="A259" s="107"/>
      <c r="B259" s="107"/>
      <c r="C259" s="40"/>
    </row>
    <row r="260" spans="1:3">
      <c r="A260" s="107"/>
      <c r="B260" s="107"/>
      <c r="C260" s="40"/>
    </row>
    <row r="261" spans="1:3">
      <c r="A261" s="107"/>
      <c r="B261" s="107"/>
      <c r="C261" s="40"/>
    </row>
    <row r="262" spans="1:3">
      <c r="A262" s="107"/>
      <c r="B262" s="107"/>
      <c r="C262" s="40"/>
    </row>
    <row r="263" spans="1:3">
      <c r="A263" s="107"/>
      <c r="B263" s="107"/>
      <c r="C263" s="40"/>
    </row>
    <row r="264" spans="1:3">
      <c r="A264" s="107"/>
      <c r="B264" s="107"/>
      <c r="C264" s="40"/>
    </row>
    <row r="265" spans="1:3">
      <c r="A265" s="107"/>
      <c r="B265" s="107"/>
      <c r="C265" s="40"/>
    </row>
    <row r="266" spans="1:3">
      <c r="A266" s="107"/>
      <c r="B266" s="107"/>
      <c r="C266" s="40"/>
    </row>
    <row r="267" spans="1:3">
      <c r="A267" s="107"/>
      <c r="B267" s="107"/>
      <c r="C267" s="40"/>
    </row>
    <row r="268" spans="1:3">
      <c r="A268" s="107"/>
      <c r="B268" s="107"/>
      <c r="C268" s="40"/>
    </row>
    <row r="269" spans="1:3">
      <c r="A269" s="107"/>
      <c r="B269" s="107"/>
      <c r="C269" s="40"/>
    </row>
    <row r="270" spans="1:3">
      <c r="A270" s="107"/>
      <c r="B270" s="107"/>
      <c r="C270" s="40"/>
    </row>
    <row r="271" spans="1:3">
      <c r="A271" s="107"/>
      <c r="B271" s="107"/>
      <c r="C271" s="40"/>
    </row>
    <row r="272" spans="1:3">
      <c r="A272" s="107"/>
      <c r="B272" s="107"/>
      <c r="C272" s="40"/>
    </row>
    <row r="273" spans="1:3">
      <c r="A273" s="107"/>
      <c r="B273" s="107"/>
      <c r="C273" s="40"/>
    </row>
    <row r="274" spans="1:3">
      <c r="A274" s="107"/>
      <c r="B274" s="107"/>
      <c r="C274" s="40"/>
    </row>
    <row r="275" spans="1:3">
      <c r="A275" s="107"/>
      <c r="B275" s="107"/>
      <c r="C275" s="40"/>
    </row>
    <row r="276" spans="1:3">
      <c r="A276" s="107"/>
      <c r="B276" s="107"/>
      <c r="C276" s="40"/>
    </row>
    <row r="277" spans="1:3">
      <c r="A277" s="107"/>
      <c r="B277" s="107"/>
      <c r="C277" s="40"/>
    </row>
    <row r="278" spans="1:3">
      <c r="A278" s="107"/>
      <c r="B278" s="107"/>
      <c r="C278" s="40"/>
    </row>
    <row r="279" spans="1:3">
      <c r="A279" s="107"/>
      <c r="B279" s="107"/>
      <c r="C279" s="40"/>
    </row>
    <row r="280" spans="1:3">
      <c r="A280" s="107"/>
      <c r="B280" s="107"/>
      <c r="C280" s="40"/>
    </row>
    <row r="281" spans="1:3">
      <c r="A281" s="107"/>
      <c r="B281" s="107"/>
      <c r="C281" s="40"/>
    </row>
    <row r="282" spans="1:3">
      <c r="A282" s="107"/>
      <c r="B282" s="107"/>
      <c r="C282" s="40"/>
    </row>
    <row r="283" spans="1:3">
      <c r="A283" s="107"/>
      <c r="B283" s="107"/>
      <c r="C283" s="40"/>
    </row>
    <row r="284" spans="1:3">
      <c r="A284" s="107"/>
      <c r="B284" s="107"/>
      <c r="C284" s="40"/>
    </row>
    <row r="285" spans="1:3">
      <c r="A285" s="107"/>
      <c r="B285" s="107"/>
      <c r="C285" s="40"/>
    </row>
    <row r="286" spans="1:3">
      <c r="A286" s="107"/>
      <c r="B286" s="107"/>
      <c r="C286" s="40"/>
    </row>
    <row r="287" spans="1:3">
      <c r="A287" s="107"/>
      <c r="B287" s="107"/>
      <c r="C287" s="40"/>
    </row>
    <row r="288" spans="1:3">
      <c r="A288" s="107"/>
      <c r="B288" s="107"/>
      <c r="C288" s="40"/>
    </row>
    <row r="289" spans="1:3">
      <c r="A289" s="107"/>
      <c r="B289" s="107"/>
      <c r="C289" s="40"/>
    </row>
    <row r="290" spans="1:3">
      <c r="A290" s="107"/>
      <c r="B290" s="107"/>
      <c r="C290" s="40"/>
    </row>
    <row r="291" spans="1:3">
      <c r="A291" s="107"/>
      <c r="B291" s="107"/>
      <c r="C291" s="40"/>
    </row>
    <row r="292" spans="1:3">
      <c r="A292" s="107"/>
      <c r="B292" s="107"/>
      <c r="C292" s="40"/>
    </row>
    <row r="293" spans="1:3">
      <c r="A293" s="107"/>
      <c r="B293" s="107"/>
      <c r="C293" s="40"/>
    </row>
    <row r="294" spans="1:3">
      <c r="A294" s="107"/>
      <c r="B294" s="107"/>
      <c r="C294" s="40"/>
    </row>
    <row r="295" spans="1:3">
      <c r="A295" s="107"/>
      <c r="B295" s="107"/>
      <c r="C295" s="40"/>
    </row>
    <row r="296" spans="1:3">
      <c r="A296" s="107"/>
      <c r="B296" s="107"/>
      <c r="C296" s="40"/>
    </row>
    <row r="297" spans="1:3">
      <c r="A297" s="107"/>
      <c r="B297" s="107"/>
      <c r="C297" s="40"/>
    </row>
    <row r="298" spans="1:3">
      <c r="A298" s="107"/>
      <c r="B298" s="107"/>
      <c r="C298" s="40"/>
    </row>
    <row r="299" spans="1:3">
      <c r="A299" s="107"/>
      <c r="B299" s="107"/>
      <c r="C299" s="40"/>
    </row>
    <row r="300" spans="1:3">
      <c r="A300" s="107"/>
      <c r="B300" s="107"/>
      <c r="C300" s="40"/>
    </row>
    <row r="301" spans="1:3">
      <c r="A301" s="107"/>
      <c r="B301" s="107"/>
      <c r="C301" s="40"/>
    </row>
    <row r="302" spans="1:3">
      <c r="A302" s="107"/>
      <c r="B302" s="107"/>
      <c r="C302" s="40"/>
    </row>
    <row r="303" spans="1:3">
      <c r="A303" s="107"/>
      <c r="B303" s="107"/>
      <c r="C303" s="40"/>
    </row>
    <row r="304" spans="1:3">
      <c r="A304" s="107"/>
      <c r="B304" s="107"/>
      <c r="C304" s="40"/>
    </row>
    <row r="305" spans="1:3">
      <c r="A305" s="107"/>
      <c r="B305" s="107"/>
      <c r="C305" s="40"/>
    </row>
    <row r="306" spans="1:3">
      <c r="A306" s="107"/>
      <c r="B306" s="107"/>
      <c r="C306" s="40"/>
    </row>
    <row r="307" spans="1:3">
      <c r="A307" s="107"/>
      <c r="B307" s="107"/>
      <c r="C307" s="40"/>
    </row>
    <row r="308" spans="1:3">
      <c r="A308" s="107"/>
      <c r="B308" s="107"/>
      <c r="C308" s="40"/>
    </row>
    <row r="309" spans="1:3">
      <c r="A309" s="107"/>
      <c r="B309" s="107"/>
      <c r="C309" s="40"/>
    </row>
    <row r="310" spans="1:3">
      <c r="A310" s="107"/>
      <c r="B310" s="107"/>
      <c r="C310" s="40"/>
    </row>
    <row r="311" spans="1:3">
      <c r="A311" s="107"/>
      <c r="B311" s="107"/>
      <c r="C311" s="40"/>
    </row>
    <row r="312" spans="1:3">
      <c r="A312" s="107"/>
      <c r="B312" s="107"/>
      <c r="C312" s="40"/>
    </row>
    <row r="313" spans="1:3">
      <c r="A313" s="107"/>
      <c r="B313" s="107"/>
      <c r="C313" s="40"/>
    </row>
    <row r="314" spans="1:3">
      <c r="A314" s="107"/>
      <c r="B314" s="107"/>
      <c r="C314" s="40"/>
    </row>
    <row r="315" spans="1:3">
      <c r="A315" s="107"/>
      <c r="B315" s="107"/>
      <c r="C315" s="40"/>
    </row>
    <row r="316" spans="1:3">
      <c r="A316" s="107"/>
      <c r="B316" s="107"/>
      <c r="C316" s="40"/>
    </row>
    <row r="317" spans="1:3">
      <c r="A317" s="107"/>
      <c r="B317" s="107"/>
      <c r="C317" s="40"/>
    </row>
    <row r="318" spans="1:3">
      <c r="A318" s="107"/>
      <c r="B318" s="107"/>
      <c r="C318" s="40"/>
    </row>
    <row r="319" spans="1:3">
      <c r="A319" s="107"/>
      <c r="B319" s="107"/>
      <c r="C319" s="40"/>
    </row>
    <row r="320" spans="1:3">
      <c r="A320" s="107"/>
      <c r="B320" s="107"/>
      <c r="C320" s="40"/>
    </row>
    <row r="321" spans="1:3">
      <c r="A321" s="107"/>
      <c r="B321" s="107"/>
      <c r="C321" s="40"/>
    </row>
    <row r="322" spans="1:3">
      <c r="A322" s="107"/>
      <c r="B322" s="107"/>
      <c r="C322" s="40"/>
    </row>
    <row r="323" spans="1:3">
      <c r="A323" s="107"/>
      <c r="B323" s="107"/>
      <c r="C323" s="40"/>
    </row>
    <row r="324" spans="1:3">
      <c r="A324" s="107"/>
      <c r="B324" s="107"/>
      <c r="C324" s="40"/>
    </row>
    <row r="325" spans="1:3">
      <c r="A325" s="107"/>
      <c r="B325" s="107"/>
      <c r="C325" s="40"/>
    </row>
    <row r="326" spans="1:3">
      <c r="A326" s="107"/>
      <c r="B326" s="107"/>
      <c r="C326" s="40"/>
    </row>
    <row r="327" spans="1:3">
      <c r="A327" s="107"/>
      <c r="B327" s="107"/>
      <c r="C327" s="40"/>
    </row>
    <row r="328" spans="1:3">
      <c r="A328" s="107"/>
      <c r="B328" s="107"/>
      <c r="C328" s="40"/>
    </row>
    <row r="329" spans="1:3">
      <c r="A329" s="107"/>
      <c r="B329" s="107"/>
      <c r="C329" s="40"/>
    </row>
    <row r="330" spans="1:3">
      <c r="A330" s="107"/>
      <c r="B330" s="107"/>
      <c r="C330" s="40"/>
    </row>
    <row r="331" spans="1:3">
      <c r="A331" s="107"/>
      <c r="B331" s="107"/>
      <c r="C331" s="40"/>
    </row>
    <row r="332" spans="1:3">
      <c r="A332" s="107"/>
      <c r="B332" s="107"/>
      <c r="C332" s="40"/>
    </row>
    <row r="333" spans="1:3">
      <c r="A333" s="107"/>
      <c r="B333" s="107"/>
      <c r="C333" s="40"/>
    </row>
    <row r="334" spans="1:3">
      <c r="A334" s="107"/>
      <c r="B334" s="107"/>
      <c r="C334" s="40"/>
    </row>
    <row r="335" spans="1:3">
      <c r="A335" s="107"/>
      <c r="B335" s="107"/>
      <c r="C335" s="40"/>
    </row>
    <row r="336" spans="1:3">
      <c r="A336" s="107"/>
      <c r="B336" s="107"/>
      <c r="C336" s="40"/>
    </row>
    <row r="337" spans="1:3">
      <c r="A337" s="107"/>
      <c r="B337" s="107"/>
      <c r="C337" s="40"/>
    </row>
    <row r="338" spans="1:3">
      <c r="A338" s="107"/>
      <c r="B338" s="107"/>
      <c r="C338" s="40"/>
    </row>
    <row r="339" spans="1:3">
      <c r="A339" s="107"/>
      <c r="B339" s="107"/>
      <c r="C339" s="40"/>
    </row>
    <row r="340" spans="1:3">
      <c r="A340" s="107"/>
      <c r="B340" s="107"/>
      <c r="C340" s="40"/>
    </row>
    <row r="341" spans="1:3">
      <c r="A341" s="107"/>
      <c r="B341" s="107"/>
      <c r="C341" s="40"/>
    </row>
    <row r="342" spans="1:3">
      <c r="A342" s="107"/>
      <c r="B342" s="107"/>
      <c r="C342" s="40"/>
    </row>
    <row r="343" spans="1:3">
      <c r="A343" s="107"/>
      <c r="B343" s="107"/>
      <c r="C343" s="40"/>
    </row>
    <row r="344" spans="1:3">
      <c r="A344" s="107"/>
      <c r="B344" s="107"/>
      <c r="C344" s="40"/>
    </row>
    <row r="345" spans="1:3">
      <c r="A345" s="107"/>
      <c r="B345" s="107"/>
      <c r="C345" s="40"/>
    </row>
    <row r="346" spans="1:3">
      <c r="A346" s="107"/>
      <c r="B346" s="107"/>
      <c r="C346" s="40"/>
    </row>
    <row r="347" spans="1:3">
      <c r="A347" s="107"/>
      <c r="B347" s="107"/>
      <c r="C347" s="40"/>
    </row>
    <row r="348" spans="1:3">
      <c r="A348" s="107"/>
      <c r="B348" s="107"/>
      <c r="C348" s="40"/>
    </row>
    <row r="349" spans="1:3">
      <c r="A349" s="107"/>
      <c r="B349" s="107"/>
      <c r="C349" s="40"/>
    </row>
    <row r="350" spans="1:3">
      <c r="A350" s="107"/>
      <c r="B350" s="107"/>
      <c r="C350" s="40"/>
    </row>
    <row r="351" spans="1:3">
      <c r="A351" s="107"/>
      <c r="B351" s="107"/>
      <c r="C351" s="40"/>
    </row>
    <row r="352" spans="1:3">
      <c r="A352" s="107"/>
      <c r="B352" s="107"/>
      <c r="C352" s="40"/>
    </row>
    <row r="353" spans="1:3">
      <c r="A353" s="107"/>
      <c r="B353" s="107"/>
      <c r="C353" s="40"/>
    </row>
    <row r="354" spans="1:3">
      <c r="A354" s="107"/>
      <c r="B354" s="107"/>
      <c r="C354" s="40"/>
    </row>
    <row r="355" spans="1:3">
      <c r="A355" s="107"/>
      <c r="B355" s="107"/>
      <c r="C355" s="40"/>
    </row>
    <row r="356" spans="1:3">
      <c r="A356" s="107"/>
      <c r="B356" s="107"/>
      <c r="C356" s="40"/>
    </row>
    <row r="357" spans="1:3">
      <c r="A357" s="107"/>
      <c r="B357" s="107"/>
      <c r="C357" s="40"/>
    </row>
    <row r="358" spans="1:3">
      <c r="A358" s="107"/>
      <c r="B358" s="107"/>
      <c r="C358" s="40"/>
    </row>
    <row r="359" spans="1:3">
      <c r="A359" s="107"/>
      <c r="B359" s="107"/>
      <c r="C359" s="40"/>
    </row>
    <row r="360" spans="1:3">
      <c r="A360" s="107"/>
      <c r="B360" s="107"/>
      <c r="C360" s="40"/>
    </row>
    <row r="361" spans="1:3">
      <c r="A361" s="107"/>
      <c r="B361" s="107"/>
      <c r="C361" s="40"/>
    </row>
    <row r="362" spans="1:3">
      <c r="A362" s="107"/>
      <c r="B362" s="107"/>
      <c r="C362" s="40"/>
    </row>
    <row r="363" spans="1:3">
      <c r="A363" s="107"/>
      <c r="B363" s="107"/>
      <c r="C363" s="40"/>
    </row>
    <row r="364" spans="1:3">
      <c r="A364" s="107"/>
      <c r="B364" s="107"/>
      <c r="C364" s="40"/>
    </row>
    <row r="365" spans="1:3">
      <c r="A365" s="107"/>
      <c r="B365" s="107"/>
      <c r="C365" s="40"/>
    </row>
    <row r="366" spans="1:3">
      <c r="A366" s="107"/>
      <c r="B366" s="107"/>
      <c r="C366" s="40"/>
    </row>
    <row r="367" spans="1:3">
      <c r="A367" s="107"/>
      <c r="B367" s="107"/>
      <c r="C367" s="40"/>
    </row>
    <row r="368" spans="1:3">
      <c r="A368" s="107"/>
      <c r="B368" s="107"/>
      <c r="C368" s="40"/>
    </row>
    <row r="369" spans="1:3">
      <c r="A369" s="107"/>
      <c r="B369" s="107"/>
      <c r="C369" s="40"/>
    </row>
    <row r="370" spans="1:3">
      <c r="A370" s="107"/>
      <c r="B370" s="107"/>
      <c r="C370" s="40"/>
    </row>
    <row r="371" spans="1:3">
      <c r="A371" s="107"/>
      <c r="B371" s="107"/>
      <c r="C371" s="40"/>
    </row>
    <row r="372" spans="1:3">
      <c r="A372" s="107"/>
      <c r="B372" s="107"/>
      <c r="C372" s="40"/>
    </row>
    <row r="373" spans="1:3">
      <c r="A373" s="107"/>
      <c r="B373" s="107"/>
      <c r="C373" s="40"/>
    </row>
    <row r="374" spans="1:3">
      <c r="A374" s="107"/>
      <c r="B374" s="107"/>
      <c r="C374" s="40"/>
    </row>
    <row r="375" spans="1:3">
      <c r="A375" s="107"/>
      <c r="B375" s="107"/>
      <c r="C375" s="40"/>
    </row>
    <row r="376" spans="1:3">
      <c r="A376" s="107"/>
      <c r="B376" s="107"/>
      <c r="C376" s="40"/>
    </row>
    <row r="377" spans="1:3">
      <c r="A377" s="107"/>
      <c r="B377" s="107"/>
      <c r="C377" s="40"/>
    </row>
    <row r="378" spans="1:3">
      <c r="A378" s="107"/>
      <c r="B378" s="107"/>
      <c r="C378" s="40"/>
    </row>
    <row r="379" spans="1:3">
      <c r="A379" s="107"/>
      <c r="B379" s="107"/>
      <c r="C379" s="40"/>
    </row>
    <row r="380" spans="1:3">
      <c r="A380" s="107"/>
      <c r="B380" s="107"/>
      <c r="C380" s="40"/>
    </row>
    <row r="381" spans="1:3">
      <c r="A381" s="107"/>
      <c r="B381" s="107"/>
      <c r="C381" s="40"/>
    </row>
    <row r="382" spans="1:3">
      <c r="A382" s="107"/>
      <c r="B382" s="107"/>
      <c r="C382" s="40"/>
    </row>
    <row r="383" spans="1:3">
      <c r="A383" s="107"/>
      <c r="B383" s="107"/>
      <c r="C383" s="40"/>
    </row>
    <row r="384" spans="1:3">
      <c r="A384" s="107"/>
      <c r="B384" s="107"/>
      <c r="C384" s="40"/>
    </row>
    <row r="385" spans="1:3">
      <c r="A385" s="107"/>
      <c r="B385" s="107"/>
      <c r="C385" s="40"/>
    </row>
    <row r="386" spans="1:3">
      <c r="A386" s="107"/>
      <c r="B386" s="107"/>
      <c r="C386" s="40"/>
    </row>
    <row r="387" spans="1:3">
      <c r="A387" s="107"/>
      <c r="B387" s="107"/>
      <c r="C387" s="40"/>
    </row>
    <row r="388" spans="1:3">
      <c r="A388" s="107"/>
      <c r="B388" s="107"/>
      <c r="C388" s="40"/>
    </row>
    <row r="389" spans="1:3">
      <c r="A389" s="107"/>
      <c r="B389" s="107"/>
      <c r="C389" s="40"/>
    </row>
    <row r="390" spans="1:3">
      <c r="A390" s="107"/>
      <c r="B390" s="107"/>
      <c r="C390" s="40"/>
    </row>
    <row r="391" spans="1:3">
      <c r="A391" s="107"/>
      <c r="B391" s="107"/>
      <c r="C391" s="40"/>
    </row>
    <row r="392" spans="1:3">
      <c r="A392" s="107"/>
      <c r="B392" s="107"/>
      <c r="C392" s="40"/>
    </row>
    <row r="393" spans="1:3">
      <c r="A393" s="107"/>
      <c r="B393" s="107"/>
      <c r="C393" s="40"/>
    </row>
    <row r="394" spans="1:3">
      <c r="A394" s="107"/>
      <c r="B394" s="107"/>
      <c r="C394" s="40"/>
    </row>
    <row r="395" spans="1:3">
      <c r="A395" s="107"/>
      <c r="B395" s="107"/>
      <c r="C395" s="40"/>
    </row>
    <row r="396" spans="1:3">
      <c r="A396" s="107"/>
      <c r="B396" s="107"/>
      <c r="C396" s="40"/>
    </row>
    <row r="397" spans="1:3">
      <c r="A397" s="107"/>
      <c r="B397" s="107"/>
      <c r="C397" s="40"/>
    </row>
    <row r="398" spans="1:3">
      <c r="A398" s="107"/>
      <c r="B398" s="107"/>
      <c r="C398" s="40"/>
    </row>
    <row r="399" spans="1:3">
      <c r="A399" s="107"/>
      <c r="B399" s="107"/>
      <c r="C399" s="40"/>
    </row>
    <row r="400" spans="1:3">
      <c r="A400" s="107"/>
      <c r="B400" s="107"/>
      <c r="C400" s="40"/>
    </row>
    <row r="401" spans="1:3">
      <c r="A401" s="107"/>
      <c r="B401" s="107"/>
      <c r="C401" s="40"/>
    </row>
    <row r="402" spans="1:3">
      <c r="A402" s="107"/>
      <c r="B402" s="107"/>
      <c r="C402" s="40"/>
    </row>
    <row r="403" spans="1:3">
      <c r="A403" s="107"/>
      <c r="B403" s="107"/>
      <c r="C403" s="40"/>
    </row>
    <row r="404" spans="1:3">
      <c r="A404" s="107"/>
      <c r="B404" s="107"/>
      <c r="C404" s="40"/>
    </row>
    <row r="405" spans="1:3">
      <c r="A405" s="107"/>
      <c r="B405" s="107"/>
      <c r="C405" s="40"/>
    </row>
    <row r="406" spans="1:3">
      <c r="A406" s="107"/>
      <c r="B406" s="107"/>
      <c r="C406" s="40"/>
    </row>
    <row r="407" spans="1:3">
      <c r="A407" s="107"/>
      <c r="B407" s="107"/>
      <c r="C407" s="40"/>
    </row>
    <row r="408" spans="1:3">
      <c r="A408" s="107"/>
      <c r="B408" s="107"/>
      <c r="C408" s="40"/>
    </row>
    <row r="409" spans="1:3">
      <c r="A409" s="107"/>
      <c r="B409" s="107"/>
      <c r="C409" s="40"/>
    </row>
    <row r="410" spans="1:3">
      <c r="A410" s="107"/>
      <c r="B410" s="107"/>
      <c r="C410" s="40"/>
    </row>
    <row r="411" spans="1:3">
      <c r="A411" s="107"/>
      <c r="B411" s="107"/>
      <c r="C411" s="40"/>
    </row>
    <row r="412" spans="1:3">
      <c r="A412" s="107"/>
      <c r="B412" s="107"/>
      <c r="C412" s="40"/>
    </row>
    <row r="413" spans="1:3">
      <c r="A413" s="107"/>
      <c r="B413" s="107"/>
      <c r="C413" s="40"/>
    </row>
    <row r="414" spans="1:3">
      <c r="A414" s="107"/>
      <c r="B414" s="107"/>
      <c r="C414" s="40"/>
    </row>
    <row r="415" spans="1:3">
      <c r="A415" s="107"/>
      <c r="B415" s="107"/>
      <c r="C415" s="40"/>
    </row>
    <row r="416" spans="1:3">
      <c r="A416" s="107"/>
      <c r="B416" s="107"/>
      <c r="C416" s="40"/>
    </row>
    <row r="417" spans="1:3">
      <c r="A417" s="107"/>
      <c r="B417" s="107"/>
      <c r="C417" s="40"/>
    </row>
    <row r="418" spans="1:3">
      <c r="A418" s="107"/>
      <c r="B418" s="107"/>
      <c r="C418" s="40"/>
    </row>
    <row r="419" spans="1:3">
      <c r="A419" s="107"/>
      <c r="B419" s="107"/>
      <c r="C419" s="40"/>
    </row>
    <row r="420" spans="1:3">
      <c r="A420" s="107"/>
      <c r="B420" s="107"/>
      <c r="C420" s="40"/>
    </row>
    <row r="421" spans="1:3">
      <c r="A421" s="107"/>
      <c r="B421" s="107"/>
      <c r="C421" s="40"/>
    </row>
    <row r="422" spans="1:3">
      <c r="A422" s="107"/>
      <c r="B422" s="107"/>
      <c r="C422" s="40"/>
    </row>
    <row r="423" spans="1:3">
      <c r="A423" s="107"/>
      <c r="B423" s="107"/>
      <c r="C423" s="40"/>
    </row>
    <row r="424" spans="1:3">
      <c r="A424" s="107"/>
      <c r="B424" s="107"/>
      <c r="C424" s="40"/>
    </row>
    <row r="425" spans="1:3">
      <c r="A425" s="107"/>
      <c r="B425" s="107"/>
      <c r="C425" s="40"/>
    </row>
    <row r="426" spans="1:3">
      <c r="A426" s="107"/>
      <c r="B426" s="107"/>
      <c r="C426" s="40"/>
    </row>
    <row r="427" spans="1:3">
      <c r="A427" s="107"/>
      <c r="B427" s="107"/>
      <c r="C427" s="40"/>
    </row>
    <row r="428" spans="1:3">
      <c r="A428" s="107"/>
      <c r="B428" s="107"/>
      <c r="C428" s="40"/>
    </row>
    <row r="429" spans="1:3">
      <c r="A429" s="107"/>
      <c r="B429" s="107"/>
      <c r="C429" s="40"/>
    </row>
    <row r="430" spans="1:3">
      <c r="A430" s="107"/>
      <c r="B430" s="107"/>
      <c r="C430" s="40"/>
    </row>
    <row r="431" spans="1:3">
      <c r="A431" s="107"/>
      <c r="B431" s="107"/>
      <c r="C431" s="40"/>
    </row>
    <row r="432" spans="1:3">
      <c r="A432" s="107"/>
      <c r="B432" s="107"/>
      <c r="C432" s="40"/>
    </row>
    <row r="433" spans="1:3">
      <c r="A433" s="107"/>
      <c r="B433" s="107"/>
      <c r="C433" s="40"/>
    </row>
    <row r="434" spans="1:3">
      <c r="A434" s="107"/>
      <c r="B434" s="107"/>
      <c r="C434" s="40"/>
    </row>
    <row r="435" spans="1:3">
      <c r="A435" s="107"/>
      <c r="B435" s="107"/>
      <c r="C435" s="40"/>
    </row>
    <row r="436" spans="1:3">
      <c r="A436" s="107"/>
      <c r="B436" s="107"/>
      <c r="C436" s="40"/>
    </row>
    <row r="437" spans="1:3">
      <c r="A437" s="107"/>
      <c r="B437" s="107"/>
      <c r="C437" s="40"/>
    </row>
    <row r="438" spans="1:3">
      <c r="A438" s="107"/>
      <c r="B438" s="107"/>
      <c r="C438" s="40"/>
    </row>
    <row r="439" spans="1:3">
      <c r="A439" s="107"/>
      <c r="B439" s="107"/>
      <c r="C439" s="40"/>
    </row>
    <row r="440" spans="1:3">
      <c r="A440" s="107"/>
      <c r="B440" s="107"/>
      <c r="C440" s="40"/>
    </row>
    <row r="441" spans="1:3">
      <c r="A441" s="107"/>
      <c r="B441" s="107"/>
      <c r="C441" s="40"/>
    </row>
    <row r="442" spans="1:3">
      <c r="A442" s="107"/>
      <c r="B442" s="107"/>
      <c r="C442" s="40"/>
    </row>
    <row r="443" spans="1:3">
      <c r="A443" s="107"/>
      <c r="B443" s="107"/>
      <c r="C443" s="40"/>
    </row>
    <row r="444" spans="1:3">
      <c r="A444" s="107"/>
      <c r="B444" s="107"/>
      <c r="C444" s="40"/>
    </row>
    <row r="445" spans="1:3">
      <c r="A445" s="107"/>
      <c r="B445" s="107"/>
      <c r="C445" s="40"/>
    </row>
    <row r="446" spans="1:3">
      <c r="A446" s="107"/>
      <c r="B446" s="107"/>
      <c r="C446" s="40"/>
    </row>
    <row r="447" spans="1:3">
      <c r="A447" s="107"/>
      <c r="B447" s="107"/>
      <c r="C447" s="40"/>
    </row>
    <row r="448" spans="1:3">
      <c r="A448" s="107"/>
      <c r="B448" s="107"/>
      <c r="C448" s="40"/>
    </row>
    <row r="449" spans="1:3">
      <c r="A449" s="107"/>
      <c r="B449" s="107"/>
      <c r="C449" s="40"/>
    </row>
    <row r="450" spans="1:3">
      <c r="A450" s="107"/>
      <c r="B450" s="107"/>
      <c r="C450" s="40"/>
    </row>
    <row r="451" spans="1:3">
      <c r="A451" s="107"/>
      <c r="B451" s="107"/>
      <c r="C451" s="40"/>
    </row>
    <row r="452" spans="1:3">
      <c r="A452" s="107"/>
      <c r="B452" s="107"/>
      <c r="C452" s="40"/>
    </row>
    <row r="453" spans="1:3">
      <c r="A453" s="107"/>
      <c r="B453" s="107"/>
      <c r="C453" s="40"/>
    </row>
    <row r="454" spans="1:3">
      <c r="A454" s="107"/>
      <c r="B454" s="107"/>
      <c r="C454" s="40"/>
    </row>
    <row r="455" spans="1:3">
      <c r="A455" s="107"/>
      <c r="B455" s="107"/>
      <c r="C455" s="40"/>
    </row>
    <row r="456" spans="1:3">
      <c r="A456" s="107"/>
      <c r="B456" s="107"/>
      <c r="C456" s="40"/>
    </row>
    <row r="457" spans="1:3">
      <c r="A457" s="107"/>
      <c r="B457" s="107"/>
      <c r="C457" s="40"/>
    </row>
    <row r="458" spans="1:3">
      <c r="A458" s="107"/>
      <c r="B458" s="107"/>
      <c r="C458" s="40"/>
    </row>
    <row r="459" spans="1:3">
      <c r="A459" s="107"/>
      <c r="B459" s="107"/>
      <c r="C459" s="40"/>
    </row>
    <row r="460" spans="1:3">
      <c r="A460" s="107"/>
      <c r="B460" s="107"/>
      <c r="C460" s="40"/>
    </row>
    <row r="461" spans="1:3">
      <c r="A461" s="107"/>
      <c r="B461" s="107"/>
      <c r="C461" s="40"/>
    </row>
    <row r="462" spans="1:3">
      <c r="A462" s="107"/>
      <c r="B462" s="107"/>
      <c r="C462" s="40"/>
    </row>
    <row r="463" spans="1:3">
      <c r="A463" s="107"/>
      <c r="B463" s="107"/>
      <c r="C463" s="40"/>
    </row>
    <row r="464" spans="1:3">
      <c r="A464" s="107"/>
      <c r="B464" s="107"/>
      <c r="C464" s="40"/>
    </row>
    <row r="465" spans="1:3">
      <c r="A465" s="107"/>
      <c r="B465" s="107"/>
      <c r="C465" s="40"/>
    </row>
    <row r="466" spans="1:3">
      <c r="A466" s="107"/>
      <c r="B466" s="107"/>
      <c r="C466" s="40"/>
    </row>
    <row r="467" spans="1:3">
      <c r="A467" s="107"/>
      <c r="B467" s="107"/>
      <c r="C467" s="40"/>
    </row>
    <row r="468" spans="1:3">
      <c r="A468" s="107"/>
      <c r="B468" s="107"/>
      <c r="C468" s="40"/>
    </row>
    <row r="469" spans="1:3">
      <c r="A469" s="107"/>
      <c r="B469" s="107"/>
      <c r="C469" s="40"/>
    </row>
    <row r="470" spans="1:3">
      <c r="A470" s="107"/>
      <c r="B470" s="107"/>
      <c r="C470" s="40"/>
    </row>
    <row r="471" spans="1:3">
      <c r="A471" s="107"/>
      <c r="B471" s="107"/>
      <c r="C471" s="40"/>
    </row>
    <row r="472" spans="1:3">
      <c r="A472" s="107"/>
      <c r="B472" s="107"/>
      <c r="C472" s="40"/>
    </row>
    <row r="473" spans="1:3">
      <c r="A473" s="107"/>
      <c r="B473" s="107"/>
      <c r="C473" s="40"/>
    </row>
    <row r="474" spans="1:3">
      <c r="A474" s="107"/>
      <c r="B474" s="107"/>
      <c r="C474" s="40"/>
    </row>
    <row r="475" spans="1:3">
      <c r="A475" s="107"/>
      <c r="B475" s="107"/>
      <c r="C475" s="40"/>
    </row>
    <row r="476" spans="1:3">
      <c r="A476" s="107"/>
      <c r="B476" s="107"/>
      <c r="C476" s="40"/>
    </row>
    <row r="477" spans="1:3">
      <c r="A477" s="107"/>
      <c r="B477" s="107"/>
      <c r="C477" s="40"/>
    </row>
    <row r="478" spans="1:3">
      <c r="A478" s="107"/>
      <c r="B478" s="107"/>
      <c r="C478" s="40"/>
    </row>
    <row r="479" spans="1:3">
      <c r="A479" s="107"/>
      <c r="B479" s="107"/>
      <c r="C479" s="40"/>
    </row>
    <row r="480" spans="1:3">
      <c r="A480" s="107"/>
      <c r="B480" s="107"/>
      <c r="C480" s="40"/>
    </row>
    <row r="481" spans="1:3">
      <c r="A481" s="107"/>
      <c r="B481" s="107"/>
      <c r="C481" s="40"/>
    </row>
    <row r="482" spans="1:3">
      <c r="A482" s="107"/>
      <c r="B482" s="107"/>
      <c r="C482" s="40"/>
    </row>
    <row r="483" spans="1:3">
      <c r="A483" s="107"/>
      <c r="B483" s="107"/>
      <c r="C483" s="40"/>
    </row>
    <row r="484" spans="1:3">
      <c r="A484" s="107"/>
      <c r="B484" s="107"/>
      <c r="C484" s="40"/>
    </row>
    <row r="485" spans="1:3">
      <c r="A485" s="107"/>
      <c r="B485" s="107"/>
      <c r="C485" s="40"/>
    </row>
    <row r="486" spans="1:3">
      <c r="A486" s="107"/>
      <c r="B486" s="107"/>
      <c r="C486" s="40"/>
    </row>
    <row r="487" spans="1:3">
      <c r="A487" s="107"/>
      <c r="B487" s="107"/>
      <c r="C487" s="40"/>
    </row>
    <row r="488" spans="1:3">
      <c r="A488" s="107"/>
      <c r="B488" s="107"/>
      <c r="C488" s="40"/>
    </row>
    <row r="489" spans="1:3">
      <c r="A489" s="107"/>
      <c r="B489" s="107"/>
      <c r="C489" s="40"/>
    </row>
    <row r="490" spans="1:3">
      <c r="A490" s="107"/>
      <c r="B490" s="107"/>
      <c r="C490" s="40"/>
    </row>
    <row r="491" spans="1:3">
      <c r="A491" s="107"/>
      <c r="B491" s="107"/>
      <c r="C491" s="40"/>
    </row>
    <row r="492" spans="1:3">
      <c r="A492" s="107"/>
      <c r="B492" s="107"/>
      <c r="C492" s="40"/>
    </row>
    <row r="493" spans="1:3">
      <c r="A493" s="107"/>
      <c r="B493" s="107"/>
      <c r="C493" s="40"/>
    </row>
    <row r="494" spans="1:3">
      <c r="A494" s="107"/>
      <c r="B494" s="107"/>
      <c r="C494" s="40"/>
    </row>
    <row r="495" spans="1:3">
      <c r="A495" s="107"/>
      <c r="B495" s="107"/>
      <c r="C495" s="40"/>
    </row>
    <row r="496" spans="1:3">
      <c r="A496" s="107"/>
      <c r="B496" s="107"/>
      <c r="C496" s="40"/>
    </row>
    <row r="497" spans="1:3">
      <c r="A497" s="107"/>
      <c r="B497" s="107"/>
      <c r="C497" s="40"/>
    </row>
    <row r="498" spans="1:3">
      <c r="A498" s="107"/>
      <c r="B498" s="107"/>
      <c r="C498" s="40"/>
    </row>
    <row r="499" spans="1:3">
      <c r="A499" s="107"/>
      <c r="B499" s="107"/>
      <c r="C499" s="40"/>
    </row>
    <row r="500" spans="1:3">
      <c r="A500" s="107"/>
      <c r="B500" s="107"/>
      <c r="C500" s="40"/>
    </row>
    <row r="501" spans="1:3">
      <c r="A501" s="107"/>
      <c r="B501" s="107"/>
      <c r="C501" s="40"/>
    </row>
    <row r="502" spans="1:3">
      <c r="A502" s="107"/>
      <c r="B502" s="107"/>
      <c r="C502" s="40"/>
    </row>
    <row r="503" spans="1:3">
      <c r="A503" s="107"/>
      <c r="B503" s="107"/>
      <c r="C503" s="40"/>
    </row>
    <row r="504" spans="1:3">
      <c r="A504" s="107"/>
      <c r="B504" s="107"/>
      <c r="C504" s="40"/>
    </row>
    <row r="505" spans="1:3">
      <c r="A505" s="107"/>
      <c r="B505" s="107"/>
      <c r="C505" s="40"/>
    </row>
    <row r="506" spans="1:3">
      <c r="A506" s="107"/>
      <c r="B506" s="107"/>
      <c r="C506" s="40"/>
    </row>
    <row r="507" spans="1:3">
      <c r="A507" s="107"/>
      <c r="B507" s="107"/>
      <c r="C507" s="40"/>
    </row>
    <row r="508" spans="1:3">
      <c r="A508" s="107"/>
      <c r="B508" s="107"/>
      <c r="C508" s="40"/>
    </row>
    <row r="509" spans="1:3">
      <c r="A509" s="107"/>
      <c r="B509" s="107"/>
      <c r="C509" s="40"/>
    </row>
    <row r="510" spans="1:3">
      <c r="A510" s="107"/>
      <c r="B510" s="107"/>
      <c r="C510" s="40"/>
    </row>
    <row r="511" spans="1:3">
      <c r="A511" s="107"/>
      <c r="B511" s="107"/>
      <c r="C511" s="40"/>
    </row>
    <row r="512" spans="1:3">
      <c r="A512" s="107"/>
      <c r="B512" s="107"/>
      <c r="C512" s="40"/>
    </row>
    <row r="513" spans="1:3">
      <c r="A513" s="107"/>
      <c r="B513" s="107"/>
      <c r="C513" s="40"/>
    </row>
    <row r="514" spans="1:3">
      <c r="A514" s="107"/>
      <c r="B514" s="107"/>
      <c r="C514" s="40"/>
    </row>
    <row r="515" spans="1:3">
      <c r="A515" s="107"/>
      <c r="B515" s="107"/>
      <c r="C515" s="40"/>
    </row>
    <row r="516" spans="1:3">
      <c r="A516" s="107"/>
      <c r="B516" s="107"/>
      <c r="C516" s="40"/>
    </row>
    <row r="517" spans="1:3">
      <c r="A517" s="107"/>
      <c r="B517" s="107"/>
      <c r="C517" s="40"/>
    </row>
    <row r="518" spans="1:3">
      <c r="A518" s="107"/>
      <c r="B518" s="107"/>
      <c r="C518" s="40"/>
    </row>
    <row r="519" spans="1:3">
      <c r="A519" s="107"/>
      <c r="B519" s="107"/>
      <c r="C519" s="40"/>
    </row>
    <row r="520" spans="1:3">
      <c r="A520" s="107"/>
      <c r="B520" s="107"/>
      <c r="C520" s="40"/>
    </row>
    <row r="521" spans="1:3">
      <c r="A521" s="107"/>
      <c r="B521" s="107"/>
      <c r="C521" s="40"/>
    </row>
    <row r="522" spans="1:3">
      <c r="A522" s="107"/>
      <c r="B522" s="107"/>
      <c r="C522" s="40"/>
    </row>
    <row r="523" spans="1:3">
      <c r="A523" s="107"/>
      <c r="B523" s="107"/>
      <c r="C523" s="40"/>
    </row>
    <row r="524" spans="1:3">
      <c r="A524" s="107"/>
      <c r="B524" s="107"/>
      <c r="C524" s="40"/>
    </row>
    <row r="525" spans="1:3">
      <c r="A525" s="107"/>
      <c r="B525" s="107"/>
      <c r="C525" s="40"/>
    </row>
    <row r="526" spans="1:3">
      <c r="A526" s="107"/>
      <c r="B526" s="107"/>
      <c r="C526" s="40"/>
    </row>
    <row r="527" spans="1:3">
      <c r="A527" s="107"/>
      <c r="B527" s="107"/>
      <c r="C527" s="40"/>
    </row>
    <row r="528" spans="1:3">
      <c r="A528" s="107"/>
      <c r="B528" s="107"/>
      <c r="C528" s="40"/>
    </row>
    <row r="529" spans="1:3">
      <c r="A529" s="107"/>
      <c r="B529" s="107"/>
      <c r="C529" s="40"/>
    </row>
    <row r="530" spans="1:3">
      <c r="A530" s="107"/>
      <c r="B530" s="107"/>
      <c r="C530" s="40"/>
    </row>
    <row r="531" spans="1:3">
      <c r="A531" s="107"/>
      <c r="B531" s="107"/>
      <c r="C531" s="40"/>
    </row>
    <row r="532" spans="1:3">
      <c r="A532" s="107"/>
      <c r="B532" s="107"/>
      <c r="C532" s="40"/>
    </row>
    <row r="533" spans="1:3">
      <c r="A533" s="107"/>
      <c r="B533" s="107"/>
      <c r="C533" s="40"/>
    </row>
    <row r="534" spans="1:3">
      <c r="A534" s="107"/>
      <c r="B534" s="107"/>
      <c r="C534" s="40"/>
    </row>
    <row r="535" spans="1:3">
      <c r="A535" s="107"/>
      <c r="B535" s="107"/>
      <c r="C535" s="40"/>
    </row>
    <row r="536" spans="1:3">
      <c r="A536" s="107"/>
      <c r="B536" s="107"/>
      <c r="C536" s="40"/>
    </row>
    <row r="537" spans="1:3">
      <c r="A537" s="107"/>
      <c r="B537" s="107"/>
      <c r="C537" s="40"/>
    </row>
    <row r="538" spans="1:3">
      <c r="A538" s="107"/>
      <c r="B538" s="107"/>
      <c r="C538" s="40"/>
    </row>
    <row r="539" spans="1:3">
      <c r="A539" s="107"/>
      <c r="B539" s="107"/>
      <c r="C539" s="40"/>
    </row>
    <row r="540" spans="1:3">
      <c r="A540" s="107"/>
      <c r="B540" s="107"/>
      <c r="C540" s="40"/>
    </row>
    <row r="541" spans="1:3">
      <c r="A541" s="107"/>
      <c r="B541" s="107"/>
      <c r="C541" s="40"/>
    </row>
    <row r="542" spans="1:3">
      <c r="A542" s="107"/>
      <c r="B542" s="107"/>
      <c r="C542" s="40"/>
    </row>
    <row r="543" spans="1:3">
      <c r="A543" s="107"/>
      <c r="B543" s="107"/>
      <c r="C543" s="40"/>
    </row>
    <row r="544" spans="1:3">
      <c r="A544" s="107"/>
      <c r="B544" s="107"/>
      <c r="C544" s="40"/>
    </row>
    <row r="545" spans="1:3">
      <c r="A545" s="107"/>
      <c r="B545" s="107"/>
      <c r="C545" s="40"/>
    </row>
    <row r="546" spans="1:3">
      <c r="A546" s="107"/>
      <c r="B546" s="107"/>
      <c r="C546" s="40"/>
    </row>
    <row r="547" spans="1:3">
      <c r="A547" s="107"/>
      <c r="B547" s="107"/>
      <c r="C547" s="40"/>
    </row>
    <row r="548" spans="1:3">
      <c r="A548" s="107"/>
      <c r="B548" s="107"/>
      <c r="C548" s="40"/>
    </row>
    <row r="549" spans="1:3">
      <c r="A549" s="107"/>
      <c r="B549" s="107"/>
      <c r="C549" s="40"/>
    </row>
    <row r="550" spans="1:3">
      <c r="A550" s="107"/>
      <c r="B550" s="107"/>
      <c r="C550" s="40"/>
    </row>
    <row r="551" spans="1:3">
      <c r="A551" s="107"/>
      <c r="B551" s="107"/>
      <c r="C551" s="40"/>
    </row>
    <row r="552" spans="1:3">
      <c r="A552" s="107"/>
      <c r="B552" s="107"/>
      <c r="C552" s="40"/>
    </row>
    <row r="553" spans="1:3">
      <c r="A553" s="107"/>
      <c r="B553" s="107"/>
      <c r="C553" s="40"/>
    </row>
    <row r="554" spans="1:3">
      <c r="A554" s="107"/>
      <c r="B554" s="107"/>
      <c r="C554" s="40"/>
    </row>
    <row r="555" spans="1:3">
      <c r="A555" s="107"/>
      <c r="B555" s="107"/>
      <c r="C555" s="40"/>
    </row>
    <row r="556" spans="1:3">
      <c r="A556" s="107"/>
      <c r="B556" s="107"/>
      <c r="C556" s="40"/>
    </row>
    <row r="557" spans="1:3">
      <c r="A557" s="107"/>
      <c r="B557" s="107"/>
      <c r="C557" s="40"/>
    </row>
    <row r="558" spans="1:3">
      <c r="A558" s="107"/>
      <c r="B558" s="107"/>
      <c r="C558" s="40"/>
    </row>
    <row r="559" spans="1:3">
      <c r="A559" s="107"/>
      <c r="B559" s="107"/>
      <c r="C559" s="40"/>
    </row>
    <row r="560" spans="1:3">
      <c r="A560" s="107"/>
      <c r="B560" s="107"/>
      <c r="C560" s="40"/>
    </row>
    <row r="561" spans="1:3">
      <c r="A561" s="107"/>
      <c r="B561" s="107"/>
      <c r="C561" s="40"/>
    </row>
    <row r="562" spans="1:3">
      <c r="A562" s="107"/>
      <c r="B562" s="107"/>
      <c r="C562" s="40"/>
    </row>
    <row r="563" spans="1:3">
      <c r="A563" s="107"/>
      <c r="B563" s="107"/>
      <c r="C563" s="40"/>
    </row>
    <row r="564" spans="1:3">
      <c r="A564" s="107"/>
      <c r="B564" s="107"/>
      <c r="C564" s="40"/>
    </row>
    <row r="565" spans="1:3">
      <c r="A565" s="107"/>
      <c r="B565" s="107"/>
      <c r="C565" s="40"/>
    </row>
    <row r="566" spans="1:3">
      <c r="A566" s="107"/>
      <c r="B566" s="107"/>
      <c r="C566" s="40"/>
    </row>
    <row r="567" spans="1:3">
      <c r="A567" s="107"/>
      <c r="B567" s="107"/>
      <c r="C567" s="40"/>
    </row>
    <row r="568" spans="1:3">
      <c r="A568" s="107"/>
      <c r="B568" s="107"/>
      <c r="C568" s="40"/>
    </row>
    <row r="569" spans="1:3">
      <c r="A569" s="107"/>
      <c r="B569" s="107"/>
      <c r="C569" s="40"/>
    </row>
    <row r="570" spans="1:3">
      <c r="A570" s="107"/>
      <c r="B570" s="107"/>
      <c r="C570" s="40"/>
    </row>
    <row r="571" spans="1:3">
      <c r="A571" s="107"/>
      <c r="B571" s="107"/>
      <c r="C571" s="40"/>
    </row>
    <row r="572" spans="1:3">
      <c r="A572" s="107"/>
      <c r="B572" s="107"/>
      <c r="C572" s="40"/>
    </row>
    <row r="573" spans="1:3">
      <c r="A573" s="107"/>
      <c r="B573" s="107"/>
      <c r="C573" s="40"/>
    </row>
    <row r="574" spans="1:3">
      <c r="A574" s="107"/>
      <c r="B574" s="107"/>
      <c r="C574" s="40"/>
    </row>
    <row r="575" spans="1:3">
      <c r="A575" s="107"/>
      <c r="B575" s="107"/>
      <c r="C575" s="40"/>
    </row>
    <row r="576" spans="1:3">
      <c r="A576" s="107"/>
      <c r="B576" s="107"/>
      <c r="C576" s="40"/>
    </row>
    <row r="577" spans="1:3">
      <c r="A577" s="107"/>
      <c r="B577" s="107"/>
      <c r="C577" s="40"/>
    </row>
    <row r="578" spans="1:3">
      <c r="A578" s="107"/>
      <c r="B578" s="107"/>
      <c r="C578" s="40"/>
    </row>
    <row r="579" spans="1:3">
      <c r="A579" s="107"/>
      <c r="B579" s="107"/>
      <c r="C579" s="40"/>
    </row>
    <row r="580" spans="1:3">
      <c r="A580" s="107"/>
      <c r="B580" s="107"/>
      <c r="C580" s="40"/>
    </row>
    <row r="581" spans="1:3">
      <c r="A581" s="107"/>
      <c r="B581" s="107"/>
      <c r="C581" s="40"/>
    </row>
    <row r="582" spans="1:3">
      <c r="A582" s="107"/>
      <c r="B582" s="107"/>
      <c r="C582" s="40"/>
    </row>
    <row r="583" spans="1:3">
      <c r="A583" s="107"/>
      <c r="B583" s="107"/>
      <c r="C583" s="40"/>
    </row>
    <row r="584" spans="1:3">
      <c r="A584" s="107"/>
      <c r="B584" s="107"/>
      <c r="C584" s="40"/>
    </row>
    <row r="585" spans="1:3">
      <c r="A585" s="107"/>
      <c r="B585" s="107"/>
      <c r="C585" s="40"/>
    </row>
    <row r="586" spans="1:3">
      <c r="A586" s="107"/>
      <c r="B586" s="107"/>
      <c r="C586" s="40"/>
    </row>
    <row r="587" spans="1:3">
      <c r="A587" s="107"/>
      <c r="B587" s="107"/>
      <c r="C587" s="40"/>
    </row>
    <row r="588" spans="1:3">
      <c r="A588" s="107"/>
      <c r="B588" s="107"/>
      <c r="C588" s="40"/>
    </row>
    <row r="589" spans="1:3">
      <c r="A589" s="107"/>
      <c r="B589" s="107"/>
      <c r="C589" s="40"/>
    </row>
    <row r="590" spans="1:3">
      <c r="A590" s="107"/>
      <c r="B590" s="107"/>
      <c r="C590" s="40"/>
    </row>
    <row r="591" spans="1:3">
      <c r="A591" s="107"/>
      <c r="B591" s="107"/>
      <c r="C591" s="40"/>
    </row>
    <row r="592" spans="1:3">
      <c r="A592" s="107"/>
      <c r="B592" s="107"/>
      <c r="C592" s="40"/>
    </row>
    <row r="593" spans="1:3">
      <c r="A593" s="107"/>
      <c r="B593" s="107"/>
      <c r="C593" s="40"/>
    </row>
    <row r="594" spans="1:3">
      <c r="A594" s="107"/>
      <c r="B594" s="107"/>
      <c r="C594" s="40"/>
    </row>
    <row r="595" spans="1:3">
      <c r="A595" s="107"/>
      <c r="B595" s="107"/>
      <c r="C595" s="40"/>
    </row>
    <row r="596" spans="1:3">
      <c r="A596" s="107"/>
      <c r="B596" s="107"/>
      <c r="C596" s="40"/>
    </row>
    <row r="597" spans="1:3">
      <c r="A597" s="107"/>
      <c r="B597" s="107"/>
      <c r="C597" s="40"/>
    </row>
    <row r="598" spans="1:3">
      <c r="A598" s="107"/>
      <c r="B598" s="107"/>
      <c r="C598" s="40"/>
    </row>
    <row r="599" spans="1:3">
      <c r="A599" s="107"/>
      <c r="B599" s="107"/>
      <c r="C599" s="40"/>
    </row>
    <row r="600" spans="1:3">
      <c r="A600" s="107"/>
      <c r="B600" s="107"/>
      <c r="C600" s="40"/>
    </row>
    <row r="601" spans="1:3">
      <c r="A601" s="107"/>
      <c r="B601" s="107"/>
      <c r="C601" s="40"/>
    </row>
    <row r="602" spans="1:3">
      <c r="A602" s="107"/>
      <c r="B602" s="107"/>
      <c r="C602" s="40"/>
    </row>
    <row r="603" spans="1:3">
      <c r="A603" s="107"/>
      <c r="B603" s="107"/>
      <c r="C603" s="40"/>
    </row>
    <row r="604" spans="1:3">
      <c r="A604" s="107"/>
      <c r="B604" s="107"/>
      <c r="C604" s="40"/>
    </row>
    <row r="605" spans="1:3">
      <c r="A605" s="107"/>
      <c r="B605" s="107"/>
      <c r="C605" s="40"/>
    </row>
    <row r="606" spans="1:3">
      <c r="A606" s="107"/>
      <c r="B606" s="107"/>
      <c r="C606" s="40"/>
    </row>
    <row r="607" spans="1:3">
      <c r="A607" s="107"/>
      <c r="B607" s="107"/>
      <c r="C607" s="40"/>
    </row>
    <row r="608" spans="1:3">
      <c r="A608" s="107"/>
      <c r="B608" s="107"/>
      <c r="C608" s="40"/>
    </row>
    <row r="609" spans="1:3">
      <c r="A609" s="107"/>
      <c r="B609" s="107"/>
      <c r="C609" s="40"/>
    </row>
    <row r="610" spans="1:3">
      <c r="A610" s="107"/>
      <c r="B610" s="107"/>
      <c r="C610" s="40"/>
    </row>
    <row r="611" spans="1:3">
      <c r="A611" s="107"/>
      <c r="B611" s="107"/>
      <c r="C611" s="40"/>
    </row>
    <row r="612" spans="1:3">
      <c r="A612" s="107"/>
      <c r="B612" s="107"/>
      <c r="C612" s="40"/>
    </row>
    <row r="613" spans="1:3">
      <c r="A613" s="107"/>
      <c r="B613" s="107"/>
      <c r="C613" s="40"/>
    </row>
    <row r="614" spans="1:3">
      <c r="A614" s="107"/>
      <c r="B614" s="107"/>
      <c r="C614" s="40"/>
    </row>
    <row r="615" spans="1:3">
      <c r="A615" s="107"/>
      <c r="B615" s="107"/>
      <c r="C615" s="4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MIR TRANSPARENCIA</vt:lpstr>
      <vt:lpstr>Estadisticas_ enero-abril 2024</vt:lpstr>
      <vt:lpstr>Hoja 3</vt:lpstr>
      <vt:lpstr>ESTADÍSTICAS (DINÁMICO)</vt:lpstr>
      <vt:lpstr>Glosario KEY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Jessica Karina Albarran Ruiz</dc:creator>
  <cp:lastModifiedBy>Yehick Jeanette Flores Padilla</cp:lastModifiedBy>
  <dcterms:created xsi:type="dcterms:W3CDTF">2024-09-09T19:36:10Z</dcterms:created>
  <dcterms:modified xsi:type="dcterms:W3CDTF">2024-10-15T17:36:08Z</dcterms:modified>
</cp:coreProperties>
</file>