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4\TRANSPARENCIA 2024\FRACCIÓN IV\DICIEMBRE 2024\MIR TRANSPARENCIA\"/>
    </mc:Choice>
  </mc:AlternateContent>
  <bookViews>
    <workbookView xWindow="0" yWindow="0" windowWidth="28800" windowHeight="12435"/>
  </bookViews>
  <sheets>
    <sheet name="MIR DIF GDL 2024" sheetId="2" r:id="rId1"/>
    <sheet name="Hoja 3" sheetId="4" state="hidden" r:id="rId2"/>
    <sheet name="Glosario KEY" sheetId="5" state="hidden" r:id="rId3"/>
    <sheet name="ESTADÍSTICAS (DINÁMICO)" sheetId="6" state="hidden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I49" i="2" l="1"/>
  <c r="J49" i="2" s="1"/>
  <c r="I48" i="2"/>
  <c r="J48" i="2" s="1"/>
  <c r="I47" i="2"/>
  <c r="J47" i="2" s="1"/>
  <c r="I46" i="2"/>
  <c r="J46" i="2" s="1"/>
  <c r="I45" i="2"/>
  <c r="J45" i="2" s="1"/>
  <c r="J44" i="2"/>
  <c r="I44" i="2"/>
  <c r="I43" i="2"/>
  <c r="J43" i="2" s="1"/>
  <c r="I42" i="2"/>
  <c r="J42" i="2" s="1"/>
  <c r="J41" i="2"/>
  <c r="I41" i="2"/>
  <c r="I40" i="2"/>
  <c r="J40" i="2" s="1"/>
  <c r="I39" i="2"/>
  <c r="J39" i="2" s="1"/>
  <c r="J38" i="2"/>
  <c r="I38" i="2"/>
  <c r="I37" i="2"/>
  <c r="J37" i="2" s="1"/>
  <c r="I36" i="2"/>
  <c r="J36" i="2" s="1"/>
  <c r="J35" i="2"/>
  <c r="I35" i="2"/>
  <c r="K1021" i="6"/>
  <c r="G1021" i="6"/>
  <c r="C1021" i="6"/>
  <c r="L1020" i="6"/>
  <c r="H1020" i="6"/>
  <c r="D1020" i="6"/>
  <c r="M1019" i="6"/>
  <c r="I1019" i="6"/>
  <c r="E1019" i="6"/>
  <c r="A1019" i="6"/>
  <c r="J1018" i="6"/>
  <c r="F1018" i="6"/>
  <c r="B1018" i="6"/>
  <c r="K1017" i="6"/>
  <c r="G1017" i="6"/>
  <c r="C1017" i="6"/>
  <c r="L1016" i="6"/>
  <c r="H1016" i="6"/>
  <c r="D1016" i="6"/>
  <c r="M1015" i="6"/>
  <c r="I1015" i="6"/>
  <c r="E1015" i="6"/>
  <c r="A1015" i="6"/>
  <c r="J1014" i="6"/>
  <c r="F1014" i="6"/>
  <c r="B1014" i="6"/>
  <c r="K1013" i="6"/>
  <c r="G1013" i="6"/>
  <c r="J1021" i="6"/>
  <c r="F1021" i="6"/>
  <c r="B1021" i="6"/>
  <c r="K1020" i="6"/>
  <c r="G1020" i="6"/>
  <c r="C1020" i="6"/>
  <c r="L1019" i="6"/>
  <c r="H1019" i="6"/>
  <c r="D1019" i="6"/>
  <c r="M1018" i="6"/>
  <c r="I1018" i="6"/>
  <c r="E1018" i="6"/>
  <c r="A1018" i="6"/>
  <c r="J1017" i="6"/>
  <c r="F1017" i="6"/>
  <c r="B1017" i="6"/>
  <c r="K1016" i="6"/>
  <c r="G1016" i="6"/>
  <c r="C1016" i="6"/>
  <c r="L1015" i="6"/>
  <c r="H1015" i="6"/>
  <c r="D1015" i="6"/>
  <c r="M1014" i="6"/>
  <c r="I1014" i="6"/>
  <c r="E1014" i="6"/>
  <c r="A1014" i="6"/>
  <c r="J1013" i="6"/>
  <c r="F1013" i="6"/>
  <c r="B1013" i="6"/>
  <c r="K1012" i="6"/>
  <c r="G1012" i="6"/>
  <c r="C1012" i="6"/>
  <c r="L1011" i="6"/>
  <c r="H1011" i="6"/>
  <c r="D1011" i="6"/>
  <c r="M1010" i="6"/>
  <c r="I1010" i="6"/>
  <c r="E1010" i="6"/>
  <c r="A1010" i="6"/>
  <c r="J1009" i="6"/>
  <c r="F1009" i="6"/>
  <c r="B1009" i="6"/>
  <c r="K1008" i="6"/>
  <c r="G1008" i="6"/>
  <c r="C1008" i="6"/>
  <c r="L1007" i="6"/>
  <c r="H1007" i="6"/>
  <c r="D1007" i="6"/>
  <c r="M1006" i="6"/>
  <c r="I1006" i="6"/>
  <c r="E1006" i="6"/>
  <c r="A1006" i="6"/>
  <c r="J1005" i="6"/>
  <c r="F1005" i="6"/>
  <c r="B1005" i="6"/>
  <c r="K1004" i="6"/>
  <c r="G1004" i="6"/>
  <c r="C1004" i="6"/>
  <c r="L1003" i="6"/>
  <c r="H1003" i="6"/>
  <c r="D1003" i="6"/>
  <c r="M1002" i="6"/>
  <c r="I1002" i="6"/>
  <c r="E1002" i="6"/>
  <c r="M1021" i="6"/>
  <c r="I1021" i="6"/>
  <c r="E1021" i="6"/>
  <c r="A1021" i="6"/>
  <c r="J1020" i="6"/>
  <c r="F1020" i="6"/>
  <c r="B1020" i="6"/>
  <c r="K1019" i="6"/>
  <c r="G1019" i="6"/>
  <c r="C1019" i="6"/>
  <c r="L1018" i="6"/>
  <c r="H1018" i="6"/>
  <c r="D1018" i="6"/>
  <c r="M1017" i="6"/>
  <c r="I1017" i="6"/>
  <c r="E1017" i="6"/>
  <c r="A1017" i="6"/>
  <c r="J1016" i="6"/>
  <c r="F1016" i="6"/>
  <c r="B1016" i="6"/>
  <c r="K1015" i="6"/>
  <c r="G1015" i="6"/>
  <c r="C1015" i="6"/>
  <c r="L1014" i="6"/>
  <c r="H1014" i="6"/>
  <c r="D1014" i="6"/>
  <c r="M1013" i="6"/>
  <c r="I1013" i="6"/>
  <c r="E1013" i="6"/>
  <c r="A1013" i="6"/>
  <c r="J1012" i="6"/>
  <c r="F1012" i="6"/>
  <c r="B1012" i="6"/>
  <c r="K1011" i="6"/>
  <c r="G1011" i="6"/>
  <c r="C1011" i="6"/>
  <c r="L1010" i="6"/>
  <c r="H1010" i="6"/>
  <c r="D1010" i="6"/>
  <c r="M1009" i="6"/>
  <c r="I1009" i="6"/>
  <c r="E1009" i="6"/>
  <c r="A1009" i="6"/>
  <c r="J1008" i="6"/>
  <c r="F1008" i="6"/>
  <c r="B1008" i="6"/>
  <c r="K1007" i="6"/>
  <c r="G1007" i="6"/>
  <c r="C1007" i="6"/>
  <c r="L1006" i="6"/>
  <c r="H1006" i="6"/>
  <c r="D1006" i="6"/>
  <c r="M1005" i="6"/>
  <c r="I1005" i="6"/>
  <c r="E1005" i="6"/>
  <c r="A1005" i="6"/>
  <c r="J1004" i="6"/>
  <c r="F1004" i="6"/>
  <c r="B1004" i="6"/>
  <c r="K1003" i="6"/>
  <c r="G1003" i="6"/>
  <c r="C1003" i="6"/>
  <c r="L1002" i="6"/>
  <c r="L1021" i="6"/>
  <c r="H1021" i="6"/>
  <c r="D1021" i="6"/>
  <c r="M1020" i="6"/>
  <c r="I1020" i="6"/>
  <c r="E1020" i="6"/>
  <c r="A1020" i="6"/>
  <c r="J1019" i="6"/>
  <c r="F1019" i="6"/>
  <c r="B1019" i="6"/>
  <c r="K1018" i="6"/>
  <c r="G1018" i="6"/>
  <c r="C1018" i="6"/>
  <c r="L1017" i="6"/>
  <c r="H1017" i="6"/>
  <c r="D1017" i="6"/>
  <c r="M1016" i="6"/>
  <c r="I1016" i="6"/>
  <c r="E1016" i="6"/>
  <c r="A1016" i="6"/>
  <c r="J1015" i="6"/>
  <c r="F1015" i="6"/>
  <c r="B1015" i="6"/>
  <c r="K1014" i="6"/>
  <c r="G1014" i="6"/>
  <c r="C1014" i="6"/>
  <c r="L1013" i="6"/>
  <c r="H1013" i="6"/>
  <c r="D1013" i="6"/>
  <c r="M1012" i="6"/>
  <c r="I1012" i="6"/>
  <c r="E1012" i="6"/>
  <c r="A1012" i="6"/>
  <c r="J1011" i="6"/>
  <c r="F1011" i="6"/>
  <c r="B1011" i="6"/>
  <c r="K1010" i="6"/>
  <c r="G1010" i="6"/>
  <c r="C1010" i="6"/>
  <c r="L1009" i="6"/>
  <c r="H1009" i="6"/>
  <c r="D1009" i="6"/>
  <c r="M1008" i="6"/>
  <c r="I1008" i="6"/>
  <c r="E1008" i="6"/>
  <c r="A1008" i="6"/>
  <c r="J1007" i="6"/>
  <c r="F1007" i="6"/>
  <c r="B1007" i="6"/>
  <c r="K1006" i="6"/>
  <c r="G1006" i="6"/>
  <c r="C1006" i="6"/>
  <c r="L1005" i="6"/>
  <c r="H1005" i="6"/>
  <c r="D1005" i="6"/>
  <c r="M1004" i="6"/>
  <c r="I1004" i="6"/>
  <c r="E1004" i="6"/>
  <c r="A1004" i="6"/>
  <c r="J1003" i="6"/>
  <c r="F1003" i="6"/>
  <c r="B1003" i="6"/>
  <c r="K1002" i="6"/>
  <c r="G1002" i="6"/>
  <c r="C1013" i="6"/>
  <c r="M1011" i="6"/>
  <c r="J1010" i="6"/>
  <c r="G1009" i="6"/>
  <c r="D1008" i="6"/>
  <c r="A1007" i="6"/>
  <c r="K1005" i="6"/>
  <c r="H1004" i="6"/>
  <c r="E1003" i="6"/>
  <c r="F1002" i="6"/>
  <c r="A1002" i="6"/>
  <c r="J1001" i="6"/>
  <c r="F1001" i="6"/>
  <c r="B1001" i="6"/>
  <c r="K1000" i="6"/>
  <c r="G1000" i="6"/>
  <c r="C1000" i="6"/>
  <c r="L999" i="6"/>
  <c r="H999" i="6"/>
  <c r="D999" i="6"/>
  <c r="M998" i="6"/>
  <c r="I998" i="6"/>
  <c r="E998" i="6"/>
  <c r="A998" i="6"/>
  <c r="J997" i="6"/>
  <c r="F997" i="6"/>
  <c r="B997" i="6"/>
  <c r="K996" i="6"/>
  <c r="G996" i="6"/>
  <c r="C996" i="6"/>
  <c r="L995" i="6"/>
  <c r="H995" i="6"/>
  <c r="D995" i="6"/>
  <c r="M994" i="6"/>
  <c r="I994" i="6"/>
  <c r="E994" i="6"/>
  <c r="A994" i="6"/>
  <c r="J993" i="6"/>
  <c r="F993" i="6"/>
  <c r="B993" i="6"/>
  <c r="K992" i="6"/>
  <c r="G992" i="6"/>
  <c r="C992" i="6"/>
  <c r="L991" i="6"/>
  <c r="H991" i="6"/>
  <c r="D991" i="6"/>
  <c r="M990" i="6"/>
  <c r="I990" i="6"/>
  <c r="E990" i="6"/>
  <c r="A990" i="6"/>
  <c r="J989" i="6"/>
  <c r="F989" i="6"/>
  <c r="B989" i="6"/>
  <c r="K988" i="6"/>
  <c r="G988" i="6"/>
  <c r="C988" i="6"/>
  <c r="L987" i="6"/>
  <c r="H987" i="6"/>
  <c r="D987" i="6"/>
  <c r="M986" i="6"/>
  <c r="I986" i="6"/>
  <c r="E986" i="6"/>
  <c r="A986" i="6"/>
  <c r="J985" i="6"/>
  <c r="F985" i="6"/>
  <c r="B985" i="6"/>
  <c r="K984" i="6"/>
  <c r="G984" i="6"/>
  <c r="C984" i="6"/>
  <c r="L983" i="6"/>
  <c r="H983" i="6"/>
  <c r="D983" i="6"/>
  <c r="M982" i="6"/>
  <c r="I982" i="6"/>
  <c r="E982" i="6"/>
  <c r="A982" i="6"/>
  <c r="J981" i="6"/>
  <c r="F981" i="6"/>
  <c r="B981" i="6"/>
  <c r="K980" i="6"/>
  <c r="G980" i="6"/>
  <c r="C980" i="6"/>
  <c r="L979" i="6"/>
  <c r="H979" i="6"/>
  <c r="D979" i="6"/>
  <c r="M978" i="6"/>
  <c r="I978" i="6"/>
  <c r="E978" i="6"/>
  <c r="A978" i="6"/>
  <c r="J977" i="6"/>
  <c r="F977" i="6"/>
  <c r="B977" i="6"/>
  <c r="K976" i="6"/>
  <c r="G976" i="6"/>
  <c r="L1012" i="6"/>
  <c r="I1011" i="6"/>
  <c r="F1010" i="6"/>
  <c r="C1009" i="6"/>
  <c r="M1007" i="6"/>
  <c r="J1006" i="6"/>
  <c r="G1005" i="6"/>
  <c r="D1004" i="6"/>
  <c r="A1003" i="6"/>
  <c r="D1002" i="6"/>
  <c r="M1001" i="6"/>
  <c r="I1001" i="6"/>
  <c r="E1001" i="6"/>
  <c r="A1001" i="6"/>
  <c r="J1000" i="6"/>
  <c r="F1000" i="6"/>
  <c r="B1000" i="6"/>
  <c r="K999" i="6"/>
  <c r="G999" i="6"/>
  <c r="C999" i="6"/>
  <c r="L998" i="6"/>
  <c r="H998" i="6"/>
  <c r="D998" i="6"/>
  <c r="M997" i="6"/>
  <c r="I997" i="6"/>
  <c r="E997" i="6"/>
  <c r="A997" i="6"/>
  <c r="J996" i="6"/>
  <c r="F996" i="6"/>
  <c r="B996" i="6"/>
  <c r="K995" i="6"/>
  <c r="G995" i="6"/>
  <c r="C995" i="6"/>
  <c r="L994" i="6"/>
  <c r="H994" i="6"/>
  <c r="D994" i="6"/>
  <c r="M993" i="6"/>
  <c r="I993" i="6"/>
  <c r="E993" i="6"/>
  <c r="A993" i="6"/>
  <c r="J992" i="6"/>
  <c r="F992" i="6"/>
  <c r="B992" i="6"/>
  <c r="K991" i="6"/>
  <c r="G991" i="6"/>
  <c r="C991" i="6"/>
  <c r="L990" i="6"/>
  <c r="H990" i="6"/>
  <c r="D990" i="6"/>
  <c r="M989" i="6"/>
  <c r="I989" i="6"/>
  <c r="E989" i="6"/>
  <c r="A989" i="6"/>
  <c r="J988" i="6"/>
  <c r="F988" i="6"/>
  <c r="B988" i="6"/>
  <c r="K987" i="6"/>
  <c r="G987" i="6"/>
  <c r="C987" i="6"/>
  <c r="L986" i="6"/>
  <c r="H986" i="6"/>
  <c r="D986" i="6"/>
  <c r="M985" i="6"/>
  <c r="I985" i="6"/>
  <c r="E985" i="6"/>
  <c r="A985" i="6"/>
  <c r="J984" i="6"/>
  <c r="F984" i="6"/>
  <c r="B984" i="6"/>
  <c r="K983" i="6"/>
  <c r="G983" i="6"/>
  <c r="C983" i="6"/>
  <c r="L982" i="6"/>
  <c r="H982" i="6"/>
  <c r="D982" i="6"/>
  <c r="M981" i="6"/>
  <c r="I981" i="6"/>
  <c r="E981" i="6"/>
  <c r="A981" i="6"/>
  <c r="J980" i="6"/>
  <c r="F980" i="6"/>
  <c r="B980" i="6"/>
  <c r="K979" i="6"/>
  <c r="G979" i="6"/>
  <c r="C979" i="6"/>
  <c r="L978" i="6"/>
  <c r="H978" i="6"/>
  <c r="D978" i="6"/>
  <c r="M977" i="6"/>
  <c r="I977" i="6"/>
  <c r="E977" i="6"/>
  <c r="A977" i="6"/>
  <c r="J976" i="6"/>
  <c r="F976" i="6"/>
  <c r="B976" i="6"/>
  <c r="K975" i="6"/>
  <c r="G975" i="6"/>
  <c r="C975" i="6"/>
  <c r="L974" i="6"/>
  <c r="H974" i="6"/>
  <c r="D974" i="6"/>
  <c r="M973" i="6"/>
  <c r="I973" i="6"/>
  <c r="E973" i="6"/>
  <c r="A973" i="6"/>
  <c r="J972" i="6"/>
  <c r="F972" i="6"/>
  <c r="B972" i="6"/>
  <c r="K971" i="6"/>
  <c r="G971" i="6"/>
  <c r="C971" i="6"/>
  <c r="L970" i="6"/>
  <c r="H970" i="6"/>
  <c r="D970" i="6"/>
  <c r="M969" i="6"/>
  <c r="I969" i="6"/>
  <c r="E969" i="6"/>
  <c r="A969" i="6"/>
  <c r="J968" i="6"/>
  <c r="F968" i="6"/>
  <c r="B968" i="6"/>
  <c r="K967" i="6"/>
  <c r="G967" i="6"/>
  <c r="C967" i="6"/>
  <c r="L966" i="6"/>
  <c r="H966" i="6"/>
  <c r="D966" i="6"/>
  <c r="M965" i="6"/>
  <c r="H1012" i="6"/>
  <c r="E1011" i="6"/>
  <c r="B1010" i="6"/>
  <c r="L1008" i="6"/>
  <c r="I1007" i="6"/>
  <c r="F1006" i="6"/>
  <c r="C1005" i="6"/>
  <c r="M1003" i="6"/>
  <c r="J1002" i="6"/>
  <c r="C1002" i="6"/>
  <c r="L1001" i="6"/>
  <c r="H1001" i="6"/>
  <c r="D1001" i="6"/>
  <c r="M1000" i="6"/>
  <c r="I1000" i="6"/>
  <c r="E1000" i="6"/>
  <c r="A1000" i="6"/>
  <c r="J999" i="6"/>
  <c r="F999" i="6"/>
  <c r="B999" i="6"/>
  <c r="K998" i="6"/>
  <c r="G998" i="6"/>
  <c r="C998" i="6"/>
  <c r="L997" i="6"/>
  <c r="H997" i="6"/>
  <c r="D997" i="6"/>
  <c r="M996" i="6"/>
  <c r="I996" i="6"/>
  <c r="E996" i="6"/>
  <c r="A996" i="6"/>
  <c r="J995" i="6"/>
  <c r="F995" i="6"/>
  <c r="B995" i="6"/>
  <c r="K994" i="6"/>
  <c r="G994" i="6"/>
  <c r="C994" i="6"/>
  <c r="L993" i="6"/>
  <c r="H993" i="6"/>
  <c r="D993" i="6"/>
  <c r="M992" i="6"/>
  <c r="I992" i="6"/>
  <c r="E992" i="6"/>
  <c r="A992" i="6"/>
  <c r="J991" i="6"/>
  <c r="F991" i="6"/>
  <c r="B991" i="6"/>
  <c r="K990" i="6"/>
  <c r="G990" i="6"/>
  <c r="C990" i="6"/>
  <c r="L989" i="6"/>
  <c r="H989" i="6"/>
  <c r="D989" i="6"/>
  <c r="M988" i="6"/>
  <c r="I988" i="6"/>
  <c r="E988" i="6"/>
  <c r="A988" i="6"/>
  <c r="J987" i="6"/>
  <c r="F987" i="6"/>
  <c r="B987" i="6"/>
  <c r="K986" i="6"/>
  <c r="G986" i="6"/>
  <c r="C986" i="6"/>
  <c r="L985" i="6"/>
  <c r="H985" i="6"/>
  <c r="D985" i="6"/>
  <c r="M984" i="6"/>
  <c r="I984" i="6"/>
  <c r="E984" i="6"/>
  <c r="A984" i="6"/>
  <c r="J983" i="6"/>
  <c r="F983" i="6"/>
  <c r="B983" i="6"/>
  <c r="K982" i="6"/>
  <c r="G982" i="6"/>
  <c r="C982" i="6"/>
  <c r="L981" i="6"/>
  <c r="H981" i="6"/>
  <c r="D981" i="6"/>
  <c r="M980" i="6"/>
  <c r="I980" i="6"/>
  <c r="E980" i="6"/>
  <c r="A980" i="6"/>
  <c r="J979" i="6"/>
  <c r="F979" i="6"/>
  <c r="B979" i="6"/>
  <c r="K978" i="6"/>
  <c r="G978" i="6"/>
  <c r="C978" i="6"/>
  <c r="L977" i="6"/>
  <c r="H977" i="6"/>
  <c r="D977" i="6"/>
  <c r="M976" i="6"/>
  <c r="I976" i="6"/>
  <c r="E976" i="6"/>
  <c r="A976" i="6"/>
  <c r="J975" i="6"/>
  <c r="F975" i="6"/>
  <c r="B975" i="6"/>
  <c r="K974" i="6"/>
  <c r="G974" i="6"/>
  <c r="C974" i="6"/>
  <c r="L973" i="6"/>
  <c r="H973" i="6"/>
  <c r="D973" i="6"/>
  <c r="M972" i="6"/>
  <c r="I972" i="6"/>
  <c r="E972" i="6"/>
  <c r="A972" i="6"/>
  <c r="J971" i="6"/>
  <c r="F971" i="6"/>
  <c r="B971" i="6"/>
  <c r="K970" i="6"/>
  <c r="G970" i="6"/>
  <c r="C970" i="6"/>
  <c r="L969" i="6"/>
  <c r="H969" i="6"/>
  <c r="D969" i="6"/>
  <c r="M968" i="6"/>
  <c r="I968" i="6"/>
  <c r="E968" i="6"/>
  <c r="A968" i="6"/>
  <c r="J967" i="6"/>
  <c r="F967" i="6"/>
  <c r="B967" i="6"/>
  <c r="K966" i="6"/>
  <c r="G966" i="6"/>
  <c r="C966" i="6"/>
  <c r="D1012" i="6"/>
  <c r="A1011" i="6"/>
  <c r="K1009" i="6"/>
  <c r="H1008" i="6"/>
  <c r="E1007" i="6"/>
  <c r="B1006" i="6"/>
  <c r="L1004" i="6"/>
  <c r="I1003" i="6"/>
  <c r="H1002" i="6"/>
  <c r="B1002" i="6"/>
  <c r="K1001" i="6"/>
  <c r="G1001" i="6"/>
  <c r="C1001" i="6"/>
  <c r="L1000" i="6"/>
  <c r="H1000" i="6"/>
  <c r="D1000" i="6"/>
  <c r="M999" i="6"/>
  <c r="I999" i="6"/>
  <c r="E999" i="6"/>
  <c r="A999" i="6"/>
  <c r="J998" i="6"/>
  <c r="F998" i="6"/>
  <c r="B998" i="6"/>
  <c r="K997" i="6"/>
  <c r="G997" i="6"/>
  <c r="C997" i="6"/>
  <c r="L996" i="6"/>
  <c r="H996" i="6"/>
  <c r="D996" i="6"/>
  <c r="M995" i="6"/>
  <c r="I995" i="6"/>
  <c r="E995" i="6"/>
  <c r="A995" i="6"/>
  <c r="J994" i="6"/>
  <c r="F994" i="6"/>
  <c r="B994" i="6"/>
  <c r="K993" i="6"/>
  <c r="G993" i="6"/>
  <c r="C993" i="6"/>
  <c r="L992" i="6"/>
  <c r="H992" i="6"/>
  <c r="D992" i="6"/>
  <c r="M991" i="6"/>
  <c r="I991" i="6"/>
  <c r="E991" i="6"/>
  <c r="A991" i="6"/>
  <c r="J990" i="6"/>
  <c r="F990" i="6"/>
  <c r="B990" i="6"/>
  <c r="K989" i="6"/>
  <c r="G989" i="6"/>
  <c r="C989" i="6"/>
  <c r="L988" i="6"/>
  <c r="H988" i="6"/>
  <c r="D988" i="6"/>
  <c r="M987" i="6"/>
  <c r="I987" i="6"/>
  <c r="E987" i="6"/>
  <c r="A987" i="6"/>
  <c r="J986" i="6"/>
  <c r="F986" i="6"/>
  <c r="B986" i="6"/>
  <c r="K985" i="6"/>
  <c r="G985" i="6"/>
  <c r="C985" i="6"/>
  <c r="L984" i="6"/>
  <c r="H984" i="6"/>
  <c r="D984" i="6"/>
  <c r="M983" i="6"/>
  <c r="I983" i="6"/>
  <c r="E983" i="6"/>
  <c r="A983" i="6"/>
  <c r="J982" i="6"/>
  <c r="F982" i="6"/>
  <c r="B982" i="6"/>
  <c r="K981" i="6"/>
  <c r="G981" i="6"/>
  <c r="C981" i="6"/>
  <c r="L980" i="6"/>
  <c r="H980" i="6"/>
  <c r="D980" i="6"/>
  <c r="M979" i="6"/>
  <c r="I979" i="6"/>
  <c r="E979" i="6"/>
  <c r="A979" i="6"/>
  <c r="J978" i="6"/>
  <c r="F978" i="6"/>
  <c r="B978" i="6"/>
  <c r="K977" i="6"/>
  <c r="G977" i="6"/>
  <c r="C977" i="6"/>
  <c r="L976" i="6"/>
  <c r="H976" i="6"/>
  <c r="D976" i="6"/>
  <c r="M975" i="6"/>
  <c r="I975" i="6"/>
  <c r="E975" i="6"/>
  <c r="A975" i="6"/>
  <c r="J974" i="6"/>
  <c r="F974" i="6"/>
  <c r="B974" i="6"/>
  <c r="K973" i="6"/>
  <c r="G973" i="6"/>
  <c r="C973" i="6"/>
  <c r="L972" i="6"/>
  <c r="H972" i="6"/>
  <c r="D972" i="6"/>
  <c r="M971" i="6"/>
  <c r="I971" i="6"/>
  <c r="E971" i="6"/>
  <c r="A971" i="6"/>
  <c r="J970" i="6"/>
  <c r="F970" i="6"/>
  <c r="B970" i="6"/>
  <c r="K969" i="6"/>
  <c r="G969" i="6"/>
  <c r="C969" i="6"/>
  <c r="L968" i="6"/>
  <c r="H968" i="6"/>
  <c r="D968" i="6"/>
  <c r="M967" i="6"/>
  <c r="I967" i="6"/>
  <c r="E967" i="6"/>
  <c r="A967" i="6"/>
  <c r="J966" i="6"/>
  <c r="F966" i="6"/>
  <c r="B966" i="6"/>
  <c r="K965" i="6"/>
  <c r="C976" i="6"/>
  <c r="M974" i="6"/>
  <c r="J973" i="6"/>
  <c r="G972" i="6"/>
  <c r="D971" i="6"/>
  <c r="A970" i="6"/>
  <c r="K968" i="6"/>
  <c r="H967" i="6"/>
  <c r="E966" i="6"/>
  <c r="I965" i="6"/>
  <c r="E965" i="6"/>
  <c r="A965" i="6"/>
  <c r="J964" i="6"/>
  <c r="F964" i="6"/>
  <c r="B964" i="6"/>
  <c r="K963" i="6"/>
  <c r="G963" i="6"/>
  <c r="C963" i="6"/>
  <c r="L962" i="6"/>
  <c r="H962" i="6"/>
  <c r="D962" i="6"/>
  <c r="M961" i="6"/>
  <c r="I961" i="6"/>
  <c r="E961" i="6"/>
  <c r="A961" i="6"/>
  <c r="J960" i="6"/>
  <c r="F960" i="6"/>
  <c r="B960" i="6"/>
  <c r="K959" i="6"/>
  <c r="G959" i="6"/>
  <c r="C959" i="6"/>
  <c r="L958" i="6"/>
  <c r="H958" i="6"/>
  <c r="D958" i="6"/>
  <c r="M957" i="6"/>
  <c r="I957" i="6"/>
  <c r="E957" i="6"/>
  <c r="A957" i="6"/>
  <c r="J956" i="6"/>
  <c r="F956" i="6"/>
  <c r="B956" i="6"/>
  <c r="K955" i="6"/>
  <c r="G955" i="6"/>
  <c r="C955" i="6"/>
  <c r="L954" i="6"/>
  <c r="H954" i="6"/>
  <c r="D954" i="6"/>
  <c r="M953" i="6"/>
  <c r="I953" i="6"/>
  <c r="E953" i="6"/>
  <c r="A953" i="6"/>
  <c r="J952" i="6"/>
  <c r="F952" i="6"/>
  <c r="B952" i="6"/>
  <c r="K951" i="6"/>
  <c r="G951" i="6"/>
  <c r="C951" i="6"/>
  <c r="L950" i="6"/>
  <c r="H950" i="6"/>
  <c r="D950" i="6"/>
  <c r="M949" i="6"/>
  <c r="I949" i="6"/>
  <c r="E949" i="6"/>
  <c r="A949" i="6"/>
  <c r="J948" i="6"/>
  <c r="F948" i="6"/>
  <c r="B948" i="6"/>
  <c r="K947" i="6"/>
  <c r="G947" i="6"/>
  <c r="C947" i="6"/>
  <c r="L946" i="6"/>
  <c r="H946" i="6"/>
  <c r="D946" i="6"/>
  <c r="M945" i="6"/>
  <c r="I945" i="6"/>
  <c r="E945" i="6"/>
  <c r="A945" i="6"/>
  <c r="J944" i="6"/>
  <c r="F944" i="6"/>
  <c r="B944" i="6"/>
  <c r="K943" i="6"/>
  <c r="G943" i="6"/>
  <c r="C943" i="6"/>
  <c r="L942" i="6"/>
  <c r="H942" i="6"/>
  <c r="D942" i="6"/>
  <c r="M941" i="6"/>
  <c r="I941" i="6"/>
  <c r="E941" i="6"/>
  <c r="A941" i="6"/>
  <c r="J940" i="6"/>
  <c r="F940" i="6"/>
  <c r="B940" i="6"/>
  <c r="K939" i="6"/>
  <c r="G939" i="6"/>
  <c r="C939" i="6"/>
  <c r="L938" i="6"/>
  <c r="H938" i="6"/>
  <c r="D938" i="6"/>
  <c r="M937" i="6"/>
  <c r="I937" i="6"/>
  <c r="E937" i="6"/>
  <c r="A937" i="6"/>
  <c r="J936" i="6"/>
  <c r="F936" i="6"/>
  <c r="B936" i="6"/>
  <c r="K935" i="6"/>
  <c r="G935" i="6"/>
  <c r="C935" i="6"/>
  <c r="L934" i="6"/>
  <c r="H934" i="6"/>
  <c r="D934" i="6"/>
  <c r="M933" i="6"/>
  <c r="I933" i="6"/>
  <c r="E933" i="6"/>
  <c r="A933" i="6"/>
  <c r="J932" i="6"/>
  <c r="F932" i="6"/>
  <c r="B932" i="6"/>
  <c r="K931" i="6"/>
  <c r="G931" i="6"/>
  <c r="C931" i="6"/>
  <c r="L930" i="6"/>
  <c r="H930" i="6"/>
  <c r="D930" i="6"/>
  <c r="M929" i="6"/>
  <c r="I929" i="6"/>
  <c r="L975" i="6"/>
  <c r="I974" i="6"/>
  <c r="F973" i="6"/>
  <c r="C972" i="6"/>
  <c r="M970" i="6"/>
  <c r="J969" i="6"/>
  <c r="G968" i="6"/>
  <c r="D967" i="6"/>
  <c r="A966" i="6"/>
  <c r="H965" i="6"/>
  <c r="D965" i="6"/>
  <c r="M964" i="6"/>
  <c r="I964" i="6"/>
  <c r="E964" i="6"/>
  <c r="A964" i="6"/>
  <c r="J963" i="6"/>
  <c r="F963" i="6"/>
  <c r="B963" i="6"/>
  <c r="K962" i="6"/>
  <c r="G962" i="6"/>
  <c r="C962" i="6"/>
  <c r="L961" i="6"/>
  <c r="H961" i="6"/>
  <c r="D961" i="6"/>
  <c r="M960" i="6"/>
  <c r="I960" i="6"/>
  <c r="E960" i="6"/>
  <c r="A960" i="6"/>
  <c r="J959" i="6"/>
  <c r="F959" i="6"/>
  <c r="B959" i="6"/>
  <c r="K958" i="6"/>
  <c r="G958" i="6"/>
  <c r="C958" i="6"/>
  <c r="L957" i="6"/>
  <c r="H957" i="6"/>
  <c r="D957" i="6"/>
  <c r="M956" i="6"/>
  <c r="I956" i="6"/>
  <c r="E956" i="6"/>
  <c r="A956" i="6"/>
  <c r="J955" i="6"/>
  <c r="F955" i="6"/>
  <c r="B955" i="6"/>
  <c r="K954" i="6"/>
  <c r="G954" i="6"/>
  <c r="C954" i="6"/>
  <c r="L953" i="6"/>
  <c r="H953" i="6"/>
  <c r="D953" i="6"/>
  <c r="M952" i="6"/>
  <c r="I952" i="6"/>
  <c r="E952" i="6"/>
  <c r="A952" i="6"/>
  <c r="J951" i="6"/>
  <c r="F951" i="6"/>
  <c r="B951" i="6"/>
  <c r="K950" i="6"/>
  <c r="G950" i="6"/>
  <c r="C950" i="6"/>
  <c r="L949" i="6"/>
  <c r="H949" i="6"/>
  <c r="D949" i="6"/>
  <c r="M948" i="6"/>
  <c r="I948" i="6"/>
  <c r="E948" i="6"/>
  <c r="A948" i="6"/>
  <c r="J947" i="6"/>
  <c r="F947" i="6"/>
  <c r="B947" i="6"/>
  <c r="K946" i="6"/>
  <c r="G946" i="6"/>
  <c r="C946" i="6"/>
  <c r="L945" i="6"/>
  <c r="H945" i="6"/>
  <c r="D945" i="6"/>
  <c r="M944" i="6"/>
  <c r="I944" i="6"/>
  <c r="E944" i="6"/>
  <c r="A944" i="6"/>
  <c r="J943" i="6"/>
  <c r="F943" i="6"/>
  <c r="B943" i="6"/>
  <c r="K942" i="6"/>
  <c r="G942" i="6"/>
  <c r="C942" i="6"/>
  <c r="L941" i="6"/>
  <c r="H941" i="6"/>
  <c r="D941" i="6"/>
  <c r="M940" i="6"/>
  <c r="I940" i="6"/>
  <c r="E940" i="6"/>
  <c r="A940" i="6"/>
  <c r="J939" i="6"/>
  <c r="F939" i="6"/>
  <c r="B939" i="6"/>
  <c r="K938" i="6"/>
  <c r="G938" i="6"/>
  <c r="C938" i="6"/>
  <c r="L937" i="6"/>
  <c r="H937" i="6"/>
  <c r="D937" i="6"/>
  <c r="M936" i="6"/>
  <c r="I936" i="6"/>
  <c r="E936" i="6"/>
  <c r="A936" i="6"/>
  <c r="J935" i="6"/>
  <c r="F935" i="6"/>
  <c r="B935" i="6"/>
  <c r="K934" i="6"/>
  <c r="G934" i="6"/>
  <c r="C934" i="6"/>
  <c r="L933" i="6"/>
  <c r="H933" i="6"/>
  <c r="D933" i="6"/>
  <c r="M932" i="6"/>
  <c r="I932" i="6"/>
  <c r="E932" i="6"/>
  <c r="A932" i="6"/>
  <c r="J931" i="6"/>
  <c r="F931" i="6"/>
  <c r="B931" i="6"/>
  <c r="K930" i="6"/>
  <c r="G930" i="6"/>
  <c r="C930" i="6"/>
  <c r="L929" i="6"/>
  <c r="H929" i="6"/>
  <c r="D929" i="6"/>
  <c r="M928" i="6"/>
  <c r="I928" i="6"/>
  <c r="E928" i="6"/>
  <c r="A928" i="6"/>
  <c r="J927" i="6"/>
  <c r="F927" i="6"/>
  <c r="B927" i="6"/>
  <c r="K926" i="6"/>
  <c r="G926" i="6"/>
  <c r="C926" i="6"/>
  <c r="L925" i="6"/>
  <c r="H925" i="6"/>
  <c r="D925" i="6"/>
  <c r="M924" i="6"/>
  <c r="I924" i="6"/>
  <c r="E924" i="6"/>
  <c r="A924" i="6"/>
  <c r="J923" i="6"/>
  <c r="F923" i="6"/>
  <c r="B923" i="6"/>
  <c r="K922" i="6"/>
  <c r="G922" i="6"/>
  <c r="C922" i="6"/>
  <c r="L921" i="6"/>
  <c r="H921" i="6"/>
  <c r="D921" i="6"/>
  <c r="M920" i="6"/>
  <c r="I920" i="6"/>
  <c r="E920" i="6"/>
  <c r="A920" i="6"/>
  <c r="J919" i="6"/>
  <c r="F919" i="6"/>
  <c r="H975" i="6"/>
  <c r="E974" i="6"/>
  <c r="B973" i="6"/>
  <c r="L971" i="6"/>
  <c r="I970" i="6"/>
  <c r="F969" i="6"/>
  <c r="C968" i="6"/>
  <c r="M966" i="6"/>
  <c r="L965" i="6"/>
  <c r="G965" i="6"/>
  <c r="C965" i="6"/>
  <c r="L964" i="6"/>
  <c r="H964" i="6"/>
  <c r="D964" i="6"/>
  <c r="M963" i="6"/>
  <c r="I963" i="6"/>
  <c r="E963" i="6"/>
  <c r="A963" i="6"/>
  <c r="J962" i="6"/>
  <c r="F962" i="6"/>
  <c r="B962" i="6"/>
  <c r="K961" i="6"/>
  <c r="G961" i="6"/>
  <c r="C961" i="6"/>
  <c r="L960" i="6"/>
  <c r="H960" i="6"/>
  <c r="D960" i="6"/>
  <c r="M959" i="6"/>
  <c r="I959" i="6"/>
  <c r="E959" i="6"/>
  <c r="A959" i="6"/>
  <c r="J958" i="6"/>
  <c r="F958" i="6"/>
  <c r="B958" i="6"/>
  <c r="K957" i="6"/>
  <c r="G957" i="6"/>
  <c r="C957" i="6"/>
  <c r="L956" i="6"/>
  <c r="H956" i="6"/>
  <c r="D956" i="6"/>
  <c r="M955" i="6"/>
  <c r="I955" i="6"/>
  <c r="E955" i="6"/>
  <c r="A955" i="6"/>
  <c r="J954" i="6"/>
  <c r="F954" i="6"/>
  <c r="B954" i="6"/>
  <c r="K953" i="6"/>
  <c r="G953" i="6"/>
  <c r="C953" i="6"/>
  <c r="L952" i="6"/>
  <c r="H952" i="6"/>
  <c r="D952" i="6"/>
  <c r="M951" i="6"/>
  <c r="I951" i="6"/>
  <c r="E951" i="6"/>
  <c r="A951" i="6"/>
  <c r="J950" i="6"/>
  <c r="F950" i="6"/>
  <c r="B950" i="6"/>
  <c r="K949" i="6"/>
  <c r="G949" i="6"/>
  <c r="C949" i="6"/>
  <c r="L948" i="6"/>
  <c r="H948" i="6"/>
  <c r="D948" i="6"/>
  <c r="M947" i="6"/>
  <c r="I947" i="6"/>
  <c r="E947" i="6"/>
  <c r="A947" i="6"/>
  <c r="J946" i="6"/>
  <c r="F946" i="6"/>
  <c r="B946" i="6"/>
  <c r="K945" i="6"/>
  <c r="G945" i="6"/>
  <c r="C945" i="6"/>
  <c r="L944" i="6"/>
  <c r="H944" i="6"/>
  <c r="D944" i="6"/>
  <c r="M943" i="6"/>
  <c r="I943" i="6"/>
  <c r="E943" i="6"/>
  <c r="A943" i="6"/>
  <c r="J942" i="6"/>
  <c r="F942" i="6"/>
  <c r="B942" i="6"/>
  <c r="K941" i="6"/>
  <c r="G941" i="6"/>
  <c r="C941" i="6"/>
  <c r="L940" i="6"/>
  <c r="H940" i="6"/>
  <c r="D940" i="6"/>
  <c r="M939" i="6"/>
  <c r="I939" i="6"/>
  <c r="E939" i="6"/>
  <c r="A939" i="6"/>
  <c r="J938" i="6"/>
  <c r="F938" i="6"/>
  <c r="B938" i="6"/>
  <c r="K937" i="6"/>
  <c r="G937" i="6"/>
  <c r="C937" i="6"/>
  <c r="L936" i="6"/>
  <c r="H936" i="6"/>
  <c r="D936" i="6"/>
  <c r="M935" i="6"/>
  <c r="I935" i="6"/>
  <c r="E935" i="6"/>
  <c r="A935" i="6"/>
  <c r="J934" i="6"/>
  <c r="F934" i="6"/>
  <c r="B934" i="6"/>
  <c r="K933" i="6"/>
  <c r="G933" i="6"/>
  <c r="C933" i="6"/>
  <c r="L932" i="6"/>
  <c r="H932" i="6"/>
  <c r="D932" i="6"/>
  <c r="M931" i="6"/>
  <c r="I931" i="6"/>
  <c r="E931" i="6"/>
  <c r="A931" i="6"/>
  <c r="J930" i="6"/>
  <c r="F930" i="6"/>
  <c r="B930" i="6"/>
  <c r="K929" i="6"/>
  <c r="G929" i="6"/>
  <c r="C929" i="6"/>
  <c r="L928" i="6"/>
  <c r="H928" i="6"/>
  <c r="D928" i="6"/>
  <c r="M927" i="6"/>
  <c r="I927" i="6"/>
  <c r="E927" i="6"/>
  <c r="A927" i="6"/>
  <c r="J926" i="6"/>
  <c r="F926" i="6"/>
  <c r="B926" i="6"/>
  <c r="K925" i="6"/>
  <c r="G925" i="6"/>
  <c r="C925" i="6"/>
  <c r="L924" i="6"/>
  <c r="H924" i="6"/>
  <c r="D924" i="6"/>
  <c r="M923" i="6"/>
  <c r="I923" i="6"/>
  <c r="E923" i="6"/>
  <c r="A923" i="6"/>
  <c r="J922" i="6"/>
  <c r="F922" i="6"/>
  <c r="B922" i="6"/>
  <c r="K921" i="6"/>
  <c r="G921" i="6"/>
  <c r="C921" i="6"/>
  <c r="L920" i="6"/>
  <c r="H920" i="6"/>
  <c r="D920" i="6"/>
  <c r="M919" i="6"/>
  <c r="I919" i="6"/>
  <c r="D975" i="6"/>
  <c r="A974" i="6"/>
  <c r="K972" i="6"/>
  <c r="H971" i="6"/>
  <c r="E970" i="6"/>
  <c r="B969" i="6"/>
  <c r="L967" i="6"/>
  <c r="I966" i="6"/>
  <c r="J965" i="6"/>
  <c r="F965" i="6"/>
  <c r="B965" i="6"/>
  <c r="K964" i="6"/>
  <c r="G964" i="6"/>
  <c r="C964" i="6"/>
  <c r="L963" i="6"/>
  <c r="H963" i="6"/>
  <c r="D963" i="6"/>
  <c r="M962" i="6"/>
  <c r="I962" i="6"/>
  <c r="E962" i="6"/>
  <c r="A962" i="6"/>
  <c r="J961" i="6"/>
  <c r="F961" i="6"/>
  <c r="B961" i="6"/>
  <c r="K960" i="6"/>
  <c r="G960" i="6"/>
  <c r="C960" i="6"/>
  <c r="L959" i="6"/>
  <c r="H959" i="6"/>
  <c r="D959" i="6"/>
  <c r="M958" i="6"/>
  <c r="I958" i="6"/>
  <c r="E958" i="6"/>
  <c r="A958" i="6"/>
  <c r="J957" i="6"/>
  <c r="F957" i="6"/>
  <c r="B957" i="6"/>
  <c r="K956" i="6"/>
  <c r="G956" i="6"/>
  <c r="C956" i="6"/>
  <c r="L955" i="6"/>
  <c r="H955" i="6"/>
  <c r="D955" i="6"/>
  <c r="M954" i="6"/>
  <c r="I954" i="6"/>
  <c r="E954" i="6"/>
  <c r="A954" i="6"/>
  <c r="J953" i="6"/>
  <c r="F953" i="6"/>
  <c r="B953" i="6"/>
  <c r="K952" i="6"/>
  <c r="G952" i="6"/>
  <c r="C952" i="6"/>
  <c r="L951" i="6"/>
  <c r="H951" i="6"/>
  <c r="D951" i="6"/>
  <c r="M950" i="6"/>
  <c r="I950" i="6"/>
  <c r="E950" i="6"/>
  <c r="A950" i="6"/>
  <c r="J949" i="6"/>
  <c r="F949" i="6"/>
  <c r="B949" i="6"/>
  <c r="K948" i="6"/>
  <c r="G948" i="6"/>
  <c r="C948" i="6"/>
  <c r="L947" i="6"/>
  <c r="H947" i="6"/>
  <c r="D947" i="6"/>
  <c r="M946" i="6"/>
  <c r="I946" i="6"/>
  <c r="E946" i="6"/>
  <c r="A946" i="6"/>
  <c r="J945" i="6"/>
  <c r="F945" i="6"/>
  <c r="B945" i="6"/>
  <c r="K944" i="6"/>
  <c r="G944" i="6"/>
  <c r="C944" i="6"/>
  <c r="L943" i="6"/>
  <c r="H943" i="6"/>
  <c r="D943" i="6"/>
  <c r="M942" i="6"/>
  <c r="I942" i="6"/>
  <c r="E942" i="6"/>
  <c r="A942" i="6"/>
  <c r="J941" i="6"/>
  <c r="F941" i="6"/>
  <c r="B941" i="6"/>
  <c r="K940" i="6"/>
  <c r="G940" i="6"/>
  <c r="C940" i="6"/>
  <c r="L939" i="6"/>
  <c r="H939" i="6"/>
  <c r="D939" i="6"/>
  <c r="M938" i="6"/>
  <c r="I938" i="6"/>
  <c r="E938" i="6"/>
  <c r="A938" i="6"/>
  <c r="J937" i="6"/>
  <c r="F937" i="6"/>
  <c r="B937" i="6"/>
  <c r="K936" i="6"/>
  <c r="G936" i="6"/>
  <c r="C936" i="6"/>
  <c r="L935" i="6"/>
  <c r="H935" i="6"/>
  <c r="D935" i="6"/>
  <c r="M934" i="6"/>
  <c r="I934" i="6"/>
  <c r="E934" i="6"/>
  <c r="A934" i="6"/>
  <c r="J933" i="6"/>
  <c r="F933" i="6"/>
  <c r="B933" i="6"/>
  <c r="K932" i="6"/>
  <c r="G932" i="6"/>
  <c r="C932" i="6"/>
  <c r="L931" i="6"/>
  <c r="H931" i="6"/>
  <c r="D931" i="6"/>
  <c r="M930" i="6"/>
  <c r="I930" i="6"/>
  <c r="E930" i="6"/>
  <c r="A930" i="6"/>
  <c r="J929" i="6"/>
  <c r="F929" i="6"/>
  <c r="B929" i="6"/>
  <c r="K928" i="6"/>
  <c r="G928" i="6"/>
  <c r="C928" i="6"/>
  <c r="L927" i="6"/>
  <c r="H927" i="6"/>
  <c r="D927" i="6"/>
  <c r="M926" i="6"/>
  <c r="I926" i="6"/>
  <c r="E926" i="6"/>
  <c r="A926" i="6"/>
  <c r="J925" i="6"/>
  <c r="F925" i="6"/>
  <c r="B925" i="6"/>
  <c r="K924" i="6"/>
  <c r="G924" i="6"/>
  <c r="C924" i="6"/>
  <c r="L923" i="6"/>
  <c r="H923" i="6"/>
  <c r="D923" i="6"/>
  <c r="M922" i="6"/>
  <c r="I922" i="6"/>
  <c r="E922" i="6"/>
  <c r="A922" i="6"/>
  <c r="J921" i="6"/>
  <c r="F921" i="6"/>
  <c r="B921" i="6"/>
  <c r="K920" i="6"/>
  <c r="G920" i="6"/>
  <c r="C920" i="6"/>
  <c r="L919" i="6"/>
  <c r="H919" i="6"/>
  <c r="E929" i="6"/>
  <c r="B928" i="6"/>
  <c r="L926" i="6"/>
  <c r="I925" i="6"/>
  <c r="F924" i="6"/>
  <c r="C923" i="6"/>
  <c r="M921" i="6"/>
  <c r="J920" i="6"/>
  <c r="G919" i="6"/>
  <c r="B919" i="6"/>
  <c r="K918" i="6"/>
  <c r="G918" i="6"/>
  <c r="C918" i="6"/>
  <c r="L917" i="6"/>
  <c r="H917" i="6"/>
  <c r="D917" i="6"/>
  <c r="M916" i="6"/>
  <c r="I916" i="6"/>
  <c r="E916" i="6"/>
  <c r="A916" i="6"/>
  <c r="J915" i="6"/>
  <c r="F915" i="6"/>
  <c r="B915" i="6"/>
  <c r="K914" i="6"/>
  <c r="G914" i="6"/>
  <c r="C914" i="6"/>
  <c r="L913" i="6"/>
  <c r="H913" i="6"/>
  <c r="D913" i="6"/>
  <c r="M912" i="6"/>
  <c r="I912" i="6"/>
  <c r="E912" i="6"/>
  <c r="A912" i="6"/>
  <c r="J911" i="6"/>
  <c r="F911" i="6"/>
  <c r="B911" i="6"/>
  <c r="K910" i="6"/>
  <c r="G910" i="6"/>
  <c r="C910" i="6"/>
  <c r="L909" i="6"/>
  <c r="H909" i="6"/>
  <c r="D909" i="6"/>
  <c r="M908" i="6"/>
  <c r="I908" i="6"/>
  <c r="E908" i="6"/>
  <c r="A908" i="6"/>
  <c r="J907" i="6"/>
  <c r="F907" i="6"/>
  <c r="B907" i="6"/>
  <c r="K906" i="6"/>
  <c r="G906" i="6"/>
  <c r="C906" i="6"/>
  <c r="L905" i="6"/>
  <c r="H905" i="6"/>
  <c r="D905" i="6"/>
  <c r="M904" i="6"/>
  <c r="I904" i="6"/>
  <c r="E904" i="6"/>
  <c r="A904" i="6"/>
  <c r="J903" i="6"/>
  <c r="F903" i="6"/>
  <c r="B903" i="6"/>
  <c r="K902" i="6"/>
  <c r="G902" i="6"/>
  <c r="C902" i="6"/>
  <c r="L901" i="6"/>
  <c r="H901" i="6"/>
  <c r="D901" i="6"/>
  <c r="M900" i="6"/>
  <c r="I900" i="6"/>
  <c r="E900" i="6"/>
  <c r="A900" i="6"/>
  <c r="J899" i="6"/>
  <c r="F899" i="6"/>
  <c r="B899" i="6"/>
  <c r="K898" i="6"/>
  <c r="G898" i="6"/>
  <c r="C898" i="6"/>
  <c r="L897" i="6"/>
  <c r="H897" i="6"/>
  <c r="D897" i="6"/>
  <c r="M896" i="6"/>
  <c r="I896" i="6"/>
  <c r="E896" i="6"/>
  <c r="A896" i="6"/>
  <c r="J895" i="6"/>
  <c r="F895" i="6"/>
  <c r="B895" i="6"/>
  <c r="K894" i="6"/>
  <c r="G894" i="6"/>
  <c r="C894" i="6"/>
  <c r="L893" i="6"/>
  <c r="H893" i="6"/>
  <c r="D893" i="6"/>
  <c r="M892" i="6"/>
  <c r="I892" i="6"/>
  <c r="E892" i="6"/>
  <c r="A892" i="6"/>
  <c r="J891" i="6"/>
  <c r="F891" i="6"/>
  <c r="B891" i="6"/>
  <c r="K890" i="6"/>
  <c r="G890" i="6"/>
  <c r="C890" i="6"/>
  <c r="L889" i="6"/>
  <c r="H889" i="6"/>
  <c r="D889" i="6"/>
  <c r="M888" i="6"/>
  <c r="I888" i="6"/>
  <c r="E888" i="6"/>
  <c r="A888" i="6"/>
  <c r="J887" i="6"/>
  <c r="F887" i="6"/>
  <c r="B887" i="6"/>
  <c r="K886" i="6"/>
  <c r="G886" i="6"/>
  <c r="C886" i="6"/>
  <c r="L885" i="6"/>
  <c r="H885" i="6"/>
  <c r="D885" i="6"/>
  <c r="M884" i="6"/>
  <c r="I884" i="6"/>
  <c r="E884" i="6"/>
  <c r="A884" i="6"/>
  <c r="J883" i="6"/>
  <c r="F883" i="6"/>
  <c r="B883" i="6"/>
  <c r="K882" i="6"/>
  <c r="G882" i="6"/>
  <c r="C882" i="6"/>
  <c r="L881" i="6"/>
  <c r="H881" i="6"/>
  <c r="D881" i="6"/>
  <c r="M880" i="6"/>
  <c r="I880" i="6"/>
  <c r="E880" i="6"/>
  <c r="A880" i="6"/>
  <c r="J879" i="6"/>
  <c r="F879" i="6"/>
  <c r="B879" i="6"/>
  <c r="K878" i="6"/>
  <c r="G878" i="6"/>
  <c r="C878" i="6"/>
  <c r="L877" i="6"/>
  <c r="H877" i="6"/>
  <c r="D877" i="6"/>
  <c r="M876" i="6"/>
  <c r="I876" i="6"/>
  <c r="E876" i="6"/>
  <c r="A876" i="6"/>
  <c r="J875" i="6"/>
  <c r="F875" i="6"/>
  <c r="B875" i="6"/>
  <c r="K874" i="6"/>
  <c r="G874" i="6"/>
  <c r="C874" i="6"/>
  <c r="L873" i="6"/>
  <c r="H873" i="6"/>
  <c r="D873" i="6"/>
  <c r="M872" i="6"/>
  <c r="I872" i="6"/>
  <c r="E872" i="6"/>
  <c r="A872" i="6"/>
  <c r="J871" i="6"/>
  <c r="F871" i="6"/>
  <c r="B871" i="6"/>
  <c r="K870" i="6"/>
  <c r="G870" i="6"/>
  <c r="C870" i="6"/>
  <c r="L869" i="6"/>
  <c r="H869" i="6"/>
  <c r="D869" i="6"/>
  <c r="M868" i="6"/>
  <c r="I868" i="6"/>
  <c r="E868" i="6"/>
  <c r="A868" i="6"/>
  <c r="J867" i="6"/>
  <c r="F867" i="6"/>
  <c r="B867" i="6"/>
  <c r="K866" i="6"/>
  <c r="G866" i="6"/>
  <c r="C866" i="6"/>
  <c r="L865" i="6"/>
  <c r="H865" i="6"/>
  <c r="D865" i="6"/>
  <c r="M864" i="6"/>
  <c r="I864" i="6"/>
  <c r="E864" i="6"/>
  <c r="A864" i="6"/>
  <c r="J863" i="6"/>
  <c r="F863" i="6"/>
  <c r="B863" i="6"/>
  <c r="K862" i="6"/>
  <c r="G862" i="6"/>
  <c r="C862" i="6"/>
  <c r="L861" i="6"/>
  <c r="H861" i="6"/>
  <c r="D861" i="6"/>
  <c r="M860" i="6"/>
  <c r="I860" i="6"/>
  <c r="E860" i="6"/>
  <c r="A860" i="6"/>
  <c r="J859" i="6"/>
  <c r="F859" i="6"/>
  <c r="B859" i="6"/>
  <c r="K858" i="6"/>
  <c r="G858" i="6"/>
  <c r="C858" i="6"/>
  <c r="L857" i="6"/>
  <c r="H857" i="6"/>
  <c r="D857" i="6"/>
  <c r="M856" i="6"/>
  <c r="I856" i="6"/>
  <c r="E856" i="6"/>
  <c r="A856" i="6"/>
  <c r="J855" i="6"/>
  <c r="F855" i="6"/>
  <c r="B855" i="6"/>
  <c r="K854" i="6"/>
  <c r="G854" i="6"/>
  <c r="C854" i="6"/>
  <c r="L853" i="6"/>
  <c r="H853" i="6"/>
  <c r="D853" i="6"/>
  <c r="M852" i="6"/>
  <c r="I852" i="6"/>
  <c r="E852" i="6"/>
  <c r="A852" i="6"/>
  <c r="J851" i="6"/>
  <c r="F851" i="6"/>
  <c r="B851" i="6"/>
  <c r="K850" i="6"/>
  <c r="G850" i="6"/>
  <c r="C850" i="6"/>
  <c r="L849" i="6"/>
  <c r="H849" i="6"/>
  <c r="D849" i="6"/>
  <c r="M848" i="6"/>
  <c r="I848" i="6"/>
  <c r="E848" i="6"/>
  <c r="A929" i="6"/>
  <c r="K927" i="6"/>
  <c r="H926" i="6"/>
  <c r="E925" i="6"/>
  <c r="B924" i="6"/>
  <c r="L922" i="6"/>
  <c r="I921" i="6"/>
  <c r="F920" i="6"/>
  <c r="E919" i="6"/>
  <c r="A919" i="6"/>
  <c r="J918" i="6"/>
  <c r="F918" i="6"/>
  <c r="B918" i="6"/>
  <c r="K917" i="6"/>
  <c r="G917" i="6"/>
  <c r="C917" i="6"/>
  <c r="L916" i="6"/>
  <c r="H916" i="6"/>
  <c r="D916" i="6"/>
  <c r="M915" i="6"/>
  <c r="I915" i="6"/>
  <c r="E915" i="6"/>
  <c r="A915" i="6"/>
  <c r="J914" i="6"/>
  <c r="F914" i="6"/>
  <c r="B914" i="6"/>
  <c r="K913" i="6"/>
  <c r="G913" i="6"/>
  <c r="C913" i="6"/>
  <c r="L912" i="6"/>
  <c r="H912" i="6"/>
  <c r="D912" i="6"/>
  <c r="M911" i="6"/>
  <c r="I911" i="6"/>
  <c r="E911" i="6"/>
  <c r="A911" i="6"/>
  <c r="J910" i="6"/>
  <c r="F910" i="6"/>
  <c r="B910" i="6"/>
  <c r="K909" i="6"/>
  <c r="G909" i="6"/>
  <c r="C909" i="6"/>
  <c r="L908" i="6"/>
  <c r="H908" i="6"/>
  <c r="D908" i="6"/>
  <c r="M907" i="6"/>
  <c r="I907" i="6"/>
  <c r="E907" i="6"/>
  <c r="A907" i="6"/>
  <c r="J906" i="6"/>
  <c r="F906" i="6"/>
  <c r="B906" i="6"/>
  <c r="K905" i="6"/>
  <c r="G905" i="6"/>
  <c r="C905" i="6"/>
  <c r="L904" i="6"/>
  <c r="H904" i="6"/>
  <c r="D904" i="6"/>
  <c r="M903" i="6"/>
  <c r="I903" i="6"/>
  <c r="E903" i="6"/>
  <c r="A903" i="6"/>
  <c r="J902" i="6"/>
  <c r="F902" i="6"/>
  <c r="B902" i="6"/>
  <c r="K901" i="6"/>
  <c r="G901" i="6"/>
  <c r="C901" i="6"/>
  <c r="L900" i="6"/>
  <c r="H900" i="6"/>
  <c r="D900" i="6"/>
  <c r="M899" i="6"/>
  <c r="I899" i="6"/>
  <c r="E899" i="6"/>
  <c r="A899" i="6"/>
  <c r="J898" i="6"/>
  <c r="F898" i="6"/>
  <c r="B898" i="6"/>
  <c r="K897" i="6"/>
  <c r="G897" i="6"/>
  <c r="C897" i="6"/>
  <c r="L896" i="6"/>
  <c r="H896" i="6"/>
  <c r="D896" i="6"/>
  <c r="M895" i="6"/>
  <c r="I895" i="6"/>
  <c r="E895" i="6"/>
  <c r="A895" i="6"/>
  <c r="J894" i="6"/>
  <c r="F894" i="6"/>
  <c r="B894" i="6"/>
  <c r="K893" i="6"/>
  <c r="G893" i="6"/>
  <c r="C893" i="6"/>
  <c r="L892" i="6"/>
  <c r="H892" i="6"/>
  <c r="D892" i="6"/>
  <c r="M891" i="6"/>
  <c r="I891" i="6"/>
  <c r="E891" i="6"/>
  <c r="A891" i="6"/>
  <c r="J890" i="6"/>
  <c r="F890" i="6"/>
  <c r="B890" i="6"/>
  <c r="K889" i="6"/>
  <c r="G889" i="6"/>
  <c r="C889" i="6"/>
  <c r="L888" i="6"/>
  <c r="H888" i="6"/>
  <c r="D888" i="6"/>
  <c r="M887" i="6"/>
  <c r="I887" i="6"/>
  <c r="E887" i="6"/>
  <c r="A887" i="6"/>
  <c r="J886" i="6"/>
  <c r="F886" i="6"/>
  <c r="B886" i="6"/>
  <c r="K885" i="6"/>
  <c r="G885" i="6"/>
  <c r="C885" i="6"/>
  <c r="L884" i="6"/>
  <c r="H884" i="6"/>
  <c r="D884" i="6"/>
  <c r="M883" i="6"/>
  <c r="I883" i="6"/>
  <c r="E883" i="6"/>
  <c r="A883" i="6"/>
  <c r="J882" i="6"/>
  <c r="F882" i="6"/>
  <c r="B882" i="6"/>
  <c r="K881" i="6"/>
  <c r="G881" i="6"/>
  <c r="C881" i="6"/>
  <c r="L880" i="6"/>
  <c r="H880" i="6"/>
  <c r="D880" i="6"/>
  <c r="M879" i="6"/>
  <c r="I879" i="6"/>
  <c r="E879" i="6"/>
  <c r="A879" i="6"/>
  <c r="J878" i="6"/>
  <c r="F878" i="6"/>
  <c r="B878" i="6"/>
  <c r="K877" i="6"/>
  <c r="G877" i="6"/>
  <c r="C877" i="6"/>
  <c r="L876" i="6"/>
  <c r="H876" i="6"/>
  <c r="D876" i="6"/>
  <c r="M875" i="6"/>
  <c r="I875" i="6"/>
  <c r="E875" i="6"/>
  <c r="A875" i="6"/>
  <c r="J874" i="6"/>
  <c r="F874" i="6"/>
  <c r="B874" i="6"/>
  <c r="K873" i="6"/>
  <c r="G873" i="6"/>
  <c r="C873" i="6"/>
  <c r="L872" i="6"/>
  <c r="H872" i="6"/>
  <c r="D872" i="6"/>
  <c r="M871" i="6"/>
  <c r="I871" i="6"/>
  <c r="E871" i="6"/>
  <c r="A871" i="6"/>
  <c r="J870" i="6"/>
  <c r="F870" i="6"/>
  <c r="B870" i="6"/>
  <c r="K869" i="6"/>
  <c r="G869" i="6"/>
  <c r="C869" i="6"/>
  <c r="L868" i="6"/>
  <c r="H868" i="6"/>
  <c r="D868" i="6"/>
  <c r="M867" i="6"/>
  <c r="I867" i="6"/>
  <c r="E867" i="6"/>
  <c r="A867" i="6"/>
  <c r="J866" i="6"/>
  <c r="F866" i="6"/>
  <c r="B866" i="6"/>
  <c r="K865" i="6"/>
  <c r="G865" i="6"/>
  <c r="C865" i="6"/>
  <c r="L864" i="6"/>
  <c r="H864" i="6"/>
  <c r="D864" i="6"/>
  <c r="M863" i="6"/>
  <c r="I863" i="6"/>
  <c r="E863" i="6"/>
  <c r="A863" i="6"/>
  <c r="J862" i="6"/>
  <c r="F862" i="6"/>
  <c r="B862" i="6"/>
  <c r="K861" i="6"/>
  <c r="G861" i="6"/>
  <c r="C861" i="6"/>
  <c r="L860" i="6"/>
  <c r="H860" i="6"/>
  <c r="D860" i="6"/>
  <c r="M859" i="6"/>
  <c r="I859" i="6"/>
  <c r="E859" i="6"/>
  <c r="A859" i="6"/>
  <c r="J858" i="6"/>
  <c r="F858" i="6"/>
  <c r="B858" i="6"/>
  <c r="K857" i="6"/>
  <c r="G857" i="6"/>
  <c r="C857" i="6"/>
  <c r="L856" i="6"/>
  <c r="H856" i="6"/>
  <c r="D856" i="6"/>
  <c r="M855" i="6"/>
  <c r="I855" i="6"/>
  <c r="E855" i="6"/>
  <c r="A855" i="6"/>
  <c r="J854" i="6"/>
  <c r="F854" i="6"/>
  <c r="B854" i="6"/>
  <c r="K853" i="6"/>
  <c r="G853" i="6"/>
  <c r="C853" i="6"/>
  <c r="L852" i="6"/>
  <c r="H852" i="6"/>
  <c r="D852" i="6"/>
  <c r="M851" i="6"/>
  <c r="I851" i="6"/>
  <c r="E851" i="6"/>
  <c r="A851" i="6"/>
  <c r="J850" i="6"/>
  <c r="F850" i="6"/>
  <c r="B850" i="6"/>
  <c r="K849" i="6"/>
  <c r="G849" i="6"/>
  <c r="C849" i="6"/>
  <c r="L848" i="6"/>
  <c r="H848" i="6"/>
  <c r="D848" i="6"/>
  <c r="M847" i="6"/>
  <c r="I847" i="6"/>
  <c r="E847" i="6"/>
  <c r="A847" i="6"/>
  <c r="J846" i="6"/>
  <c r="F846" i="6"/>
  <c r="B846" i="6"/>
  <c r="K845" i="6"/>
  <c r="G845" i="6"/>
  <c r="C845" i="6"/>
  <c r="L844" i="6"/>
  <c r="H844" i="6"/>
  <c r="D844" i="6"/>
  <c r="M843" i="6"/>
  <c r="I843" i="6"/>
  <c r="J928" i="6"/>
  <c r="G927" i="6"/>
  <c r="D926" i="6"/>
  <c r="A925" i="6"/>
  <c r="K923" i="6"/>
  <c r="H922" i="6"/>
  <c r="E921" i="6"/>
  <c r="B920" i="6"/>
  <c r="D919" i="6"/>
  <c r="M918" i="6"/>
  <c r="I918" i="6"/>
  <c r="E918" i="6"/>
  <c r="A918" i="6"/>
  <c r="J917" i="6"/>
  <c r="F917" i="6"/>
  <c r="B917" i="6"/>
  <c r="K916" i="6"/>
  <c r="G916" i="6"/>
  <c r="C916" i="6"/>
  <c r="L915" i="6"/>
  <c r="H915" i="6"/>
  <c r="D915" i="6"/>
  <c r="M914" i="6"/>
  <c r="I914" i="6"/>
  <c r="E914" i="6"/>
  <c r="A914" i="6"/>
  <c r="J913" i="6"/>
  <c r="F913" i="6"/>
  <c r="B913" i="6"/>
  <c r="K912" i="6"/>
  <c r="G912" i="6"/>
  <c r="C912" i="6"/>
  <c r="L911" i="6"/>
  <c r="H911" i="6"/>
  <c r="D911" i="6"/>
  <c r="M910" i="6"/>
  <c r="I910" i="6"/>
  <c r="E910" i="6"/>
  <c r="A910" i="6"/>
  <c r="J909" i="6"/>
  <c r="F909" i="6"/>
  <c r="B909" i="6"/>
  <c r="K908" i="6"/>
  <c r="G908" i="6"/>
  <c r="C908" i="6"/>
  <c r="L907" i="6"/>
  <c r="H907" i="6"/>
  <c r="D907" i="6"/>
  <c r="M906" i="6"/>
  <c r="I906" i="6"/>
  <c r="E906" i="6"/>
  <c r="A906" i="6"/>
  <c r="J905" i="6"/>
  <c r="F905" i="6"/>
  <c r="B905" i="6"/>
  <c r="K904" i="6"/>
  <c r="G904" i="6"/>
  <c r="C904" i="6"/>
  <c r="L903" i="6"/>
  <c r="H903" i="6"/>
  <c r="D903" i="6"/>
  <c r="M902" i="6"/>
  <c r="I902" i="6"/>
  <c r="E902" i="6"/>
  <c r="A902" i="6"/>
  <c r="J901" i="6"/>
  <c r="F901" i="6"/>
  <c r="B901" i="6"/>
  <c r="K900" i="6"/>
  <c r="G900" i="6"/>
  <c r="C900" i="6"/>
  <c r="L899" i="6"/>
  <c r="H899" i="6"/>
  <c r="D899" i="6"/>
  <c r="M898" i="6"/>
  <c r="I898" i="6"/>
  <c r="E898" i="6"/>
  <c r="A898" i="6"/>
  <c r="J897" i="6"/>
  <c r="F897" i="6"/>
  <c r="B897" i="6"/>
  <c r="K896" i="6"/>
  <c r="G896" i="6"/>
  <c r="C896" i="6"/>
  <c r="L895" i="6"/>
  <c r="H895" i="6"/>
  <c r="D895" i="6"/>
  <c r="M894" i="6"/>
  <c r="I894" i="6"/>
  <c r="E894" i="6"/>
  <c r="A894" i="6"/>
  <c r="J893" i="6"/>
  <c r="F893" i="6"/>
  <c r="B893" i="6"/>
  <c r="K892" i="6"/>
  <c r="G892" i="6"/>
  <c r="C892" i="6"/>
  <c r="L891" i="6"/>
  <c r="H891" i="6"/>
  <c r="D891" i="6"/>
  <c r="M890" i="6"/>
  <c r="I890" i="6"/>
  <c r="E890" i="6"/>
  <c r="A890" i="6"/>
  <c r="J889" i="6"/>
  <c r="F889" i="6"/>
  <c r="B889" i="6"/>
  <c r="K888" i="6"/>
  <c r="G888" i="6"/>
  <c r="C888" i="6"/>
  <c r="L887" i="6"/>
  <c r="H887" i="6"/>
  <c r="D887" i="6"/>
  <c r="M886" i="6"/>
  <c r="I886" i="6"/>
  <c r="E886" i="6"/>
  <c r="A886" i="6"/>
  <c r="J885" i="6"/>
  <c r="F885" i="6"/>
  <c r="B885" i="6"/>
  <c r="K884" i="6"/>
  <c r="G884" i="6"/>
  <c r="C884" i="6"/>
  <c r="L883" i="6"/>
  <c r="H883" i="6"/>
  <c r="D883" i="6"/>
  <c r="M882" i="6"/>
  <c r="I882" i="6"/>
  <c r="E882" i="6"/>
  <c r="A882" i="6"/>
  <c r="J881" i="6"/>
  <c r="F881" i="6"/>
  <c r="B881" i="6"/>
  <c r="K880" i="6"/>
  <c r="G880" i="6"/>
  <c r="C880" i="6"/>
  <c r="L879" i="6"/>
  <c r="H879" i="6"/>
  <c r="D879" i="6"/>
  <c r="M878" i="6"/>
  <c r="I878" i="6"/>
  <c r="E878" i="6"/>
  <c r="A878" i="6"/>
  <c r="J877" i="6"/>
  <c r="F877" i="6"/>
  <c r="B877" i="6"/>
  <c r="K876" i="6"/>
  <c r="G876" i="6"/>
  <c r="C876" i="6"/>
  <c r="L875" i="6"/>
  <c r="H875" i="6"/>
  <c r="D875" i="6"/>
  <c r="M874" i="6"/>
  <c r="I874" i="6"/>
  <c r="E874" i="6"/>
  <c r="A874" i="6"/>
  <c r="J873" i="6"/>
  <c r="F873" i="6"/>
  <c r="B873" i="6"/>
  <c r="K872" i="6"/>
  <c r="G872" i="6"/>
  <c r="C872" i="6"/>
  <c r="L871" i="6"/>
  <c r="H871" i="6"/>
  <c r="D871" i="6"/>
  <c r="M870" i="6"/>
  <c r="I870" i="6"/>
  <c r="E870" i="6"/>
  <c r="A870" i="6"/>
  <c r="J869" i="6"/>
  <c r="F869" i="6"/>
  <c r="B869" i="6"/>
  <c r="K868" i="6"/>
  <c r="G868" i="6"/>
  <c r="C868" i="6"/>
  <c r="L867" i="6"/>
  <c r="H867" i="6"/>
  <c r="D867" i="6"/>
  <c r="M866" i="6"/>
  <c r="I866" i="6"/>
  <c r="E866" i="6"/>
  <c r="A866" i="6"/>
  <c r="J865" i="6"/>
  <c r="F865" i="6"/>
  <c r="B865" i="6"/>
  <c r="K864" i="6"/>
  <c r="G864" i="6"/>
  <c r="C864" i="6"/>
  <c r="L863" i="6"/>
  <c r="H863" i="6"/>
  <c r="D863" i="6"/>
  <c r="M862" i="6"/>
  <c r="I862" i="6"/>
  <c r="E862" i="6"/>
  <c r="A862" i="6"/>
  <c r="J861" i="6"/>
  <c r="F861" i="6"/>
  <c r="B861" i="6"/>
  <c r="K860" i="6"/>
  <c r="G860" i="6"/>
  <c r="C860" i="6"/>
  <c r="L859" i="6"/>
  <c r="H859" i="6"/>
  <c r="D859" i="6"/>
  <c r="M858" i="6"/>
  <c r="I858" i="6"/>
  <c r="E858" i="6"/>
  <c r="A858" i="6"/>
  <c r="J857" i="6"/>
  <c r="F857" i="6"/>
  <c r="B857" i="6"/>
  <c r="K856" i="6"/>
  <c r="G856" i="6"/>
  <c r="C856" i="6"/>
  <c r="L855" i="6"/>
  <c r="H855" i="6"/>
  <c r="D855" i="6"/>
  <c r="M854" i="6"/>
  <c r="I854" i="6"/>
  <c r="E854" i="6"/>
  <c r="A854" i="6"/>
  <c r="J853" i="6"/>
  <c r="F853" i="6"/>
  <c r="B853" i="6"/>
  <c r="K852" i="6"/>
  <c r="G852" i="6"/>
  <c r="C852" i="6"/>
  <c r="L851" i="6"/>
  <c r="H851" i="6"/>
  <c r="D851" i="6"/>
  <c r="M850" i="6"/>
  <c r="I850" i="6"/>
  <c r="E850" i="6"/>
  <c r="A850" i="6"/>
  <c r="J849" i="6"/>
  <c r="F849" i="6"/>
  <c r="B849" i="6"/>
  <c r="K848" i="6"/>
  <c r="G848" i="6"/>
  <c r="C848" i="6"/>
  <c r="L847" i="6"/>
  <c r="H847" i="6"/>
  <c r="D847" i="6"/>
  <c r="M846" i="6"/>
  <c r="I846" i="6"/>
  <c r="E846" i="6"/>
  <c r="A846" i="6"/>
  <c r="J845" i="6"/>
  <c r="F845" i="6"/>
  <c r="B845" i="6"/>
  <c r="K844" i="6"/>
  <c r="G844" i="6"/>
  <c r="C844" i="6"/>
  <c r="L843" i="6"/>
  <c r="H843" i="6"/>
  <c r="F928" i="6"/>
  <c r="C927" i="6"/>
  <c r="M925" i="6"/>
  <c r="J924" i="6"/>
  <c r="G923" i="6"/>
  <c r="D922" i="6"/>
  <c r="A921" i="6"/>
  <c r="K919" i="6"/>
  <c r="C919" i="6"/>
  <c r="L918" i="6"/>
  <c r="H918" i="6"/>
  <c r="D918" i="6"/>
  <c r="M917" i="6"/>
  <c r="I917" i="6"/>
  <c r="E917" i="6"/>
  <c r="A917" i="6"/>
  <c r="J916" i="6"/>
  <c r="F916" i="6"/>
  <c r="B916" i="6"/>
  <c r="K915" i="6"/>
  <c r="G915" i="6"/>
  <c r="C915" i="6"/>
  <c r="L914" i="6"/>
  <c r="H914" i="6"/>
  <c r="D914" i="6"/>
  <c r="M913" i="6"/>
  <c r="I913" i="6"/>
  <c r="E913" i="6"/>
  <c r="A913" i="6"/>
  <c r="J912" i="6"/>
  <c r="F912" i="6"/>
  <c r="B912" i="6"/>
  <c r="K911" i="6"/>
  <c r="G911" i="6"/>
  <c r="C911" i="6"/>
  <c r="L910" i="6"/>
  <c r="H910" i="6"/>
  <c r="D910" i="6"/>
  <c r="M909" i="6"/>
  <c r="I909" i="6"/>
  <c r="E909" i="6"/>
  <c r="A909" i="6"/>
  <c r="J908" i="6"/>
  <c r="F908" i="6"/>
  <c r="B908" i="6"/>
  <c r="K907" i="6"/>
  <c r="G907" i="6"/>
  <c r="C907" i="6"/>
  <c r="L906" i="6"/>
  <c r="H906" i="6"/>
  <c r="D906" i="6"/>
  <c r="M905" i="6"/>
  <c r="I905" i="6"/>
  <c r="E905" i="6"/>
  <c r="A905" i="6"/>
  <c r="J904" i="6"/>
  <c r="F904" i="6"/>
  <c r="B904" i="6"/>
  <c r="K903" i="6"/>
  <c r="G903" i="6"/>
  <c r="C903" i="6"/>
  <c r="L902" i="6"/>
  <c r="H902" i="6"/>
  <c r="D902" i="6"/>
  <c r="M901" i="6"/>
  <c r="I901" i="6"/>
  <c r="E901" i="6"/>
  <c r="A901" i="6"/>
  <c r="J900" i="6"/>
  <c r="F900" i="6"/>
  <c r="B900" i="6"/>
  <c r="K899" i="6"/>
  <c r="G899" i="6"/>
  <c r="C899" i="6"/>
  <c r="L898" i="6"/>
  <c r="H898" i="6"/>
  <c r="D898" i="6"/>
  <c r="M897" i="6"/>
  <c r="I897" i="6"/>
  <c r="E897" i="6"/>
  <c r="A897" i="6"/>
  <c r="J896" i="6"/>
  <c r="F896" i="6"/>
  <c r="B896" i="6"/>
  <c r="K895" i="6"/>
  <c r="G895" i="6"/>
  <c r="C895" i="6"/>
  <c r="L894" i="6"/>
  <c r="H894" i="6"/>
  <c r="D894" i="6"/>
  <c r="M893" i="6"/>
  <c r="I893" i="6"/>
  <c r="E893" i="6"/>
  <c r="A893" i="6"/>
  <c r="J892" i="6"/>
  <c r="F892" i="6"/>
  <c r="B892" i="6"/>
  <c r="K891" i="6"/>
  <c r="G891" i="6"/>
  <c r="C891" i="6"/>
  <c r="L890" i="6"/>
  <c r="H890" i="6"/>
  <c r="D890" i="6"/>
  <c r="M889" i="6"/>
  <c r="I889" i="6"/>
  <c r="E889" i="6"/>
  <c r="A889" i="6"/>
  <c r="J888" i="6"/>
  <c r="F888" i="6"/>
  <c r="B888" i="6"/>
  <c r="K887" i="6"/>
  <c r="G887" i="6"/>
  <c r="C887" i="6"/>
  <c r="L886" i="6"/>
  <c r="H886" i="6"/>
  <c r="D886" i="6"/>
  <c r="M885" i="6"/>
  <c r="I885" i="6"/>
  <c r="E885" i="6"/>
  <c r="A885" i="6"/>
  <c r="J884" i="6"/>
  <c r="F884" i="6"/>
  <c r="B884" i="6"/>
  <c r="K883" i="6"/>
  <c r="G883" i="6"/>
  <c r="C883" i="6"/>
  <c r="L882" i="6"/>
  <c r="H882" i="6"/>
  <c r="D882" i="6"/>
  <c r="M881" i="6"/>
  <c r="I881" i="6"/>
  <c r="E881" i="6"/>
  <c r="A881" i="6"/>
  <c r="J880" i="6"/>
  <c r="F880" i="6"/>
  <c r="B880" i="6"/>
  <c r="K879" i="6"/>
  <c r="G879" i="6"/>
  <c r="C879" i="6"/>
  <c r="L878" i="6"/>
  <c r="H878" i="6"/>
  <c r="D878" i="6"/>
  <c r="M877" i="6"/>
  <c r="I877" i="6"/>
  <c r="E877" i="6"/>
  <c r="A877" i="6"/>
  <c r="J876" i="6"/>
  <c r="F876" i="6"/>
  <c r="B876" i="6"/>
  <c r="K875" i="6"/>
  <c r="G875" i="6"/>
  <c r="C875" i="6"/>
  <c r="L874" i="6"/>
  <c r="H874" i="6"/>
  <c r="D874" i="6"/>
  <c r="M873" i="6"/>
  <c r="I873" i="6"/>
  <c r="E873" i="6"/>
  <c r="A873" i="6"/>
  <c r="J872" i="6"/>
  <c r="F872" i="6"/>
  <c r="B872" i="6"/>
  <c r="K871" i="6"/>
  <c r="G871" i="6"/>
  <c r="C871" i="6"/>
  <c r="L870" i="6"/>
  <c r="H870" i="6"/>
  <c r="D870" i="6"/>
  <c r="M869" i="6"/>
  <c r="I869" i="6"/>
  <c r="E869" i="6"/>
  <c r="A869" i="6"/>
  <c r="J868" i="6"/>
  <c r="F868" i="6"/>
  <c r="B868" i="6"/>
  <c r="K867" i="6"/>
  <c r="G867" i="6"/>
  <c r="C867" i="6"/>
  <c r="L866" i="6"/>
  <c r="H866" i="6"/>
  <c r="D866" i="6"/>
  <c r="M865" i="6"/>
  <c r="I865" i="6"/>
  <c r="E865" i="6"/>
  <c r="A865" i="6"/>
  <c r="J864" i="6"/>
  <c r="F864" i="6"/>
  <c r="B864" i="6"/>
  <c r="K863" i="6"/>
  <c r="G863" i="6"/>
  <c r="C863" i="6"/>
  <c r="L862" i="6"/>
  <c r="H862" i="6"/>
  <c r="D862" i="6"/>
  <c r="M861" i="6"/>
  <c r="I861" i="6"/>
  <c r="E861" i="6"/>
  <c r="A861" i="6"/>
  <c r="J860" i="6"/>
  <c r="F860" i="6"/>
  <c r="B860" i="6"/>
  <c r="K859" i="6"/>
  <c r="G859" i="6"/>
  <c r="C859" i="6"/>
  <c r="L858" i="6"/>
  <c r="H858" i="6"/>
  <c r="D858" i="6"/>
  <c r="M857" i="6"/>
  <c r="I857" i="6"/>
  <c r="E857" i="6"/>
  <c r="A857" i="6"/>
  <c r="J856" i="6"/>
  <c r="F856" i="6"/>
  <c r="B856" i="6"/>
  <c r="K855" i="6"/>
  <c r="G855" i="6"/>
  <c r="C855" i="6"/>
  <c r="L854" i="6"/>
  <c r="H854" i="6"/>
  <c r="D854" i="6"/>
  <c r="M853" i="6"/>
  <c r="I853" i="6"/>
  <c r="E853" i="6"/>
  <c r="A853" i="6"/>
  <c r="J852" i="6"/>
  <c r="F852" i="6"/>
  <c r="B852" i="6"/>
  <c r="K851" i="6"/>
  <c r="G851" i="6"/>
  <c r="C851" i="6"/>
  <c r="L850" i="6"/>
  <c r="H850" i="6"/>
  <c r="D850" i="6"/>
  <c r="M849" i="6"/>
  <c r="I849" i="6"/>
  <c r="E849" i="6"/>
  <c r="A849" i="6"/>
  <c r="J848" i="6"/>
  <c r="F848" i="6"/>
  <c r="B848" i="6"/>
  <c r="K847" i="6"/>
  <c r="G847" i="6"/>
  <c r="C847" i="6"/>
  <c r="L846" i="6"/>
  <c r="H846" i="6"/>
  <c r="D846" i="6"/>
  <c r="M845" i="6"/>
  <c r="I845" i="6"/>
  <c r="E845" i="6"/>
  <c r="A845" i="6"/>
  <c r="J844" i="6"/>
  <c r="F844" i="6"/>
  <c r="B844" i="6"/>
  <c r="K843" i="6"/>
  <c r="G843" i="6"/>
  <c r="A848" i="6"/>
  <c r="K846" i="6"/>
  <c r="H845" i="6"/>
  <c r="E844" i="6"/>
  <c r="E843" i="6"/>
  <c r="A843" i="6"/>
  <c r="J842" i="6"/>
  <c r="F842" i="6"/>
  <c r="B842" i="6"/>
  <c r="K841" i="6"/>
  <c r="G841" i="6"/>
  <c r="C841" i="6"/>
  <c r="L840" i="6"/>
  <c r="H840" i="6"/>
  <c r="D840" i="6"/>
  <c r="M839" i="6"/>
  <c r="I839" i="6"/>
  <c r="E839" i="6"/>
  <c r="A839" i="6"/>
  <c r="J838" i="6"/>
  <c r="F838" i="6"/>
  <c r="B838" i="6"/>
  <c r="K837" i="6"/>
  <c r="G837" i="6"/>
  <c r="C837" i="6"/>
  <c r="L836" i="6"/>
  <c r="H836" i="6"/>
  <c r="D836" i="6"/>
  <c r="M835" i="6"/>
  <c r="I835" i="6"/>
  <c r="E835" i="6"/>
  <c r="A835" i="6"/>
  <c r="J834" i="6"/>
  <c r="F834" i="6"/>
  <c r="B834" i="6"/>
  <c r="K833" i="6"/>
  <c r="G833" i="6"/>
  <c r="C833" i="6"/>
  <c r="L832" i="6"/>
  <c r="H832" i="6"/>
  <c r="D832" i="6"/>
  <c r="M831" i="6"/>
  <c r="I831" i="6"/>
  <c r="E831" i="6"/>
  <c r="A831" i="6"/>
  <c r="J830" i="6"/>
  <c r="F830" i="6"/>
  <c r="B830" i="6"/>
  <c r="K829" i="6"/>
  <c r="G829" i="6"/>
  <c r="C829" i="6"/>
  <c r="L828" i="6"/>
  <c r="H828" i="6"/>
  <c r="D828" i="6"/>
  <c r="M827" i="6"/>
  <c r="I827" i="6"/>
  <c r="E827" i="6"/>
  <c r="A827" i="6"/>
  <c r="J826" i="6"/>
  <c r="F826" i="6"/>
  <c r="B826" i="6"/>
  <c r="K825" i="6"/>
  <c r="G825" i="6"/>
  <c r="C825" i="6"/>
  <c r="L824" i="6"/>
  <c r="H824" i="6"/>
  <c r="D824" i="6"/>
  <c r="M823" i="6"/>
  <c r="I823" i="6"/>
  <c r="E823" i="6"/>
  <c r="A823" i="6"/>
  <c r="J822" i="6"/>
  <c r="F822" i="6"/>
  <c r="B822" i="6"/>
  <c r="K821" i="6"/>
  <c r="G821" i="6"/>
  <c r="C821" i="6"/>
  <c r="L820" i="6"/>
  <c r="H820" i="6"/>
  <c r="D820" i="6"/>
  <c r="M819" i="6"/>
  <c r="I819" i="6"/>
  <c r="E819" i="6"/>
  <c r="A819" i="6"/>
  <c r="J818" i="6"/>
  <c r="F818" i="6"/>
  <c r="B818" i="6"/>
  <c r="K817" i="6"/>
  <c r="G817" i="6"/>
  <c r="C817" i="6"/>
  <c r="L816" i="6"/>
  <c r="H816" i="6"/>
  <c r="D816" i="6"/>
  <c r="M815" i="6"/>
  <c r="I815" i="6"/>
  <c r="E815" i="6"/>
  <c r="A815" i="6"/>
  <c r="J814" i="6"/>
  <c r="F814" i="6"/>
  <c r="B814" i="6"/>
  <c r="K813" i="6"/>
  <c r="G813" i="6"/>
  <c r="C813" i="6"/>
  <c r="L812" i="6"/>
  <c r="H812" i="6"/>
  <c r="D812" i="6"/>
  <c r="M811" i="6"/>
  <c r="I811" i="6"/>
  <c r="E811" i="6"/>
  <c r="A811" i="6"/>
  <c r="J810" i="6"/>
  <c r="F810" i="6"/>
  <c r="B810" i="6"/>
  <c r="K809" i="6"/>
  <c r="G809" i="6"/>
  <c r="C809" i="6"/>
  <c r="L808" i="6"/>
  <c r="H808" i="6"/>
  <c r="D808" i="6"/>
  <c r="M807" i="6"/>
  <c r="I807" i="6"/>
  <c r="E807" i="6"/>
  <c r="A807" i="6"/>
  <c r="J806" i="6"/>
  <c r="F806" i="6"/>
  <c r="B806" i="6"/>
  <c r="K805" i="6"/>
  <c r="G805" i="6"/>
  <c r="C805" i="6"/>
  <c r="L804" i="6"/>
  <c r="H804" i="6"/>
  <c r="D804" i="6"/>
  <c r="M803" i="6"/>
  <c r="I803" i="6"/>
  <c r="E803" i="6"/>
  <c r="A803" i="6"/>
  <c r="J802" i="6"/>
  <c r="F802" i="6"/>
  <c r="B802" i="6"/>
  <c r="K801" i="6"/>
  <c r="G801" i="6"/>
  <c r="C801" i="6"/>
  <c r="L800" i="6"/>
  <c r="H800" i="6"/>
  <c r="D800" i="6"/>
  <c r="M799" i="6"/>
  <c r="I799" i="6"/>
  <c r="E799" i="6"/>
  <c r="A799" i="6"/>
  <c r="J798" i="6"/>
  <c r="F798" i="6"/>
  <c r="B798" i="6"/>
  <c r="K797" i="6"/>
  <c r="G797" i="6"/>
  <c r="C797" i="6"/>
  <c r="L796" i="6"/>
  <c r="H796" i="6"/>
  <c r="D796" i="6"/>
  <c r="M795" i="6"/>
  <c r="I795" i="6"/>
  <c r="E795" i="6"/>
  <c r="A795" i="6"/>
  <c r="J794" i="6"/>
  <c r="F794" i="6"/>
  <c r="B794" i="6"/>
  <c r="K793" i="6"/>
  <c r="G793" i="6"/>
  <c r="C793" i="6"/>
  <c r="L792" i="6"/>
  <c r="H792" i="6"/>
  <c r="D792" i="6"/>
  <c r="M791" i="6"/>
  <c r="I791" i="6"/>
  <c r="E791" i="6"/>
  <c r="A791" i="6"/>
  <c r="J790" i="6"/>
  <c r="F790" i="6"/>
  <c r="B790" i="6"/>
  <c r="K789" i="6"/>
  <c r="G789" i="6"/>
  <c r="C789" i="6"/>
  <c r="L788" i="6"/>
  <c r="H788" i="6"/>
  <c r="D788" i="6"/>
  <c r="M787" i="6"/>
  <c r="I787" i="6"/>
  <c r="E787" i="6"/>
  <c r="A787" i="6"/>
  <c r="J786" i="6"/>
  <c r="F786" i="6"/>
  <c r="B786" i="6"/>
  <c r="K785" i="6"/>
  <c r="G785" i="6"/>
  <c r="C785" i="6"/>
  <c r="L784" i="6"/>
  <c r="H784" i="6"/>
  <c r="D784" i="6"/>
  <c r="M783" i="6"/>
  <c r="I783" i="6"/>
  <c r="E783" i="6"/>
  <c r="A783" i="6"/>
  <c r="J782" i="6"/>
  <c r="F782" i="6"/>
  <c r="B782" i="6"/>
  <c r="K781" i="6"/>
  <c r="G781" i="6"/>
  <c r="C781" i="6"/>
  <c r="L780" i="6"/>
  <c r="H780" i="6"/>
  <c r="D780" i="6"/>
  <c r="M779" i="6"/>
  <c r="I779" i="6"/>
  <c r="E779" i="6"/>
  <c r="A779" i="6"/>
  <c r="J778" i="6"/>
  <c r="F778" i="6"/>
  <c r="B778" i="6"/>
  <c r="K777" i="6"/>
  <c r="G777" i="6"/>
  <c r="C777" i="6"/>
  <c r="L776" i="6"/>
  <c r="H776" i="6"/>
  <c r="D776" i="6"/>
  <c r="M775" i="6"/>
  <c r="I775" i="6"/>
  <c r="E775" i="6"/>
  <c r="A775" i="6"/>
  <c r="J774" i="6"/>
  <c r="F774" i="6"/>
  <c r="B774" i="6"/>
  <c r="K773" i="6"/>
  <c r="G773" i="6"/>
  <c r="C773" i="6"/>
  <c r="L772" i="6"/>
  <c r="H772" i="6"/>
  <c r="D772" i="6"/>
  <c r="M771" i="6"/>
  <c r="I771" i="6"/>
  <c r="J847" i="6"/>
  <c r="G846" i="6"/>
  <c r="D845" i="6"/>
  <c r="A844" i="6"/>
  <c r="D843" i="6"/>
  <c r="M842" i="6"/>
  <c r="I842" i="6"/>
  <c r="E842" i="6"/>
  <c r="A842" i="6"/>
  <c r="J841" i="6"/>
  <c r="F841" i="6"/>
  <c r="B841" i="6"/>
  <c r="K840" i="6"/>
  <c r="G840" i="6"/>
  <c r="C840" i="6"/>
  <c r="L839" i="6"/>
  <c r="H839" i="6"/>
  <c r="D839" i="6"/>
  <c r="M838" i="6"/>
  <c r="I838" i="6"/>
  <c r="E838" i="6"/>
  <c r="A838" i="6"/>
  <c r="J837" i="6"/>
  <c r="F837" i="6"/>
  <c r="B837" i="6"/>
  <c r="K836" i="6"/>
  <c r="G836" i="6"/>
  <c r="C836" i="6"/>
  <c r="L835" i="6"/>
  <c r="H835" i="6"/>
  <c r="D835" i="6"/>
  <c r="M834" i="6"/>
  <c r="I834" i="6"/>
  <c r="E834" i="6"/>
  <c r="A834" i="6"/>
  <c r="J833" i="6"/>
  <c r="F833" i="6"/>
  <c r="B833" i="6"/>
  <c r="K832" i="6"/>
  <c r="G832" i="6"/>
  <c r="C832" i="6"/>
  <c r="L831" i="6"/>
  <c r="H831" i="6"/>
  <c r="D831" i="6"/>
  <c r="M830" i="6"/>
  <c r="I830" i="6"/>
  <c r="E830" i="6"/>
  <c r="A830" i="6"/>
  <c r="J829" i="6"/>
  <c r="F829" i="6"/>
  <c r="B829" i="6"/>
  <c r="K828" i="6"/>
  <c r="G828" i="6"/>
  <c r="C828" i="6"/>
  <c r="L827" i="6"/>
  <c r="H827" i="6"/>
  <c r="D827" i="6"/>
  <c r="M826" i="6"/>
  <c r="I826" i="6"/>
  <c r="E826" i="6"/>
  <c r="A826" i="6"/>
  <c r="J825" i="6"/>
  <c r="F825" i="6"/>
  <c r="B825" i="6"/>
  <c r="K824" i="6"/>
  <c r="G824" i="6"/>
  <c r="C824" i="6"/>
  <c r="L823" i="6"/>
  <c r="H823" i="6"/>
  <c r="D823" i="6"/>
  <c r="M822" i="6"/>
  <c r="I822" i="6"/>
  <c r="E822" i="6"/>
  <c r="A822" i="6"/>
  <c r="J821" i="6"/>
  <c r="F821" i="6"/>
  <c r="B821" i="6"/>
  <c r="K820" i="6"/>
  <c r="G820" i="6"/>
  <c r="C820" i="6"/>
  <c r="L819" i="6"/>
  <c r="H819" i="6"/>
  <c r="D819" i="6"/>
  <c r="M818" i="6"/>
  <c r="I818" i="6"/>
  <c r="E818" i="6"/>
  <c r="A818" i="6"/>
  <c r="J817" i="6"/>
  <c r="F817" i="6"/>
  <c r="B817" i="6"/>
  <c r="K816" i="6"/>
  <c r="G816" i="6"/>
  <c r="C816" i="6"/>
  <c r="L815" i="6"/>
  <c r="H815" i="6"/>
  <c r="D815" i="6"/>
  <c r="M814" i="6"/>
  <c r="I814" i="6"/>
  <c r="E814" i="6"/>
  <c r="A814" i="6"/>
  <c r="J813" i="6"/>
  <c r="F813" i="6"/>
  <c r="B813" i="6"/>
  <c r="K812" i="6"/>
  <c r="G812" i="6"/>
  <c r="C812" i="6"/>
  <c r="L811" i="6"/>
  <c r="H811" i="6"/>
  <c r="D811" i="6"/>
  <c r="M810" i="6"/>
  <c r="I810" i="6"/>
  <c r="E810" i="6"/>
  <c r="A810" i="6"/>
  <c r="J809" i="6"/>
  <c r="F809" i="6"/>
  <c r="B809" i="6"/>
  <c r="K808" i="6"/>
  <c r="G808" i="6"/>
  <c r="C808" i="6"/>
  <c r="L807" i="6"/>
  <c r="H807" i="6"/>
  <c r="D807" i="6"/>
  <c r="M806" i="6"/>
  <c r="I806" i="6"/>
  <c r="E806" i="6"/>
  <c r="A806" i="6"/>
  <c r="J805" i="6"/>
  <c r="F805" i="6"/>
  <c r="B805" i="6"/>
  <c r="K804" i="6"/>
  <c r="G804" i="6"/>
  <c r="C804" i="6"/>
  <c r="L803" i="6"/>
  <c r="H803" i="6"/>
  <c r="D803" i="6"/>
  <c r="M802" i="6"/>
  <c r="I802" i="6"/>
  <c r="E802" i="6"/>
  <c r="A802" i="6"/>
  <c r="J801" i="6"/>
  <c r="F801" i="6"/>
  <c r="B801" i="6"/>
  <c r="K800" i="6"/>
  <c r="G800" i="6"/>
  <c r="C800" i="6"/>
  <c r="L799" i="6"/>
  <c r="H799" i="6"/>
  <c r="D799" i="6"/>
  <c r="M798" i="6"/>
  <c r="I798" i="6"/>
  <c r="E798" i="6"/>
  <c r="A798" i="6"/>
  <c r="J797" i="6"/>
  <c r="F797" i="6"/>
  <c r="B797" i="6"/>
  <c r="K796" i="6"/>
  <c r="G796" i="6"/>
  <c r="C796" i="6"/>
  <c r="L795" i="6"/>
  <c r="H795" i="6"/>
  <c r="D795" i="6"/>
  <c r="M794" i="6"/>
  <c r="I794" i="6"/>
  <c r="E794" i="6"/>
  <c r="A794" i="6"/>
  <c r="J793" i="6"/>
  <c r="F793" i="6"/>
  <c r="B793" i="6"/>
  <c r="K792" i="6"/>
  <c r="G792" i="6"/>
  <c r="C792" i="6"/>
  <c r="L791" i="6"/>
  <c r="H791" i="6"/>
  <c r="D791" i="6"/>
  <c r="M790" i="6"/>
  <c r="I790" i="6"/>
  <c r="E790" i="6"/>
  <c r="A790" i="6"/>
  <c r="J789" i="6"/>
  <c r="F789" i="6"/>
  <c r="B789" i="6"/>
  <c r="K788" i="6"/>
  <c r="G788" i="6"/>
  <c r="C788" i="6"/>
  <c r="L787" i="6"/>
  <c r="H787" i="6"/>
  <c r="D787" i="6"/>
  <c r="M786" i="6"/>
  <c r="I786" i="6"/>
  <c r="E786" i="6"/>
  <c r="A786" i="6"/>
  <c r="J785" i="6"/>
  <c r="F785" i="6"/>
  <c r="B785" i="6"/>
  <c r="K784" i="6"/>
  <c r="G784" i="6"/>
  <c r="C784" i="6"/>
  <c r="L783" i="6"/>
  <c r="H783" i="6"/>
  <c r="D783" i="6"/>
  <c r="M782" i="6"/>
  <c r="I782" i="6"/>
  <c r="E782" i="6"/>
  <c r="A782" i="6"/>
  <c r="J781" i="6"/>
  <c r="F781" i="6"/>
  <c r="B781" i="6"/>
  <c r="K780" i="6"/>
  <c r="G780" i="6"/>
  <c r="C780" i="6"/>
  <c r="L779" i="6"/>
  <c r="H779" i="6"/>
  <c r="D779" i="6"/>
  <c r="M778" i="6"/>
  <c r="I778" i="6"/>
  <c r="E778" i="6"/>
  <c r="A778" i="6"/>
  <c r="J777" i="6"/>
  <c r="F777" i="6"/>
  <c r="B777" i="6"/>
  <c r="K776" i="6"/>
  <c r="G776" i="6"/>
  <c r="C776" i="6"/>
  <c r="L775" i="6"/>
  <c r="H775" i="6"/>
  <c r="D775" i="6"/>
  <c r="M774" i="6"/>
  <c r="I774" i="6"/>
  <c r="E774" i="6"/>
  <c r="A774" i="6"/>
  <c r="J773" i="6"/>
  <c r="F773" i="6"/>
  <c r="B773" i="6"/>
  <c r="K772" i="6"/>
  <c r="G772" i="6"/>
  <c r="C772" i="6"/>
  <c r="L771" i="6"/>
  <c r="H771" i="6"/>
  <c r="D771" i="6"/>
  <c r="M770" i="6"/>
  <c r="I770" i="6"/>
  <c r="E770" i="6"/>
  <c r="A770" i="6"/>
  <c r="J769" i="6"/>
  <c r="F769" i="6"/>
  <c r="B769" i="6"/>
  <c r="K768" i="6"/>
  <c r="G768" i="6"/>
  <c r="C768" i="6"/>
  <c r="L767" i="6"/>
  <c r="H767" i="6"/>
  <c r="D767" i="6"/>
  <c r="M766" i="6"/>
  <c r="I766" i="6"/>
  <c r="E766" i="6"/>
  <c r="F847" i="6"/>
  <c r="C846" i="6"/>
  <c r="M844" i="6"/>
  <c r="J843" i="6"/>
  <c r="C843" i="6"/>
  <c r="L842" i="6"/>
  <c r="H842" i="6"/>
  <c r="D842" i="6"/>
  <c r="M841" i="6"/>
  <c r="I841" i="6"/>
  <c r="E841" i="6"/>
  <c r="A841" i="6"/>
  <c r="J840" i="6"/>
  <c r="F840" i="6"/>
  <c r="B840" i="6"/>
  <c r="K839" i="6"/>
  <c r="G839" i="6"/>
  <c r="C839" i="6"/>
  <c r="L838" i="6"/>
  <c r="H838" i="6"/>
  <c r="D838" i="6"/>
  <c r="M837" i="6"/>
  <c r="I837" i="6"/>
  <c r="E837" i="6"/>
  <c r="A837" i="6"/>
  <c r="J836" i="6"/>
  <c r="F836" i="6"/>
  <c r="B836" i="6"/>
  <c r="K835" i="6"/>
  <c r="G835" i="6"/>
  <c r="C835" i="6"/>
  <c r="L834" i="6"/>
  <c r="H834" i="6"/>
  <c r="D834" i="6"/>
  <c r="M833" i="6"/>
  <c r="I833" i="6"/>
  <c r="E833" i="6"/>
  <c r="A833" i="6"/>
  <c r="J832" i="6"/>
  <c r="F832" i="6"/>
  <c r="B832" i="6"/>
  <c r="K831" i="6"/>
  <c r="G831" i="6"/>
  <c r="C831" i="6"/>
  <c r="L830" i="6"/>
  <c r="H830" i="6"/>
  <c r="D830" i="6"/>
  <c r="M829" i="6"/>
  <c r="I829" i="6"/>
  <c r="E829" i="6"/>
  <c r="A829" i="6"/>
  <c r="J828" i="6"/>
  <c r="F828" i="6"/>
  <c r="B828" i="6"/>
  <c r="K827" i="6"/>
  <c r="G827" i="6"/>
  <c r="C827" i="6"/>
  <c r="L826" i="6"/>
  <c r="H826" i="6"/>
  <c r="D826" i="6"/>
  <c r="M825" i="6"/>
  <c r="I825" i="6"/>
  <c r="E825" i="6"/>
  <c r="A825" i="6"/>
  <c r="J824" i="6"/>
  <c r="F824" i="6"/>
  <c r="B824" i="6"/>
  <c r="K823" i="6"/>
  <c r="G823" i="6"/>
  <c r="C823" i="6"/>
  <c r="L822" i="6"/>
  <c r="H822" i="6"/>
  <c r="D822" i="6"/>
  <c r="M821" i="6"/>
  <c r="I821" i="6"/>
  <c r="E821" i="6"/>
  <c r="A821" i="6"/>
  <c r="J820" i="6"/>
  <c r="F820" i="6"/>
  <c r="B820" i="6"/>
  <c r="K819" i="6"/>
  <c r="G819" i="6"/>
  <c r="C819" i="6"/>
  <c r="L818" i="6"/>
  <c r="H818" i="6"/>
  <c r="D818" i="6"/>
  <c r="M817" i="6"/>
  <c r="I817" i="6"/>
  <c r="E817" i="6"/>
  <c r="A817" i="6"/>
  <c r="J816" i="6"/>
  <c r="F816" i="6"/>
  <c r="B816" i="6"/>
  <c r="K815" i="6"/>
  <c r="G815" i="6"/>
  <c r="C815" i="6"/>
  <c r="L814" i="6"/>
  <c r="H814" i="6"/>
  <c r="D814" i="6"/>
  <c r="M813" i="6"/>
  <c r="I813" i="6"/>
  <c r="E813" i="6"/>
  <c r="A813" i="6"/>
  <c r="J812" i="6"/>
  <c r="F812" i="6"/>
  <c r="B812" i="6"/>
  <c r="K811" i="6"/>
  <c r="G811" i="6"/>
  <c r="C811" i="6"/>
  <c r="L810" i="6"/>
  <c r="H810" i="6"/>
  <c r="D810" i="6"/>
  <c r="M809" i="6"/>
  <c r="I809" i="6"/>
  <c r="E809" i="6"/>
  <c r="A809" i="6"/>
  <c r="J808" i="6"/>
  <c r="F808" i="6"/>
  <c r="B808" i="6"/>
  <c r="K807" i="6"/>
  <c r="G807" i="6"/>
  <c r="C807" i="6"/>
  <c r="L806" i="6"/>
  <c r="H806" i="6"/>
  <c r="D806" i="6"/>
  <c r="M805" i="6"/>
  <c r="I805" i="6"/>
  <c r="E805" i="6"/>
  <c r="A805" i="6"/>
  <c r="J804" i="6"/>
  <c r="F804" i="6"/>
  <c r="B804" i="6"/>
  <c r="K803" i="6"/>
  <c r="G803" i="6"/>
  <c r="C803" i="6"/>
  <c r="L802" i="6"/>
  <c r="H802" i="6"/>
  <c r="D802" i="6"/>
  <c r="M801" i="6"/>
  <c r="I801" i="6"/>
  <c r="E801" i="6"/>
  <c r="A801" i="6"/>
  <c r="J800" i="6"/>
  <c r="F800" i="6"/>
  <c r="B800" i="6"/>
  <c r="K799" i="6"/>
  <c r="G799" i="6"/>
  <c r="C799" i="6"/>
  <c r="L798" i="6"/>
  <c r="H798" i="6"/>
  <c r="D798" i="6"/>
  <c r="M797" i="6"/>
  <c r="I797" i="6"/>
  <c r="E797" i="6"/>
  <c r="A797" i="6"/>
  <c r="J796" i="6"/>
  <c r="F796" i="6"/>
  <c r="B796" i="6"/>
  <c r="K795" i="6"/>
  <c r="G795" i="6"/>
  <c r="C795" i="6"/>
  <c r="L794" i="6"/>
  <c r="H794" i="6"/>
  <c r="D794" i="6"/>
  <c r="M793" i="6"/>
  <c r="I793" i="6"/>
  <c r="E793" i="6"/>
  <c r="A793" i="6"/>
  <c r="J792" i="6"/>
  <c r="F792" i="6"/>
  <c r="B792" i="6"/>
  <c r="K791" i="6"/>
  <c r="G791" i="6"/>
  <c r="C791" i="6"/>
  <c r="L790" i="6"/>
  <c r="H790" i="6"/>
  <c r="D790" i="6"/>
  <c r="M789" i="6"/>
  <c r="I789" i="6"/>
  <c r="E789" i="6"/>
  <c r="A789" i="6"/>
  <c r="J788" i="6"/>
  <c r="F788" i="6"/>
  <c r="B788" i="6"/>
  <c r="K787" i="6"/>
  <c r="G787" i="6"/>
  <c r="C787" i="6"/>
  <c r="L786" i="6"/>
  <c r="H786" i="6"/>
  <c r="D786" i="6"/>
  <c r="M785" i="6"/>
  <c r="I785" i="6"/>
  <c r="E785" i="6"/>
  <c r="A785" i="6"/>
  <c r="J784" i="6"/>
  <c r="F784" i="6"/>
  <c r="B784" i="6"/>
  <c r="K783" i="6"/>
  <c r="G783" i="6"/>
  <c r="C783" i="6"/>
  <c r="L782" i="6"/>
  <c r="H782" i="6"/>
  <c r="D782" i="6"/>
  <c r="M781" i="6"/>
  <c r="I781" i="6"/>
  <c r="E781" i="6"/>
  <c r="A781" i="6"/>
  <c r="J780" i="6"/>
  <c r="F780" i="6"/>
  <c r="B780" i="6"/>
  <c r="K779" i="6"/>
  <c r="G779" i="6"/>
  <c r="C779" i="6"/>
  <c r="L778" i="6"/>
  <c r="H778" i="6"/>
  <c r="D778" i="6"/>
  <c r="M777" i="6"/>
  <c r="I777" i="6"/>
  <c r="E777" i="6"/>
  <c r="A777" i="6"/>
  <c r="J776" i="6"/>
  <c r="F776" i="6"/>
  <c r="B776" i="6"/>
  <c r="K775" i="6"/>
  <c r="G775" i="6"/>
  <c r="C775" i="6"/>
  <c r="L774" i="6"/>
  <c r="H774" i="6"/>
  <c r="D774" i="6"/>
  <c r="M773" i="6"/>
  <c r="I773" i="6"/>
  <c r="E773" i="6"/>
  <c r="A773" i="6"/>
  <c r="J772" i="6"/>
  <c r="F772" i="6"/>
  <c r="B772" i="6"/>
  <c r="K771" i="6"/>
  <c r="G771" i="6"/>
  <c r="C771" i="6"/>
  <c r="L770" i="6"/>
  <c r="H770" i="6"/>
  <c r="D770" i="6"/>
  <c r="M769" i="6"/>
  <c r="I769" i="6"/>
  <c r="E769" i="6"/>
  <c r="A769" i="6"/>
  <c r="J768" i="6"/>
  <c r="F768" i="6"/>
  <c r="B768" i="6"/>
  <c r="K767" i="6"/>
  <c r="G767" i="6"/>
  <c r="C767" i="6"/>
  <c r="L766" i="6"/>
  <c r="H766" i="6"/>
  <c r="D766" i="6"/>
  <c r="B847" i="6"/>
  <c r="L845" i="6"/>
  <c r="I844" i="6"/>
  <c r="F843" i="6"/>
  <c r="B843" i="6"/>
  <c r="K842" i="6"/>
  <c r="G842" i="6"/>
  <c r="C842" i="6"/>
  <c r="L841" i="6"/>
  <c r="H841" i="6"/>
  <c r="D841" i="6"/>
  <c r="M840" i="6"/>
  <c r="I840" i="6"/>
  <c r="E840" i="6"/>
  <c r="A840" i="6"/>
  <c r="J839" i="6"/>
  <c r="F839" i="6"/>
  <c r="B839" i="6"/>
  <c r="K838" i="6"/>
  <c r="G838" i="6"/>
  <c r="C838" i="6"/>
  <c r="L837" i="6"/>
  <c r="H837" i="6"/>
  <c r="D837" i="6"/>
  <c r="M836" i="6"/>
  <c r="I836" i="6"/>
  <c r="E836" i="6"/>
  <c r="A836" i="6"/>
  <c r="J835" i="6"/>
  <c r="F835" i="6"/>
  <c r="B835" i="6"/>
  <c r="K834" i="6"/>
  <c r="G834" i="6"/>
  <c r="C834" i="6"/>
  <c r="L833" i="6"/>
  <c r="H833" i="6"/>
  <c r="D833" i="6"/>
  <c r="M832" i="6"/>
  <c r="I832" i="6"/>
  <c r="E832" i="6"/>
  <c r="A832" i="6"/>
  <c r="J831" i="6"/>
  <c r="F831" i="6"/>
  <c r="B831" i="6"/>
  <c r="K830" i="6"/>
  <c r="G830" i="6"/>
  <c r="C830" i="6"/>
  <c r="L829" i="6"/>
  <c r="H829" i="6"/>
  <c r="D829" i="6"/>
  <c r="M828" i="6"/>
  <c r="I828" i="6"/>
  <c r="E828" i="6"/>
  <c r="A828" i="6"/>
  <c r="J827" i="6"/>
  <c r="F827" i="6"/>
  <c r="B827" i="6"/>
  <c r="K826" i="6"/>
  <c r="G826" i="6"/>
  <c r="C826" i="6"/>
  <c r="L825" i="6"/>
  <c r="H825" i="6"/>
  <c r="D825" i="6"/>
  <c r="M824" i="6"/>
  <c r="I824" i="6"/>
  <c r="E824" i="6"/>
  <c r="A824" i="6"/>
  <c r="J823" i="6"/>
  <c r="F823" i="6"/>
  <c r="B823" i="6"/>
  <c r="K822" i="6"/>
  <c r="G822" i="6"/>
  <c r="C822" i="6"/>
  <c r="L821" i="6"/>
  <c r="H821" i="6"/>
  <c r="D821" i="6"/>
  <c r="M820" i="6"/>
  <c r="I820" i="6"/>
  <c r="E820" i="6"/>
  <c r="A820" i="6"/>
  <c r="J819" i="6"/>
  <c r="F819" i="6"/>
  <c r="B819" i="6"/>
  <c r="K818" i="6"/>
  <c r="G818" i="6"/>
  <c r="C818" i="6"/>
  <c r="L817" i="6"/>
  <c r="H817" i="6"/>
  <c r="D817" i="6"/>
  <c r="M816" i="6"/>
  <c r="I816" i="6"/>
  <c r="E816" i="6"/>
  <c r="A816" i="6"/>
  <c r="J815" i="6"/>
  <c r="F815" i="6"/>
  <c r="B815" i="6"/>
  <c r="K814" i="6"/>
  <c r="G814" i="6"/>
  <c r="C814" i="6"/>
  <c r="L813" i="6"/>
  <c r="H813" i="6"/>
  <c r="D813" i="6"/>
  <c r="M812" i="6"/>
  <c r="I812" i="6"/>
  <c r="E812" i="6"/>
  <c r="A812" i="6"/>
  <c r="J811" i="6"/>
  <c r="F811" i="6"/>
  <c r="B811" i="6"/>
  <c r="K810" i="6"/>
  <c r="G810" i="6"/>
  <c r="C810" i="6"/>
  <c r="L809" i="6"/>
  <c r="H809" i="6"/>
  <c r="D809" i="6"/>
  <c r="M808" i="6"/>
  <c r="I808" i="6"/>
  <c r="E808" i="6"/>
  <c r="A808" i="6"/>
  <c r="J807" i="6"/>
  <c r="F807" i="6"/>
  <c r="B807" i="6"/>
  <c r="K806" i="6"/>
  <c r="G806" i="6"/>
  <c r="C806" i="6"/>
  <c r="L805" i="6"/>
  <c r="H805" i="6"/>
  <c r="D805" i="6"/>
  <c r="M804" i="6"/>
  <c r="I804" i="6"/>
  <c r="E804" i="6"/>
  <c r="A804" i="6"/>
  <c r="J803" i="6"/>
  <c r="F803" i="6"/>
  <c r="B803" i="6"/>
  <c r="K802" i="6"/>
  <c r="G802" i="6"/>
  <c r="C802" i="6"/>
  <c r="L801" i="6"/>
  <c r="H801" i="6"/>
  <c r="D801" i="6"/>
  <c r="M800" i="6"/>
  <c r="I800" i="6"/>
  <c r="E800" i="6"/>
  <c r="A800" i="6"/>
  <c r="J799" i="6"/>
  <c r="F799" i="6"/>
  <c r="B799" i="6"/>
  <c r="K798" i="6"/>
  <c r="G798" i="6"/>
  <c r="C798" i="6"/>
  <c r="L797" i="6"/>
  <c r="H797" i="6"/>
  <c r="D797" i="6"/>
  <c r="M796" i="6"/>
  <c r="I796" i="6"/>
  <c r="E796" i="6"/>
  <c r="A796" i="6"/>
  <c r="J795" i="6"/>
  <c r="F795" i="6"/>
  <c r="B795" i="6"/>
  <c r="K794" i="6"/>
  <c r="G794" i="6"/>
  <c r="C794" i="6"/>
  <c r="L793" i="6"/>
  <c r="H793" i="6"/>
  <c r="D793" i="6"/>
  <c r="M792" i="6"/>
  <c r="I792" i="6"/>
  <c r="E792" i="6"/>
  <c r="A792" i="6"/>
  <c r="J791" i="6"/>
  <c r="F791" i="6"/>
  <c r="B791" i="6"/>
  <c r="K790" i="6"/>
  <c r="G790" i="6"/>
  <c r="C790" i="6"/>
  <c r="L789" i="6"/>
  <c r="H789" i="6"/>
  <c r="D789" i="6"/>
  <c r="M788" i="6"/>
  <c r="I788" i="6"/>
  <c r="E788" i="6"/>
  <c r="A788" i="6"/>
  <c r="J787" i="6"/>
  <c r="F787" i="6"/>
  <c r="B787" i="6"/>
  <c r="K786" i="6"/>
  <c r="G786" i="6"/>
  <c r="C786" i="6"/>
  <c r="L785" i="6"/>
  <c r="H785" i="6"/>
  <c r="D785" i="6"/>
  <c r="M784" i="6"/>
  <c r="I784" i="6"/>
  <c r="E784" i="6"/>
  <c r="A784" i="6"/>
  <c r="J783" i="6"/>
  <c r="F783" i="6"/>
  <c r="B783" i="6"/>
  <c r="K782" i="6"/>
  <c r="G782" i="6"/>
  <c r="C782" i="6"/>
  <c r="L781" i="6"/>
  <c r="H781" i="6"/>
  <c r="D781" i="6"/>
  <c r="M780" i="6"/>
  <c r="I780" i="6"/>
  <c r="E780" i="6"/>
  <c r="A780" i="6"/>
  <c r="J779" i="6"/>
  <c r="F779" i="6"/>
  <c r="B779" i="6"/>
  <c r="K778" i="6"/>
  <c r="G778" i="6"/>
  <c r="C778" i="6"/>
  <c r="L777" i="6"/>
  <c r="H777" i="6"/>
  <c r="D777" i="6"/>
  <c r="M776" i="6"/>
  <c r="I776" i="6"/>
  <c r="E776" i="6"/>
  <c r="A776" i="6"/>
  <c r="J775" i="6"/>
  <c r="F775" i="6"/>
  <c r="B775" i="6"/>
  <c r="K774" i="6"/>
  <c r="G774" i="6"/>
  <c r="C774" i="6"/>
  <c r="L773" i="6"/>
  <c r="H773" i="6"/>
  <c r="D773" i="6"/>
  <c r="M772" i="6"/>
  <c r="I772" i="6"/>
  <c r="E772" i="6"/>
  <c r="A772" i="6"/>
  <c r="J771" i="6"/>
  <c r="F771" i="6"/>
  <c r="B771" i="6"/>
  <c r="K770" i="6"/>
  <c r="G770" i="6"/>
  <c r="C770" i="6"/>
  <c r="L769" i="6"/>
  <c r="H769" i="6"/>
  <c r="D769" i="6"/>
  <c r="M768" i="6"/>
  <c r="I768" i="6"/>
  <c r="E768" i="6"/>
  <c r="A768" i="6"/>
  <c r="J767" i="6"/>
  <c r="F767" i="6"/>
  <c r="B767" i="6"/>
  <c r="K766" i="6"/>
  <c r="G766" i="6"/>
  <c r="C766" i="6"/>
  <c r="E771" i="6"/>
  <c r="B770" i="6"/>
  <c r="L768" i="6"/>
  <c r="I767" i="6"/>
  <c r="F766" i="6"/>
  <c r="L765" i="6"/>
  <c r="H765" i="6"/>
  <c r="D765" i="6"/>
  <c r="M764" i="6"/>
  <c r="I764" i="6"/>
  <c r="E764" i="6"/>
  <c r="A764" i="6"/>
  <c r="J763" i="6"/>
  <c r="F763" i="6"/>
  <c r="B763" i="6"/>
  <c r="K762" i="6"/>
  <c r="G762" i="6"/>
  <c r="C762" i="6"/>
  <c r="L761" i="6"/>
  <c r="H761" i="6"/>
  <c r="D761" i="6"/>
  <c r="M760" i="6"/>
  <c r="I760" i="6"/>
  <c r="E760" i="6"/>
  <c r="A760" i="6"/>
  <c r="J759" i="6"/>
  <c r="F759" i="6"/>
  <c r="B759" i="6"/>
  <c r="K758" i="6"/>
  <c r="G758" i="6"/>
  <c r="C758" i="6"/>
  <c r="L757" i="6"/>
  <c r="H757" i="6"/>
  <c r="D757" i="6"/>
  <c r="M756" i="6"/>
  <c r="I756" i="6"/>
  <c r="E756" i="6"/>
  <c r="A756" i="6"/>
  <c r="J755" i="6"/>
  <c r="F755" i="6"/>
  <c r="B755" i="6"/>
  <c r="K754" i="6"/>
  <c r="G754" i="6"/>
  <c r="C754" i="6"/>
  <c r="L753" i="6"/>
  <c r="H753" i="6"/>
  <c r="D753" i="6"/>
  <c r="M752" i="6"/>
  <c r="I752" i="6"/>
  <c r="E752" i="6"/>
  <c r="A752" i="6"/>
  <c r="J751" i="6"/>
  <c r="F751" i="6"/>
  <c r="B751" i="6"/>
  <c r="K750" i="6"/>
  <c r="G750" i="6"/>
  <c r="C750" i="6"/>
  <c r="L749" i="6"/>
  <c r="H749" i="6"/>
  <c r="D749" i="6"/>
  <c r="M748" i="6"/>
  <c r="I748" i="6"/>
  <c r="E748" i="6"/>
  <c r="A748" i="6"/>
  <c r="J747" i="6"/>
  <c r="F747" i="6"/>
  <c r="B747" i="6"/>
  <c r="K746" i="6"/>
  <c r="G746" i="6"/>
  <c r="C746" i="6"/>
  <c r="L745" i="6"/>
  <c r="H745" i="6"/>
  <c r="D745" i="6"/>
  <c r="M744" i="6"/>
  <c r="I744" i="6"/>
  <c r="E744" i="6"/>
  <c r="A744" i="6"/>
  <c r="J743" i="6"/>
  <c r="F743" i="6"/>
  <c r="B743" i="6"/>
  <c r="K742" i="6"/>
  <c r="G742" i="6"/>
  <c r="C742" i="6"/>
  <c r="L741" i="6"/>
  <c r="H741" i="6"/>
  <c r="D741" i="6"/>
  <c r="M740" i="6"/>
  <c r="I740" i="6"/>
  <c r="E740" i="6"/>
  <c r="A740" i="6"/>
  <c r="J739" i="6"/>
  <c r="F739" i="6"/>
  <c r="B739" i="6"/>
  <c r="K738" i="6"/>
  <c r="G738" i="6"/>
  <c r="C738" i="6"/>
  <c r="L737" i="6"/>
  <c r="H737" i="6"/>
  <c r="D737" i="6"/>
  <c r="M736" i="6"/>
  <c r="I736" i="6"/>
  <c r="E736" i="6"/>
  <c r="A736" i="6"/>
  <c r="J735" i="6"/>
  <c r="F735" i="6"/>
  <c r="B735" i="6"/>
  <c r="K734" i="6"/>
  <c r="G734" i="6"/>
  <c r="C734" i="6"/>
  <c r="L733" i="6"/>
  <c r="H733" i="6"/>
  <c r="D733" i="6"/>
  <c r="M732" i="6"/>
  <c r="I732" i="6"/>
  <c r="E732" i="6"/>
  <c r="A732" i="6"/>
  <c r="J731" i="6"/>
  <c r="F731" i="6"/>
  <c r="B731" i="6"/>
  <c r="K730" i="6"/>
  <c r="G730" i="6"/>
  <c r="C730" i="6"/>
  <c r="L729" i="6"/>
  <c r="H729" i="6"/>
  <c r="D729" i="6"/>
  <c r="M728" i="6"/>
  <c r="I728" i="6"/>
  <c r="E728" i="6"/>
  <c r="A728" i="6"/>
  <c r="J727" i="6"/>
  <c r="F727" i="6"/>
  <c r="B727" i="6"/>
  <c r="K726" i="6"/>
  <c r="G726" i="6"/>
  <c r="C726" i="6"/>
  <c r="L725" i="6"/>
  <c r="H725" i="6"/>
  <c r="D725" i="6"/>
  <c r="M724" i="6"/>
  <c r="I724" i="6"/>
  <c r="E724" i="6"/>
  <c r="A724" i="6"/>
  <c r="J723" i="6"/>
  <c r="F723" i="6"/>
  <c r="B723" i="6"/>
  <c r="K722" i="6"/>
  <c r="G722" i="6"/>
  <c r="C722" i="6"/>
  <c r="L721" i="6"/>
  <c r="H721" i="6"/>
  <c r="D721" i="6"/>
  <c r="M720" i="6"/>
  <c r="I720" i="6"/>
  <c r="E720" i="6"/>
  <c r="A720" i="6"/>
  <c r="J719" i="6"/>
  <c r="F719" i="6"/>
  <c r="B719" i="6"/>
  <c r="K718" i="6"/>
  <c r="G718" i="6"/>
  <c r="C718" i="6"/>
  <c r="L717" i="6"/>
  <c r="H717" i="6"/>
  <c r="D717" i="6"/>
  <c r="M716" i="6"/>
  <c r="I716" i="6"/>
  <c r="E716" i="6"/>
  <c r="A716" i="6"/>
  <c r="J715" i="6"/>
  <c r="F715" i="6"/>
  <c r="B715" i="6"/>
  <c r="K714" i="6"/>
  <c r="G714" i="6"/>
  <c r="C714" i="6"/>
  <c r="L713" i="6"/>
  <c r="H713" i="6"/>
  <c r="D713" i="6"/>
  <c r="M712" i="6"/>
  <c r="I712" i="6"/>
  <c r="E712" i="6"/>
  <c r="A712" i="6"/>
  <c r="J711" i="6"/>
  <c r="F711" i="6"/>
  <c r="B711" i="6"/>
  <c r="K710" i="6"/>
  <c r="G710" i="6"/>
  <c r="C710" i="6"/>
  <c r="L709" i="6"/>
  <c r="H709" i="6"/>
  <c r="D709" i="6"/>
  <c r="M708" i="6"/>
  <c r="I708" i="6"/>
  <c r="E708" i="6"/>
  <c r="A708" i="6"/>
  <c r="J707" i="6"/>
  <c r="F707" i="6"/>
  <c r="B707" i="6"/>
  <c r="K706" i="6"/>
  <c r="G706" i="6"/>
  <c r="C706" i="6"/>
  <c r="L705" i="6"/>
  <c r="H705" i="6"/>
  <c r="D705" i="6"/>
  <c r="M704" i="6"/>
  <c r="I704" i="6"/>
  <c r="E704" i="6"/>
  <c r="A704" i="6"/>
  <c r="J703" i="6"/>
  <c r="F703" i="6"/>
  <c r="B703" i="6"/>
  <c r="K702" i="6"/>
  <c r="G702" i="6"/>
  <c r="C702" i="6"/>
  <c r="L701" i="6"/>
  <c r="H701" i="6"/>
  <c r="D701" i="6"/>
  <c r="M700" i="6"/>
  <c r="I700" i="6"/>
  <c r="E700" i="6"/>
  <c r="A700" i="6"/>
  <c r="J699" i="6"/>
  <c r="F699" i="6"/>
  <c r="B699" i="6"/>
  <c r="K698" i="6"/>
  <c r="G698" i="6"/>
  <c r="C698" i="6"/>
  <c r="L697" i="6"/>
  <c r="H697" i="6"/>
  <c r="D697" i="6"/>
  <c r="M696" i="6"/>
  <c r="I696" i="6"/>
  <c r="E696" i="6"/>
  <c r="A696" i="6"/>
  <c r="J695" i="6"/>
  <c r="F695" i="6"/>
  <c r="B695" i="6"/>
  <c r="K694" i="6"/>
  <c r="G694" i="6"/>
  <c r="C694" i="6"/>
  <c r="L693" i="6"/>
  <c r="H693" i="6"/>
  <c r="D693" i="6"/>
  <c r="M692" i="6"/>
  <c r="A771" i="6"/>
  <c r="K769" i="6"/>
  <c r="H768" i="6"/>
  <c r="E767" i="6"/>
  <c r="B766" i="6"/>
  <c r="K765" i="6"/>
  <c r="G765" i="6"/>
  <c r="C765" i="6"/>
  <c r="L764" i="6"/>
  <c r="H764" i="6"/>
  <c r="D764" i="6"/>
  <c r="M763" i="6"/>
  <c r="I763" i="6"/>
  <c r="E763" i="6"/>
  <c r="A763" i="6"/>
  <c r="J762" i="6"/>
  <c r="F762" i="6"/>
  <c r="B762" i="6"/>
  <c r="K761" i="6"/>
  <c r="G761" i="6"/>
  <c r="C761" i="6"/>
  <c r="L760" i="6"/>
  <c r="H760" i="6"/>
  <c r="D760" i="6"/>
  <c r="M759" i="6"/>
  <c r="I759" i="6"/>
  <c r="E759" i="6"/>
  <c r="A759" i="6"/>
  <c r="J758" i="6"/>
  <c r="F758" i="6"/>
  <c r="B758" i="6"/>
  <c r="K757" i="6"/>
  <c r="G757" i="6"/>
  <c r="C757" i="6"/>
  <c r="L756" i="6"/>
  <c r="H756" i="6"/>
  <c r="D756" i="6"/>
  <c r="M755" i="6"/>
  <c r="I755" i="6"/>
  <c r="E755" i="6"/>
  <c r="A755" i="6"/>
  <c r="J754" i="6"/>
  <c r="F754" i="6"/>
  <c r="B754" i="6"/>
  <c r="K753" i="6"/>
  <c r="G753" i="6"/>
  <c r="C753" i="6"/>
  <c r="L752" i="6"/>
  <c r="H752" i="6"/>
  <c r="D752" i="6"/>
  <c r="M751" i="6"/>
  <c r="I751" i="6"/>
  <c r="E751" i="6"/>
  <c r="A751" i="6"/>
  <c r="J750" i="6"/>
  <c r="F750" i="6"/>
  <c r="B750" i="6"/>
  <c r="K749" i="6"/>
  <c r="G749" i="6"/>
  <c r="C749" i="6"/>
  <c r="L748" i="6"/>
  <c r="H748" i="6"/>
  <c r="D748" i="6"/>
  <c r="M747" i="6"/>
  <c r="I747" i="6"/>
  <c r="E747" i="6"/>
  <c r="A747" i="6"/>
  <c r="J746" i="6"/>
  <c r="F746" i="6"/>
  <c r="B746" i="6"/>
  <c r="K745" i="6"/>
  <c r="G745" i="6"/>
  <c r="C745" i="6"/>
  <c r="L744" i="6"/>
  <c r="H744" i="6"/>
  <c r="D744" i="6"/>
  <c r="M743" i="6"/>
  <c r="I743" i="6"/>
  <c r="E743" i="6"/>
  <c r="A743" i="6"/>
  <c r="J742" i="6"/>
  <c r="F742" i="6"/>
  <c r="B742" i="6"/>
  <c r="K741" i="6"/>
  <c r="G741" i="6"/>
  <c r="C741" i="6"/>
  <c r="L740" i="6"/>
  <c r="H740" i="6"/>
  <c r="D740" i="6"/>
  <c r="M739" i="6"/>
  <c r="I739" i="6"/>
  <c r="E739" i="6"/>
  <c r="A739" i="6"/>
  <c r="J738" i="6"/>
  <c r="F738" i="6"/>
  <c r="B738" i="6"/>
  <c r="K737" i="6"/>
  <c r="G737" i="6"/>
  <c r="C737" i="6"/>
  <c r="L736" i="6"/>
  <c r="H736" i="6"/>
  <c r="D736" i="6"/>
  <c r="M735" i="6"/>
  <c r="I735" i="6"/>
  <c r="E735" i="6"/>
  <c r="A735" i="6"/>
  <c r="J734" i="6"/>
  <c r="F734" i="6"/>
  <c r="B734" i="6"/>
  <c r="K733" i="6"/>
  <c r="G733" i="6"/>
  <c r="C733" i="6"/>
  <c r="L732" i="6"/>
  <c r="H732" i="6"/>
  <c r="D732" i="6"/>
  <c r="M731" i="6"/>
  <c r="I731" i="6"/>
  <c r="E731" i="6"/>
  <c r="A731" i="6"/>
  <c r="J730" i="6"/>
  <c r="F730" i="6"/>
  <c r="B730" i="6"/>
  <c r="K729" i="6"/>
  <c r="G729" i="6"/>
  <c r="C729" i="6"/>
  <c r="L728" i="6"/>
  <c r="H728" i="6"/>
  <c r="D728" i="6"/>
  <c r="M727" i="6"/>
  <c r="I727" i="6"/>
  <c r="E727" i="6"/>
  <c r="A727" i="6"/>
  <c r="J726" i="6"/>
  <c r="F726" i="6"/>
  <c r="B726" i="6"/>
  <c r="K725" i="6"/>
  <c r="G725" i="6"/>
  <c r="C725" i="6"/>
  <c r="L724" i="6"/>
  <c r="H724" i="6"/>
  <c r="D724" i="6"/>
  <c r="M723" i="6"/>
  <c r="I723" i="6"/>
  <c r="E723" i="6"/>
  <c r="A723" i="6"/>
  <c r="J722" i="6"/>
  <c r="F722" i="6"/>
  <c r="B722" i="6"/>
  <c r="K721" i="6"/>
  <c r="G721" i="6"/>
  <c r="C721" i="6"/>
  <c r="L720" i="6"/>
  <c r="H720" i="6"/>
  <c r="D720" i="6"/>
  <c r="M719" i="6"/>
  <c r="I719" i="6"/>
  <c r="E719" i="6"/>
  <c r="A719" i="6"/>
  <c r="J718" i="6"/>
  <c r="F718" i="6"/>
  <c r="B718" i="6"/>
  <c r="K717" i="6"/>
  <c r="G717" i="6"/>
  <c r="C717" i="6"/>
  <c r="L716" i="6"/>
  <c r="H716" i="6"/>
  <c r="D716" i="6"/>
  <c r="M715" i="6"/>
  <c r="I715" i="6"/>
  <c r="E715" i="6"/>
  <c r="A715" i="6"/>
  <c r="J714" i="6"/>
  <c r="F714" i="6"/>
  <c r="B714" i="6"/>
  <c r="K713" i="6"/>
  <c r="G713" i="6"/>
  <c r="C713" i="6"/>
  <c r="L712" i="6"/>
  <c r="H712" i="6"/>
  <c r="D712" i="6"/>
  <c r="M711" i="6"/>
  <c r="I711" i="6"/>
  <c r="E711" i="6"/>
  <c r="A711" i="6"/>
  <c r="J710" i="6"/>
  <c r="F710" i="6"/>
  <c r="B710" i="6"/>
  <c r="K709" i="6"/>
  <c r="G709" i="6"/>
  <c r="C709" i="6"/>
  <c r="L708" i="6"/>
  <c r="H708" i="6"/>
  <c r="D708" i="6"/>
  <c r="M707" i="6"/>
  <c r="I707" i="6"/>
  <c r="E707" i="6"/>
  <c r="A707" i="6"/>
  <c r="J706" i="6"/>
  <c r="F706" i="6"/>
  <c r="B706" i="6"/>
  <c r="K705" i="6"/>
  <c r="G705" i="6"/>
  <c r="C705" i="6"/>
  <c r="L704" i="6"/>
  <c r="H704" i="6"/>
  <c r="D704" i="6"/>
  <c r="M703" i="6"/>
  <c r="I703" i="6"/>
  <c r="E703" i="6"/>
  <c r="A703" i="6"/>
  <c r="J702" i="6"/>
  <c r="F702" i="6"/>
  <c r="B702" i="6"/>
  <c r="K701" i="6"/>
  <c r="G701" i="6"/>
  <c r="C701" i="6"/>
  <c r="L700" i="6"/>
  <c r="H700" i="6"/>
  <c r="D700" i="6"/>
  <c r="M699" i="6"/>
  <c r="I699" i="6"/>
  <c r="E699" i="6"/>
  <c r="A699" i="6"/>
  <c r="J698" i="6"/>
  <c r="F698" i="6"/>
  <c r="B698" i="6"/>
  <c r="K697" i="6"/>
  <c r="G697" i="6"/>
  <c r="C697" i="6"/>
  <c r="L696" i="6"/>
  <c r="H696" i="6"/>
  <c r="D696" i="6"/>
  <c r="M695" i="6"/>
  <c r="I695" i="6"/>
  <c r="E695" i="6"/>
  <c r="A695" i="6"/>
  <c r="J694" i="6"/>
  <c r="F694" i="6"/>
  <c r="B694" i="6"/>
  <c r="K693" i="6"/>
  <c r="G693" i="6"/>
  <c r="C693" i="6"/>
  <c r="L692" i="6"/>
  <c r="H692" i="6"/>
  <c r="D692" i="6"/>
  <c r="M691" i="6"/>
  <c r="I691" i="6"/>
  <c r="E691" i="6"/>
  <c r="A691" i="6"/>
  <c r="J690" i="6"/>
  <c r="F690" i="6"/>
  <c r="B690" i="6"/>
  <c r="K689" i="6"/>
  <c r="G689" i="6"/>
  <c r="C689" i="6"/>
  <c r="L688" i="6"/>
  <c r="J770" i="6"/>
  <c r="G769" i="6"/>
  <c r="D768" i="6"/>
  <c r="A767" i="6"/>
  <c r="A766" i="6"/>
  <c r="J765" i="6"/>
  <c r="F765" i="6"/>
  <c r="B765" i="6"/>
  <c r="K764" i="6"/>
  <c r="G764" i="6"/>
  <c r="C764" i="6"/>
  <c r="L763" i="6"/>
  <c r="H763" i="6"/>
  <c r="D763" i="6"/>
  <c r="M762" i="6"/>
  <c r="I762" i="6"/>
  <c r="E762" i="6"/>
  <c r="A762" i="6"/>
  <c r="J761" i="6"/>
  <c r="F761" i="6"/>
  <c r="B761" i="6"/>
  <c r="K760" i="6"/>
  <c r="G760" i="6"/>
  <c r="C760" i="6"/>
  <c r="L759" i="6"/>
  <c r="H759" i="6"/>
  <c r="D759" i="6"/>
  <c r="M758" i="6"/>
  <c r="I758" i="6"/>
  <c r="E758" i="6"/>
  <c r="A758" i="6"/>
  <c r="J757" i="6"/>
  <c r="F757" i="6"/>
  <c r="B757" i="6"/>
  <c r="K756" i="6"/>
  <c r="G756" i="6"/>
  <c r="C756" i="6"/>
  <c r="L755" i="6"/>
  <c r="H755" i="6"/>
  <c r="D755" i="6"/>
  <c r="M754" i="6"/>
  <c r="I754" i="6"/>
  <c r="E754" i="6"/>
  <c r="A754" i="6"/>
  <c r="J753" i="6"/>
  <c r="F753" i="6"/>
  <c r="B753" i="6"/>
  <c r="K752" i="6"/>
  <c r="G752" i="6"/>
  <c r="C752" i="6"/>
  <c r="L751" i="6"/>
  <c r="H751" i="6"/>
  <c r="D751" i="6"/>
  <c r="M750" i="6"/>
  <c r="I750" i="6"/>
  <c r="E750" i="6"/>
  <c r="A750" i="6"/>
  <c r="J749" i="6"/>
  <c r="F749" i="6"/>
  <c r="B749" i="6"/>
  <c r="K748" i="6"/>
  <c r="G748" i="6"/>
  <c r="C748" i="6"/>
  <c r="L747" i="6"/>
  <c r="H747" i="6"/>
  <c r="D747" i="6"/>
  <c r="M746" i="6"/>
  <c r="I746" i="6"/>
  <c r="E746" i="6"/>
  <c r="A746" i="6"/>
  <c r="J745" i="6"/>
  <c r="F745" i="6"/>
  <c r="B745" i="6"/>
  <c r="K744" i="6"/>
  <c r="G744" i="6"/>
  <c r="C744" i="6"/>
  <c r="L743" i="6"/>
  <c r="H743" i="6"/>
  <c r="D743" i="6"/>
  <c r="M742" i="6"/>
  <c r="I742" i="6"/>
  <c r="E742" i="6"/>
  <c r="A742" i="6"/>
  <c r="J741" i="6"/>
  <c r="F741" i="6"/>
  <c r="B741" i="6"/>
  <c r="K740" i="6"/>
  <c r="G740" i="6"/>
  <c r="C740" i="6"/>
  <c r="L739" i="6"/>
  <c r="H739" i="6"/>
  <c r="D739" i="6"/>
  <c r="M738" i="6"/>
  <c r="I738" i="6"/>
  <c r="E738" i="6"/>
  <c r="A738" i="6"/>
  <c r="J737" i="6"/>
  <c r="F737" i="6"/>
  <c r="B737" i="6"/>
  <c r="K736" i="6"/>
  <c r="G736" i="6"/>
  <c r="C736" i="6"/>
  <c r="L735" i="6"/>
  <c r="H735" i="6"/>
  <c r="D735" i="6"/>
  <c r="M734" i="6"/>
  <c r="I734" i="6"/>
  <c r="E734" i="6"/>
  <c r="A734" i="6"/>
  <c r="J733" i="6"/>
  <c r="F733" i="6"/>
  <c r="B733" i="6"/>
  <c r="K732" i="6"/>
  <c r="G732" i="6"/>
  <c r="C732" i="6"/>
  <c r="L731" i="6"/>
  <c r="H731" i="6"/>
  <c r="D731" i="6"/>
  <c r="M730" i="6"/>
  <c r="I730" i="6"/>
  <c r="E730" i="6"/>
  <c r="A730" i="6"/>
  <c r="J729" i="6"/>
  <c r="F729" i="6"/>
  <c r="B729" i="6"/>
  <c r="K728" i="6"/>
  <c r="G728" i="6"/>
  <c r="C728" i="6"/>
  <c r="L727" i="6"/>
  <c r="H727" i="6"/>
  <c r="D727" i="6"/>
  <c r="M726" i="6"/>
  <c r="I726" i="6"/>
  <c r="E726" i="6"/>
  <c r="A726" i="6"/>
  <c r="J725" i="6"/>
  <c r="F725" i="6"/>
  <c r="B725" i="6"/>
  <c r="K724" i="6"/>
  <c r="G724" i="6"/>
  <c r="C724" i="6"/>
  <c r="L723" i="6"/>
  <c r="H723" i="6"/>
  <c r="D723" i="6"/>
  <c r="M722" i="6"/>
  <c r="I722" i="6"/>
  <c r="E722" i="6"/>
  <c r="A722" i="6"/>
  <c r="J721" i="6"/>
  <c r="F721" i="6"/>
  <c r="B721" i="6"/>
  <c r="K720" i="6"/>
  <c r="G720" i="6"/>
  <c r="C720" i="6"/>
  <c r="L719" i="6"/>
  <c r="H719" i="6"/>
  <c r="D719" i="6"/>
  <c r="M718" i="6"/>
  <c r="I718" i="6"/>
  <c r="E718" i="6"/>
  <c r="A718" i="6"/>
  <c r="J717" i="6"/>
  <c r="F717" i="6"/>
  <c r="B717" i="6"/>
  <c r="K716" i="6"/>
  <c r="G716" i="6"/>
  <c r="C716" i="6"/>
  <c r="L715" i="6"/>
  <c r="H715" i="6"/>
  <c r="D715" i="6"/>
  <c r="M714" i="6"/>
  <c r="I714" i="6"/>
  <c r="E714" i="6"/>
  <c r="A714" i="6"/>
  <c r="J713" i="6"/>
  <c r="F713" i="6"/>
  <c r="B713" i="6"/>
  <c r="K712" i="6"/>
  <c r="G712" i="6"/>
  <c r="C712" i="6"/>
  <c r="L711" i="6"/>
  <c r="H711" i="6"/>
  <c r="D711" i="6"/>
  <c r="M710" i="6"/>
  <c r="I710" i="6"/>
  <c r="E710" i="6"/>
  <c r="A710" i="6"/>
  <c r="J709" i="6"/>
  <c r="F709" i="6"/>
  <c r="B709" i="6"/>
  <c r="K708" i="6"/>
  <c r="G708" i="6"/>
  <c r="C708" i="6"/>
  <c r="L707" i="6"/>
  <c r="H707" i="6"/>
  <c r="D707" i="6"/>
  <c r="M706" i="6"/>
  <c r="I706" i="6"/>
  <c r="E706" i="6"/>
  <c r="A706" i="6"/>
  <c r="J705" i="6"/>
  <c r="F705" i="6"/>
  <c r="B705" i="6"/>
  <c r="K704" i="6"/>
  <c r="G704" i="6"/>
  <c r="C704" i="6"/>
  <c r="L703" i="6"/>
  <c r="H703" i="6"/>
  <c r="D703" i="6"/>
  <c r="M702" i="6"/>
  <c r="I702" i="6"/>
  <c r="E702" i="6"/>
  <c r="A702" i="6"/>
  <c r="J701" i="6"/>
  <c r="F701" i="6"/>
  <c r="B701" i="6"/>
  <c r="K700" i="6"/>
  <c r="G700" i="6"/>
  <c r="C700" i="6"/>
  <c r="L699" i="6"/>
  <c r="H699" i="6"/>
  <c r="D699" i="6"/>
  <c r="M698" i="6"/>
  <c r="I698" i="6"/>
  <c r="E698" i="6"/>
  <c r="A698" i="6"/>
  <c r="J697" i="6"/>
  <c r="F697" i="6"/>
  <c r="B697" i="6"/>
  <c r="K696" i="6"/>
  <c r="G696" i="6"/>
  <c r="C696" i="6"/>
  <c r="L695" i="6"/>
  <c r="H695" i="6"/>
  <c r="D695" i="6"/>
  <c r="M694" i="6"/>
  <c r="I694" i="6"/>
  <c r="E694" i="6"/>
  <c r="A694" i="6"/>
  <c r="J693" i="6"/>
  <c r="F693" i="6"/>
  <c r="B693" i="6"/>
  <c r="K692" i="6"/>
  <c r="G692" i="6"/>
  <c r="C692" i="6"/>
  <c r="L691" i="6"/>
  <c r="H691" i="6"/>
  <c r="D691" i="6"/>
  <c r="M690" i="6"/>
  <c r="I690" i="6"/>
  <c r="E690" i="6"/>
  <c r="A690" i="6"/>
  <c r="J689" i="6"/>
  <c r="F689" i="6"/>
  <c r="B689" i="6"/>
  <c r="F770" i="6"/>
  <c r="C769" i="6"/>
  <c r="M767" i="6"/>
  <c r="J766" i="6"/>
  <c r="M765" i="6"/>
  <c r="I765" i="6"/>
  <c r="E765" i="6"/>
  <c r="A765" i="6"/>
  <c r="J764" i="6"/>
  <c r="F764" i="6"/>
  <c r="B764" i="6"/>
  <c r="K763" i="6"/>
  <c r="G763" i="6"/>
  <c r="C763" i="6"/>
  <c r="L762" i="6"/>
  <c r="H762" i="6"/>
  <c r="D762" i="6"/>
  <c r="M761" i="6"/>
  <c r="I761" i="6"/>
  <c r="E761" i="6"/>
  <c r="A761" i="6"/>
  <c r="J760" i="6"/>
  <c r="F760" i="6"/>
  <c r="B760" i="6"/>
  <c r="K759" i="6"/>
  <c r="G759" i="6"/>
  <c r="C759" i="6"/>
  <c r="L758" i="6"/>
  <c r="H758" i="6"/>
  <c r="D758" i="6"/>
  <c r="M757" i="6"/>
  <c r="I757" i="6"/>
  <c r="E757" i="6"/>
  <c r="A757" i="6"/>
  <c r="J756" i="6"/>
  <c r="F756" i="6"/>
  <c r="B756" i="6"/>
  <c r="K755" i="6"/>
  <c r="G755" i="6"/>
  <c r="C755" i="6"/>
  <c r="L754" i="6"/>
  <c r="H754" i="6"/>
  <c r="D754" i="6"/>
  <c r="M753" i="6"/>
  <c r="I753" i="6"/>
  <c r="E753" i="6"/>
  <c r="A753" i="6"/>
  <c r="J752" i="6"/>
  <c r="F752" i="6"/>
  <c r="B752" i="6"/>
  <c r="K751" i="6"/>
  <c r="G751" i="6"/>
  <c r="C751" i="6"/>
  <c r="L750" i="6"/>
  <c r="H750" i="6"/>
  <c r="D750" i="6"/>
  <c r="M749" i="6"/>
  <c r="I749" i="6"/>
  <c r="E749" i="6"/>
  <c r="A749" i="6"/>
  <c r="J748" i="6"/>
  <c r="F748" i="6"/>
  <c r="B748" i="6"/>
  <c r="K747" i="6"/>
  <c r="G747" i="6"/>
  <c r="C747" i="6"/>
  <c r="L746" i="6"/>
  <c r="H746" i="6"/>
  <c r="D746" i="6"/>
  <c r="M745" i="6"/>
  <c r="I745" i="6"/>
  <c r="E745" i="6"/>
  <c r="A745" i="6"/>
  <c r="J744" i="6"/>
  <c r="F744" i="6"/>
  <c r="B744" i="6"/>
  <c r="K743" i="6"/>
  <c r="G743" i="6"/>
  <c r="C743" i="6"/>
  <c r="L742" i="6"/>
  <c r="H742" i="6"/>
  <c r="D742" i="6"/>
  <c r="M741" i="6"/>
  <c r="I741" i="6"/>
  <c r="E741" i="6"/>
  <c r="A741" i="6"/>
  <c r="J740" i="6"/>
  <c r="F740" i="6"/>
  <c r="B740" i="6"/>
  <c r="K739" i="6"/>
  <c r="G739" i="6"/>
  <c r="C739" i="6"/>
  <c r="L738" i="6"/>
  <c r="H738" i="6"/>
  <c r="D738" i="6"/>
  <c r="M737" i="6"/>
  <c r="I737" i="6"/>
  <c r="E737" i="6"/>
  <c r="A737" i="6"/>
  <c r="J736" i="6"/>
  <c r="F736" i="6"/>
  <c r="B736" i="6"/>
  <c r="K735" i="6"/>
  <c r="G735" i="6"/>
  <c r="C735" i="6"/>
  <c r="L734" i="6"/>
  <c r="H734" i="6"/>
  <c r="D734" i="6"/>
  <c r="M733" i="6"/>
  <c r="I733" i="6"/>
  <c r="E733" i="6"/>
  <c r="A733" i="6"/>
  <c r="J732" i="6"/>
  <c r="F732" i="6"/>
  <c r="B732" i="6"/>
  <c r="K731" i="6"/>
  <c r="G731" i="6"/>
  <c r="C731" i="6"/>
  <c r="L730" i="6"/>
  <c r="H730" i="6"/>
  <c r="D730" i="6"/>
  <c r="M729" i="6"/>
  <c r="I729" i="6"/>
  <c r="E729" i="6"/>
  <c r="A729" i="6"/>
  <c r="J728" i="6"/>
  <c r="F728" i="6"/>
  <c r="B728" i="6"/>
  <c r="K727" i="6"/>
  <c r="G727" i="6"/>
  <c r="C727" i="6"/>
  <c r="L726" i="6"/>
  <c r="H726" i="6"/>
  <c r="D726" i="6"/>
  <c r="M725" i="6"/>
  <c r="I725" i="6"/>
  <c r="E725" i="6"/>
  <c r="A725" i="6"/>
  <c r="J724" i="6"/>
  <c r="F724" i="6"/>
  <c r="B724" i="6"/>
  <c r="K723" i="6"/>
  <c r="G723" i="6"/>
  <c r="C723" i="6"/>
  <c r="L722" i="6"/>
  <c r="H722" i="6"/>
  <c r="D722" i="6"/>
  <c r="M721" i="6"/>
  <c r="I721" i="6"/>
  <c r="E721" i="6"/>
  <c r="A721" i="6"/>
  <c r="J720" i="6"/>
  <c r="F720" i="6"/>
  <c r="B720" i="6"/>
  <c r="K719" i="6"/>
  <c r="G719" i="6"/>
  <c r="C719" i="6"/>
  <c r="L718" i="6"/>
  <c r="H718" i="6"/>
  <c r="D718" i="6"/>
  <c r="M717" i="6"/>
  <c r="I717" i="6"/>
  <c r="E717" i="6"/>
  <c r="A717" i="6"/>
  <c r="J716" i="6"/>
  <c r="F716" i="6"/>
  <c r="B716" i="6"/>
  <c r="K715" i="6"/>
  <c r="G715" i="6"/>
  <c r="C715" i="6"/>
  <c r="L714" i="6"/>
  <c r="H714" i="6"/>
  <c r="D714" i="6"/>
  <c r="M713" i="6"/>
  <c r="I713" i="6"/>
  <c r="E713" i="6"/>
  <c r="A713" i="6"/>
  <c r="J712" i="6"/>
  <c r="F712" i="6"/>
  <c r="B712" i="6"/>
  <c r="K711" i="6"/>
  <c r="G711" i="6"/>
  <c r="C711" i="6"/>
  <c r="L710" i="6"/>
  <c r="H710" i="6"/>
  <c r="D710" i="6"/>
  <c r="M709" i="6"/>
  <c r="I709" i="6"/>
  <c r="E709" i="6"/>
  <c r="A709" i="6"/>
  <c r="J708" i="6"/>
  <c r="F708" i="6"/>
  <c r="B708" i="6"/>
  <c r="K707" i="6"/>
  <c r="G707" i="6"/>
  <c r="C707" i="6"/>
  <c r="L706" i="6"/>
  <c r="H706" i="6"/>
  <c r="D706" i="6"/>
  <c r="M705" i="6"/>
  <c r="I705" i="6"/>
  <c r="E705" i="6"/>
  <c r="A705" i="6"/>
  <c r="J704" i="6"/>
  <c r="F704" i="6"/>
  <c r="B704" i="6"/>
  <c r="K703" i="6"/>
  <c r="G703" i="6"/>
  <c r="C703" i="6"/>
  <c r="L702" i="6"/>
  <c r="H702" i="6"/>
  <c r="D702" i="6"/>
  <c r="M701" i="6"/>
  <c r="I701" i="6"/>
  <c r="E701" i="6"/>
  <c r="A701" i="6"/>
  <c r="J700" i="6"/>
  <c r="F700" i="6"/>
  <c r="B700" i="6"/>
  <c r="K699" i="6"/>
  <c r="G699" i="6"/>
  <c r="C699" i="6"/>
  <c r="L698" i="6"/>
  <c r="H698" i="6"/>
  <c r="D698" i="6"/>
  <c r="M697" i="6"/>
  <c r="I697" i="6"/>
  <c r="E697" i="6"/>
  <c r="A697" i="6"/>
  <c r="J696" i="6"/>
  <c r="F696" i="6"/>
  <c r="B696" i="6"/>
  <c r="K695" i="6"/>
  <c r="G695" i="6"/>
  <c r="C695" i="6"/>
  <c r="L694" i="6"/>
  <c r="H694" i="6"/>
  <c r="D694" i="6"/>
  <c r="M693" i="6"/>
  <c r="I693" i="6"/>
  <c r="E693" i="6"/>
  <c r="A693" i="6"/>
  <c r="J692" i="6"/>
  <c r="F692" i="6"/>
  <c r="B692" i="6"/>
  <c r="K691" i="6"/>
  <c r="G691" i="6"/>
  <c r="C691" i="6"/>
  <c r="L690" i="6"/>
  <c r="H690" i="6"/>
  <c r="D690" i="6"/>
  <c r="M689" i="6"/>
  <c r="I689" i="6"/>
  <c r="E689" i="6"/>
  <c r="A689" i="6"/>
  <c r="I692" i="6"/>
  <c r="F691" i="6"/>
  <c r="C690" i="6"/>
  <c r="M688" i="6"/>
  <c r="H688" i="6"/>
  <c r="D688" i="6"/>
  <c r="M687" i="6"/>
  <c r="I687" i="6"/>
  <c r="E687" i="6"/>
  <c r="A687" i="6"/>
  <c r="J686" i="6"/>
  <c r="F686" i="6"/>
  <c r="B686" i="6"/>
  <c r="K685" i="6"/>
  <c r="G685" i="6"/>
  <c r="C685" i="6"/>
  <c r="L684" i="6"/>
  <c r="G684" i="6"/>
  <c r="C684" i="6"/>
  <c r="L683" i="6"/>
  <c r="H683" i="6"/>
  <c r="D683" i="6"/>
  <c r="M682" i="6"/>
  <c r="I682" i="6"/>
  <c r="E682" i="6"/>
  <c r="A682" i="6"/>
  <c r="J681" i="6"/>
  <c r="F681" i="6"/>
  <c r="B681" i="6"/>
  <c r="K680" i="6"/>
  <c r="G680" i="6"/>
  <c r="C680" i="6"/>
  <c r="L679" i="6"/>
  <c r="H679" i="6"/>
  <c r="D679" i="6"/>
  <c r="M678" i="6"/>
  <c r="I678" i="6"/>
  <c r="E678" i="6"/>
  <c r="A678" i="6"/>
  <c r="J677" i="6"/>
  <c r="F677" i="6"/>
  <c r="B677" i="6"/>
  <c r="K676" i="6"/>
  <c r="G676" i="6"/>
  <c r="C676" i="6"/>
  <c r="L675" i="6"/>
  <c r="H675" i="6"/>
  <c r="D675" i="6"/>
  <c r="M674" i="6"/>
  <c r="I674" i="6"/>
  <c r="E674" i="6"/>
  <c r="A674" i="6"/>
  <c r="J673" i="6"/>
  <c r="F673" i="6"/>
  <c r="B673" i="6"/>
  <c r="K672" i="6"/>
  <c r="G672" i="6"/>
  <c r="C672" i="6"/>
  <c r="L671" i="6"/>
  <c r="G671" i="6"/>
  <c r="C671" i="6"/>
  <c r="L670" i="6"/>
  <c r="G670" i="6"/>
  <c r="C670" i="6"/>
  <c r="L669" i="6"/>
  <c r="G669" i="6"/>
  <c r="C669" i="6"/>
  <c r="L668" i="6"/>
  <c r="G668" i="6"/>
  <c r="C668" i="6"/>
  <c r="L667" i="6"/>
  <c r="G667" i="6"/>
  <c r="C667" i="6"/>
  <c r="L666" i="6"/>
  <c r="G666" i="6"/>
  <c r="C666" i="6"/>
  <c r="L665" i="6"/>
  <c r="H665" i="6"/>
  <c r="D665" i="6"/>
  <c r="M664" i="6"/>
  <c r="I664" i="6"/>
  <c r="E664" i="6"/>
  <c r="A664" i="6"/>
  <c r="I663" i="6"/>
  <c r="E663" i="6"/>
  <c r="A663" i="6"/>
  <c r="I662" i="6"/>
  <c r="E662" i="6"/>
  <c r="A662" i="6"/>
  <c r="I661" i="6"/>
  <c r="E661" i="6"/>
  <c r="A661" i="6"/>
  <c r="I660" i="6"/>
  <c r="E660" i="6"/>
  <c r="A660" i="6"/>
  <c r="I659" i="6"/>
  <c r="E659" i="6"/>
  <c r="A659" i="6"/>
  <c r="I658" i="6"/>
  <c r="E658" i="6"/>
  <c r="A658" i="6"/>
  <c r="J657" i="6"/>
  <c r="F657" i="6"/>
  <c r="B657" i="6"/>
  <c r="K656" i="6"/>
  <c r="G656" i="6"/>
  <c r="C656" i="6"/>
  <c r="L655" i="6"/>
  <c r="G655" i="6"/>
  <c r="C655" i="6"/>
  <c r="L654" i="6"/>
  <c r="G654" i="6"/>
  <c r="C654" i="6"/>
  <c r="L653" i="6"/>
  <c r="G653" i="6"/>
  <c r="C653" i="6"/>
  <c r="L652" i="6"/>
  <c r="G652" i="6"/>
  <c r="C652" i="6"/>
  <c r="L651" i="6"/>
  <c r="G651" i="6"/>
  <c r="C651" i="6"/>
  <c r="L650" i="6"/>
  <c r="G650" i="6"/>
  <c r="C650" i="6"/>
  <c r="L649" i="6"/>
  <c r="H649" i="6"/>
  <c r="D649" i="6"/>
  <c r="M648" i="6"/>
  <c r="I648" i="6"/>
  <c r="E648" i="6"/>
  <c r="A648" i="6"/>
  <c r="I647" i="6"/>
  <c r="E647" i="6"/>
  <c r="A647" i="6"/>
  <c r="I646" i="6"/>
  <c r="E646" i="6"/>
  <c r="A646" i="6"/>
  <c r="I645" i="6"/>
  <c r="E645" i="6"/>
  <c r="A645" i="6"/>
  <c r="I644" i="6"/>
  <c r="E644" i="6"/>
  <c r="A644" i="6"/>
  <c r="I643" i="6"/>
  <c r="E643" i="6"/>
  <c r="A643" i="6"/>
  <c r="I642" i="6"/>
  <c r="E642" i="6"/>
  <c r="A642" i="6"/>
  <c r="J641" i="6"/>
  <c r="F641" i="6"/>
  <c r="B641" i="6"/>
  <c r="K640" i="6"/>
  <c r="G640" i="6"/>
  <c r="C640" i="6"/>
  <c r="L639" i="6"/>
  <c r="G639" i="6"/>
  <c r="C639" i="6"/>
  <c r="L638" i="6"/>
  <c r="G638" i="6"/>
  <c r="C638" i="6"/>
  <c r="L637" i="6"/>
  <c r="G637" i="6"/>
  <c r="C637" i="6"/>
  <c r="L636" i="6"/>
  <c r="G636" i="6"/>
  <c r="C636" i="6"/>
  <c r="L635" i="6"/>
  <c r="G635" i="6"/>
  <c r="C635" i="6"/>
  <c r="L634" i="6"/>
  <c r="G634" i="6"/>
  <c r="C634" i="6"/>
  <c r="L633" i="6"/>
  <c r="H633" i="6"/>
  <c r="D633" i="6"/>
  <c r="M632" i="6"/>
  <c r="I632" i="6"/>
  <c r="E632" i="6"/>
  <c r="A632" i="6"/>
  <c r="I631" i="6"/>
  <c r="E631" i="6"/>
  <c r="A631" i="6"/>
  <c r="I630" i="6"/>
  <c r="E630" i="6"/>
  <c r="A630" i="6"/>
  <c r="I629" i="6"/>
  <c r="E629" i="6"/>
  <c r="A629" i="6"/>
  <c r="I628" i="6"/>
  <c r="E628" i="6"/>
  <c r="A628" i="6"/>
  <c r="I627" i="6"/>
  <c r="E627" i="6"/>
  <c r="A627" i="6"/>
  <c r="I626" i="6"/>
  <c r="E626" i="6"/>
  <c r="A626" i="6"/>
  <c r="J625" i="6"/>
  <c r="F625" i="6"/>
  <c r="B625" i="6"/>
  <c r="K624" i="6"/>
  <c r="G624" i="6"/>
  <c r="C624" i="6"/>
  <c r="L623" i="6"/>
  <c r="G623" i="6"/>
  <c r="C623" i="6"/>
  <c r="L622" i="6"/>
  <c r="G622" i="6"/>
  <c r="C622" i="6"/>
  <c r="L621" i="6"/>
  <c r="G621" i="6"/>
  <c r="C621" i="6"/>
  <c r="L620" i="6"/>
  <c r="G620" i="6"/>
  <c r="C620" i="6"/>
  <c r="L619" i="6"/>
  <c r="G619" i="6"/>
  <c r="C619" i="6"/>
  <c r="L618" i="6"/>
  <c r="G618" i="6"/>
  <c r="C618" i="6"/>
  <c r="L617" i="6"/>
  <c r="H617" i="6"/>
  <c r="D617" i="6"/>
  <c r="M616" i="6"/>
  <c r="I616" i="6"/>
  <c r="E616" i="6"/>
  <c r="A616" i="6"/>
  <c r="I615" i="6"/>
  <c r="E615" i="6"/>
  <c r="A615" i="6"/>
  <c r="I614" i="6"/>
  <c r="E614" i="6"/>
  <c r="A614" i="6"/>
  <c r="I613" i="6"/>
  <c r="E613" i="6"/>
  <c r="A613" i="6"/>
  <c r="I612" i="6"/>
  <c r="E612" i="6"/>
  <c r="A612" i="6"/>
  <c r="I611" i="6"/>
  <c r="E611" i="6"/>
  <c r="A611" i="6"/>
  <c r="I610" i="6"/>
  <c r="E610" i="6"/>
  <c r="A610" i="6"/>
  <c r="J609" i="6"/>
  <c r="F609" i="6"/>
  <c r="B609" i="6"/>
  <c r="K608" i="6"/>
  <c r="G608" i="6"/>
  <c r="C608" i="6"/>
  <c r="L607" i="6"/>
  <c r="E692" i="6"/>
  <c r="B691" i="6"/>
  <c r="L689" i="6"/>
  <c r="K688" i="6"/>
  <c r="G688" i="6"/>
  <c r="C688" i="6"/>
  <c r="L687" i="6"/>
  <c r="H687" i="6"/>
  <c r="D687" i="6"/>
  <c r="M686" i="6"/>
  <c r="I686" i="6"/>
  <c r="E686" i="6"/>
  <c r="A686" i="6"/>
  <c r="J685" i="6"/>
  <c r="F685" i="6"/>
  <c r="B685" i="6"/>
  <c r="J684" i="6"/>
  <c r="F684" i="6"/>
  <c r="B684" i="6"/>
  <c r="K683" i="6"/>
  <c r="G683" i="6"/>
  <c r="C683" i="6"/>
  <c r="L682" i="6"/>
  <c r="H682" i="6"/>
  <c r="D682" i="6"/>
  <c r="M681" i="6"/>
  <c r="I681" i="6"/>
  <c r="E681" i="6"/>
  <c r="A681" i="6"/>
  <c r="J680" i="6"/>
  <c r="F680" i="6"/>
  <c r="B680" i="6"/>
  <c r="K679" i="6"/>
  <c r="G679" i="6"/>
  <c r="C679" i="6"/>
  <c r="L678" i="6"/>
  <c r="H678" i="6"/>
  <c r="D678" i="6"/>
  <c r="M677" i="6"/>
  <c r="I677" i="6"/>
  <c r="E677" i="6"/>
  <c r="A677" i="6"/>
  <c r="J676" i="6"/>
  <c r="F676" i="6"/>
  <c r="B676" i="6"/>
  <c r="K675" i="6"/>
  <c r="G675" i="6"/>
  <c r="C675" i="6"/>
  <c r="L674" i="6"/>
  <c r="H674" i="6"/>
  <c r="D674" i="6"/>
  <c r="M673" i="6"/>
  <c r="I673" i="6"/>
  <c r="E673" i="6"/>
  <c r="A673" i="6"/>
  <c r="J672" i="6"/>
  <c r="F672" i="6"/>
  <c r="B672" i="6"/>
  <c r="J671" i="6"/>
  <c r="F671" i="6"/>
  <c r="B671" i="6"/>
  <c r="J670" i="6"/>
  <c r="F670" i="6"/>
  <c r="B670" i="6"/>
  <c r="J669" i="6"/>
  <c r="F669" i="6"/>
  <c r="B669" i="6"/>
  <c r="J668" i="6"/>
  <c r="F668" i="6"/>
  <c r="B668" i="6"/>
  <c r="J667" i="6"/>
  <c r="F667" i="6"/>
  <c r="B667" i="6"/>
  <c r="J666" i="6"/>
  <c r="F666" i="6"/>
  <c r="B666" i="6"/>
  <c r="K665" i="6"/>
  <c r="G665" i="6"/>
  <c r="C665" i="6"/>
  <c r="L664" i="6"/>
  <c r="H664" i="6"/>
  <c r="D664" i="6"/>
  <c r="M663" i="6"/>
  <c r="H663" i="6"/>
  <c r="D663" i="6"/>
  <c r="M662" i="6"/>
  <c r="H662" i="6"/>
  <c r="D662" i="6"/>
  <c r="M661" i="6"/>
  <c r="H661" i="6"/>
  <c r="D661" i="6"/>
  <c r="M660" i="6"/>
  <c r="H660" i="6"/>
  <c r="D660" i="6"/>
  <c r="M659" i="6"/>
  <c r="H659" i="6"/>
  <c r="D659" i="6"/>
  <c r="M658" i="6"/>
  <c r="H658" i="6"/>
  <c r="D658" i="6"/>
  <c r="M657" i="6"/>
  <c r="I657" i="6"/>
  <c r="E657" i="6"/>
  <c r="A657" i="6"/>
  <c r="J656" i="6"/>
  <c r="F656" i="6"/>
  <c r="B656" i="6"/>
  <c r="J655" i="6"/>
  <c r="F655" i="6"/>
  <c r="B655" i="6"/>
  <c r="J654" i="6"/>
  <c r="F654" i="6"/>
  <c r="B654" i="6"/>
  <c r="J653" i="6"/>
  <c r="F653" i="6"/>
  <c r="B653" i="6"/>
  <c r="J652" i="6"/>
  <c r="F652" i="6"/>
  <c r="B652" i="6"/>
  <c r="J651" i="6"/>
  <c r="F651" i="6"/>
  <c r="B651" i="6"/>
  <c r="J650" i="6"/>
  <c r="F650" i="6"/>
  <c r="B650" i="6"/>
  <c r="K649" i="6"/>
  <c r="G649" i="6"/>
  <c r="C649" i="6"/>
  <c r="L648" i="6"/>
  <c r="H648" i="6"/>
  <c r="D648" i="6"/>
  <c r="M647" i="6"/>
  <c r="H647" i="6"/>
  <c r="D647" i="6"/>
  <c r="M646" i="6"/>
  <c r="H646" i="6"/>
  <c r="D646" i="6"/>
  <c r="M645" i="6"/>
  <c r="H645" i="6"/>
  <c r="D645" i="6"/>
  <c r="M644" i="6"/>
  <c r="H644" i="6"/>
  <c r="D644" i="6"/>
  <c r="M643" i="6"/>
  <c r="H643" i="6"/>
  <c r="D643" i="6"/>
  <c r="M642" i="6"/>
  <c r="H642" i="6"/>
  <c r="D642" i="6"/>
  <c r="M641" i="6"/>
  <c r="I641" i="6"/>
  <c r="E641" i="6"/>
  <c r="A641" i="6"/>
  <c r="J640" i="6"/>
  <c r="F640" i="6"/>
  <c r="B640" i="6"/>
  <c r="J639" i="6"/>
  <c r="F639" i="6"/>
  <c r="B639" i="6"/>
  <c r="J638" i="6"/>
  <c r="F638" i="6"/>
  <c r="B638" i="6"/>
  <c r="J637" i="6"/>
  <c r="F637" i="6"/>
  <c r="B637" i="6"/>
  <c r="J636" i="6"/>
  <c r="F636" i="6"/>
  <c r="B636" i="6"/>
  <c r="J635" i="6"/>
  <c r="F635" i="6"/>
  <c r="B635" i="6"/>
  <c r="J634" i="6"/>
  <c r="F634" i="6"/>
  <c r="B634" i="6"/>
  <c r="K633" i="6"/>
  <c r="G633" i="6"/>
  <c r="C633" i="6"/>
  <c r="L632" i="6"/>
  <c r="H632" i="6"/>
  <c r="D632" i="6"/>
  <c r="M631" i="6"/>
  <c r="H631" i="6"/>
  <c r="D631" i="6"/>
  <c r="M630" i="6"/>
  <c r="H630" i="6"/>
  <c r="D630" i="6"/>
  <c r="M629" i="6"/>
  <c r="H629" i="6"/>
  <c r="D629" i="6"/>
  <c r="M628" i="6"/>
  <c r="H628" i="6"/>
  <c r="D628" i="6"/>
  <c r="M627" i="6"/>
  <c r="H627" i="6"/>
  <c r="D627" i="6"/>
  <c r="M626" i="6"/>
  <c r="H626" i="6"/>
  <c r="D626" i="6"/>
  <c r="M625" i="6"/>
  <c r="I625" i="6"/>
  <c r="E625" i="6"/>
  <c r="A625" i="6"/>
  <c r="J624" i="6"/>
  <c r="F624" i="6"/>
  <c r="B624" i="6"/>
  <c r="J623" i="6"/>
  <c r="F623" i="6"/>
  <c r="B623" i="6"/>
  <c r="J622" i="6"/>
  <c r="F622" i="6"/>
  <c r="B622" i="6"/>
  <c r="J621" i="6"/>
  <c r="F621" i="6"/>
  <c r="B621" i="6"/>
  <c r="J620" i="6"/>
  <c r="F620" i="6"/>
  <c r="B620" i="6"/>
  <c r="J619" i="6"/>
  <c r="F619" i="6"/>
  <c r="B619" i="6"/>
  <c r="J618" i="6"/>
  <c r="F618" i="6"/>
  <c r="B618" i="6"/>
  <c r="K617" i="6"/>
  <c r="G617" i="6"/>
  <c r="C617" i="6"/>
  <c r="L616" i="6"/>
  <c r="H616" i="6"/>
  <c r="D616" i="6"/>
  <c r="M615" i="6"/>
  <c r="H615" i="6"/>
  <c r="D615" i="6"/>
  <c r="M614" i="6"/>
  <c r="H614" i="6"/>
  <c r="D614" i="6"/>
  <c r="M613" i="6"/>
  <c r="H613" i="6"/>
  <c r="D613" i="6"/>
  <c r="M612" i="6"/>
  <c r="H612" i="6"/>
  <c r="D612" i="6"/>
  <c r="M611" i="6"/>
  <c r="H611" i="6"/>
  <c r="D611" i="6"/>
  <c r="M610" i="6"/>
  <c r="H610" i="6"/>
  <c r="D610" i="6"/>
  <c r="M609" i="6"/>
  <c r="I609" i="6"/>
  <c r="E609" i="6"/>
  <c r="A609" i="6"/>
  <c r="J608" i="6"/>
  <c r="F608" i="6"/>
  <c r="B608" i="6"/>
  <c r="J607" i="6"/>
  <c r="A692" i="6"/>
  <c r="K690" i="6"/>
  <c r="H689" i="6"/>
  <c r="J688" i="6"/>
  <c r="F688" i="6"/>
  <c r="B688" i="6"/>
  <c r="K687" i="6"/>
  <c r="G687" i="6"/>
  <c r="C687" i="6"/>
  <c r="L686" i="6"/>
  <c r="H686" i="6"/>
  <c r="D686" i="6"/>
  <c r="M685" i="6"/>
  <c r="I685" i="6"/>
  <c r="E685" i="6"/>
  <c r="A685" i="6"/>
  <c r="I684" i="6"/>
  <c r="E684" i="6"/>
  <c r="A684" i="6"/>
  <c r="J683" i="6"/>
  <c r="F683" i="6"/>
  <c r="B683" i="6"/>
  <c r="K682" i="6"/>
  <c r="G682" i="6"/>
  <c r="C682" i="6"/>
  <c r="L681" i="6"/>
  <c r="H681" i="6"/>
  <c r="D681" i="6"/>
  <c r="M680" i="6"/>
  <c r="I680" i="6"/>
  <c r="E680" i="6"/>
  <c r="A680" i="6"/>
  <c r="J679" i="6"/>
  <c r="F679" i="6"/>
  <c r="B679" i="6"/>
  <c r="K678" i="6"/>
  <c r="G678" i="6"/>
  <c r="C678" i="6"/>
  <c r="L677" i="6"/>
  <c r="H677" i="6"/>
  <c r="D677" i="6"/>
  <c r="M676" i="6"/>
  <c r="I676" i="6"/>
  <c r="E676" i="6"/>
  <c r="A676" i="6"/>
  <c r="J675" i="6"/>
  <c r="F675" i="6"/>
  <c r="B675" i="6"/>
  <c r="K674" i="6"/>
  <c r="G674" i="6"/>
  <c r="C674" i="6"/>
  <c r="L673" i="6"/>
  <c r="H673" i="6"/>
  <c r="D673" i="6"/>
  <c r="M672" i="6"/>
  <c r="I672" i="6"/>
  <c r="E672" i="6"/>
  <c r="A672" i="6"/>
  <c r="I671" i="6"/>
  <c r="E671" i="6"/>
  <c r="A671" i="6"/>
  <c r="I670" i="6"/>
  <c r="E670" i="6"/>
  <c r="A670" i="6"/>
  <c r="I669" i="6"/>
  <c r="E669" i="6"/>
  <c r="A669" i="6"/>
  <c r="I668" i="6"/>
  <c r="E668" i="6"/>
  <c r="A668" i="6"/>
  <c r="I667" i="6"/>
  <c r="E667" i="6"/>
  <c r="A667" i="6"/>
  <c r="I666" i="6"/>
  <c r="E666" i="6"/>
  <c r="A666" i="6"/>
  <c r="J665" i="6"/>
  <c r="F665" i="6"/>
  <c r="B665" i="6"/>
  <c r="K664" i="6"/>
  <c r="G664" i="6"/>
  <c r="C664" i="6"/>
  <c r="L663" i="6"/>
  <c r="G663" i="6"/>
  <c r="C663" i="6"/>
  <c r="L662" i="6"/>
  <c r="G662" i="6"/>
  <c r="C662" i="6"/>
  <c r="L661" i="6"/>
  <c r="G661" i="6"/>
  <c r="C661" i="6"/>
  <c r="L660" i="6"/>
  <c r="G660" i="6"/>
  <c r="C660" i="6"/>
  <c r="L659" i="6"/>
  <c r="G659" i="6"/>
  <c r="C659" i="6"/>
  <c r="L658" i="6"/>
  <c r="G658" i="6"/>
  <c r="C658" i="6"/>
  <c r="L657" i="6"/>
  <c r="H657" i="6"/>
  <c r="D657" i="6"/>
  <c r="M656" i="6"/>
  <c r="I656" i="6"/>
  <c r="E656" i="6"/>
  <c r="A656" i="6"/>
  <c r="I655" i="6"/>
  <c r="E655" i="6"/>
  <c r="A655" i="6"/>
  <c r="I654" i="6"/>
  <c r="E654" i="6"/>
  <c r="A654" i="6"/>
  <c r="I653" i="6"/>
  <c r="E653" i="6"/>
  <c r="A653" i="6"/>
  <c r="I652" i="6"/>
  <c r="E652" i="6"/>
  <c r="A652" i="6"/>
  <c r="I651" i="6"/>
  <c r="E651" i="6"/>
  <c r="A651" i="6"/>
  <c r="I650" i="6"/>
  <c r="E650" i="6"/>
  <c r="A650" i="6"/>
  <c r="J649" i="6"/>
  <c r="F649" i="6"/>
  <c r="B649" i="6"/>
  <c r="K648" i="6"/>
  <c r="G648" i="6"/>
  <c r="C648" i="6"/>
  <c r="L647" i="6"/>
  <c r="G647" i="6"/>
  <c r="C647" i="6"/>
  <c r="L646" i="6"/>
  <c r="G646" i="6"/>
  <c r="C646" i="6"/>
  <c r="L645" i="6"/>
  <c r="G645" i="6"/>
  <c r="C645" i="6"/>
  <c r="L644" i="6"/>
  <c r="G644" i="6"/>
  <c r="C644" i="6"/>
  <c r="L643" i="6"/>
  <c r="G643" i="6"/>
  <c r="C643" i="6"/>
  <c r="L642" i="6"/>
  <c r="G642" i="6"/>
  <c r="C642" i="6"/>
  <c r="L641" i="6"/>
  <c r="H641" i="6"/>
  <c r="D641" i="6"/>
  <c r="M640" i="6"/>
  <c r="I640" i="6"/>
  <c r="E640" i="6"/>
  <c r="A640" i="6"/>
  <c r="I639" i="6"/>
  <c r="E639" i="6"/>
  <c r="A639" i="6"/>
  <c r="I638" i="6"/>
  <c r="E638" i="6"/>
  <c r="A638" i="6"/>
  <c r="I637" i="6"/>
  <c r="E637" i="6"/>
  <c r="A637" i="6"/>
  <c r="I636" i="6"/>
  <c r="E636" i="6"/>
  <c r="A636" i="6"/>
  <c r="I635" i="6"/>
  <c r="E635" i="6"/>
  <c r="A635" i="6"/>
  <c r="I634" i="6"/>
  <c r="E634" i="6"/>
  <c r="A634" i="6"/>
  <c r="J633" i="6"/>
  <c r="F633" i="6"/>
  <c r="B633" i="6"/>
  <c r="K632" i="6"/>
  <c r="G632" i="6"/>
  <c r="C632" i="6"/>
  <c r="L631" i="6"/>
  <c r="G631" i="6"/>
  <c r="C631" i="6"/>
  <c r="L630" i="6"/>
  <c r="G630" i="6"/>
  <c r="C630" i="6"/>
  <c r="L629" i="6"/>
  <c r="G629" i="6"/>
  <c r="C629" i="6"/>
  <c r="L628" i="6"/>
  <c r="G628" i="6"/>
  <c r="C628" i="6"/>
  <c r="L627" i="6"/>
  <c r="G627" i="6"/>
  <c r="C627" i="6"/>
  <c r="L626" i="6"/>
  <c r="G626" i="6"/>
  <c r="C626" i="6"/>
  <c r="L625" i="6"/>
  <c r="H625" i="6"/>
  <c r="D625" i="6"/>
  <c r="M624" i="6"/>
  <c r="I624" i="6"/>
  <c r="E624" i="6"/>
  <c r="A624" i="6"/>
  <c r="I623" i="6"/>
  <c r="E623" i="6"/>
  <c r="A623" i="6"/>
  <c r="I622" i="6"/>
  <c r="E622" i="6"/>
  <c r="A622" i="6"/>
  <c r="I621" i="6"/>
  <c r="E621" i="6"/>
  <c r="A621" i="6"/>
  <c r="I620" i="6"/>
  <c r="E620" i="6"/>
  <c r="A620" i="6"/>
  <c r="I619" i="6"/>
  <c r="E619" i="6"/>
  <c r="A619" i="6"/>
  <c r="I618" i="6"/>
  <c r="E618" i="6"/>
  <c r="A618" i="6"/>
  <c r="J617" i="6"/>
  <c r="F617" i="6"/>
  <c r="B617" i="6"/>
  <c r="K616" i="6"/>
  <c r="G616" i="6"/>
  <c r="C616" i="6"/>
  <c r="L615" i="6"/>
  <c r="G615" i="6"/>
  <c r="C615" i="6"/>
  <c r="L614" i="6"/>
  <c r="G614" i="6"/>
  <c r="C614" i="6"/>
  <c r="L613" i="6"/>
  <c r="G613" i="6"/>
  <c r="C613" i="6"/>
  <c r="L612" i="6"/>
  <c r="G612" i="6"/>
  <c r="C612" i="6"/>
  <c r="L611" i="6"/>
  <c r="G611" i="6"/>
  <c r="C611" i="6"/>
  <c r="L610" i="6"/>
  <c r="G610" i="6"/>
  <c r="C610" i="6"/>
  <c r="L609" i="6"/>
  <c r="H609" i="6"/>
  <c r="D609" i="6"/>
  <c r="M608" i="6"/>
  <c r="I608" i="6"/>
  <c r="E608" i="6"/>
  <c r="A608" i="6"/>
  <c r="I607" i="6"/>
  <c r="E607" i="6"/>
  <c r="J691" i="6"/>
  <c r="G690" i="6"/>
  <c r="D689" i="6"/>
  <c r="I688" i="6"/>
  <c r="E688" i="6"/>
  <c r="A688" i="6"/>
  <c r="J687" i="6"/>
  <c r="F687" i="6"/>
  <c r="B687" i="6"/>
  <c r="K686" i="6"/>
  <c r="G686" i="6"/>
  <c r="C686" i="6"/>
  <c r="L685" i="6"/>
  <c r="H685" i="6"/>
  <c r="D685" i="6"/>
  <c r="M684" i="6"/>
  <c r="H684" i="6"/>
  <c r="D684" i="6"/>
  <c r="M683" i="6"/>
  <c r="I683" i="6"/>
  <c r="E683" i="6"/>
  <c r="A683" i="6"/>
  <c r="J682" i="6"/>
  <c r="F682" i="6"/>
  <c r="B682" i="6"/>
  <c r="K681" i="6"/>
  <c r="G681" i="6"/>
  <c r="C681" i="6"/>
  <c r="L680" i="6"/>
  <c r="H680" i="6"/>
  <c r="D680" i="6"/>
  <c r="M679" i="6"/>
  <c r="I679" i="6"/>
  <c r="E679" i="6"/>
  <c r="A679" i="6"/>
  <c r="J678" i="6"/>
  <c r="F678" i="6"/>
  <c r="B678" i="6"/>
  <c r="K677" i="6"/>
  <c r="G677" i="6"/>
  <c r="C677" i="6"/>
  <c r="L676" i="6"/>
  <c r="H676" i="6"/>
  <c r="D676" i="6"/>
  <c r="M675" i="6"/>
  <c r="I675" i="6"/>
  <c r="E675" i="6"/>
  <c r="A675" i="6"/>
  <c r="J674" i="6"/>
  <c r="F674" i="6"/>
  <c r="B674" i="6"/>
  <c r="K673" i="6"/>
  <c r="G673" i="6"/>
  <c r="C673" i="6"/>
  <c r="L672" i="6"/>
  <c r="H672" i="6"/>
  <c r="D672" i="6"/>
  <c r="M671" i="6"/>
  <c r="H671" i="6"/>
  <c r="D671" i="6"/>
  <c r="M670" i="6"/>
  <c r="H670" i="6"/>
  <c r="D670" i="6"/>
  <c r="M669" i="6"/>
  <c r="H669" i="6"/>
  <c r="D669" i="6"/>
  <c r="M668" i="6"/>
  <c r="H668" i="6"/>
  <c r="D668" i="6"/>
  <c r="M667" i="6"/>
  <c r="H667" i="6"/>
  <c r="D667" i="6"/>
  <c r="M666" i="6"/>
  <c r="H666" i="6"/>
  <c r="D666" i="6"/>
  <c r="M665" i="6"/>
  <c r="I665" i="6"/>
  <c r="E665" i="6"/>
  <c r="A665" i="6"/>
  <c r="J664" i="6"/>
  <c r="F664" i="6"/>
  <c r="B664" i="6"/>
  <c r="J663" i="6"/>
  <c r="F663" i="6"/>
  <c r="B663" i="6"/>
  <c r="J662" i="6"/>
  <c r="F662" i="6"/>
  <c r="B662" i="6"/>
  <c r="J661" i="6"/>
  <c r="F661" i="6"/>
  <c r="B661" i="6"/>
  <c r="J660" i="6"/>
  <c r="F660" i="6"/>
  <c r="B660" i="6"/>
  <c r="J659" i="6"/>
  <c r="F659" i="6"/>
  <c r="B659" i="6"/>
  <c r="J658" i="6"/>
  <c r="F658" i="6"/>
  <c r="B658" i="6"/>
  <c r="K657" i="6"/>
  <c r="G657" i="6"/>
  <c r="C657" i="6"/>
  <c r="L656" i="6"/>
  <c r="H656" i="6"/>
  <c r="D656" i="6"/>
  <c r="M655" i="6"/>
  <c r="H655" i="6"/>
  <c r="D655" i="6"/>
  <c r="M654" i="6"/>
  <c r="H654" i="6"/>
  <c r="D654" i="6"/>
  <c r="M653" i="6"/>
  <c r="H653" i="6"/>
  <c r="D653" i="6"/>
  <c r="M652" i="6"/>
  <c r="H652" i="6"/>
  <c r="D652" i="6"/>
  <c r="M651" i="6"/>
  <c r="H651" i="6"/>
  <c r="D651" i="6"/>
  <c r="M650" i="6"/>
  <c r="H650" i="6"/>
  <c r="D650" i="6"/>
  <c r="M649" i="6"/>
  <c r="I649" i="6"/>
  <c r="E649" i="6"/>
  <c r="A649" i="6"/>
  <c r="J648" i="6"/>
  <c r="F648" i="6"/>
  <c r="B648" i="6"/>
  <c r="J647" i="6"/>
  <c r="F647" i="6"/>
  <c r="B647" i="6"/>
  <c r="J646" i="6"/>
  <c r="F646" i="6"/>
  <c r="B646" i="6"/>
  <c r="J645" i="6"/>
  <c r="F645" i="6"/>
  <c r="B645" i="6"/>
  <c r="J644" i="6"/>
  <c r="F644" i="6"/>
  <c r="B644" i="6"/>
  <c r="J643" i="6"/>
  <c r="F643" i="6"/>
  <c r="B643" i="6"/>
  <c r="J642" i="6"/>
  <c r="F642" i="6"/>
  <c r="B642" i="6"/>
  <c r="K641" i="6"/>
  <c r="G641" i="6"/>
  <c r="C641" i="6"/>
  <c r="L640" i="6"/>
  <c r="H640" i="6"/>
  <c r="D640" i="6"/>
  <c r="M639" i="6"/>
  <c r="H639" i="6"/>
  <c r="D639" i="6"/>
  <c r="M638" i="6"/>
  <c r="H638" i="6"/>
  <c r="D638" i="6"/>
  <c r="M637" i="6"/>
  <c r="H637" i="6"/>
  <c r="D637" i="6"/>
  <c r="M636" i="6"/>
  <c r="H636" i="6"/>
  <c r="D636" i="6"/>
  <c r="M635" i="6"/>
  <c r="H635" i="6"/>
  <c r="D635" i="6"/>
  <c r="M634" i="6"/>
  <c r="H634" i="6"/>
  <c r="D634" i="6"/>
  <c r="M633" i="6"/>
  <c r="I633" i="6"/>
  <c r="E633" i="6"/>
  <c r="A633" i="6"/>
  <c r="J632" i="6"/>
  <c r="F632" i="6"/>
  <c r="B632" i="6"/>
  <c r="J631" i="6"/>
  <c r="F631" i="6"/>
  <c r="B631" i="6"/>
  <c r="J630" i="6"/>
  <c r="F630" i="6"/>
  <c r="B630" i="6"/>
  <c r="J629" i="6"/>
  <c r="F629" i="6"/>
  <c r="B629" i="6"/>
  <c r="J628" i="6"/>
  <c r="F628" i="6"/>
  <c r="B628" i="6"/>
  <c r="J627" i="6"/>
  <c r="F627" i="6"/>
  <c r="B627" i="6"/>
  <c r="J626" i="6"/>
  <c r="F626" i="6"/>
  <c r="B626" i="6"/>
  <c r="K625" i="6"/>
  <c r="G625" i="6"/>
  <c r="C625" i="6"/>
  <c r="L624" i="6"/>
  <c r="H624" i="6"/>
  <c r="D624" i="6"/>
  <c r="M623" i="6"/>
  <c r="H623" i="6"/>
  <c r="D623" i="6"/>
  <c r="M622" i="6"/>
  <c r="H622" i="6"/>
  <c r="D622" i="6"/>
  <c r="M621" i="6"/>
  <c r="H621" i="6"/>
  <c r="D621" i="6"/>
  <c r="M620" i="6"/>
  <c r="H620" i="6"/>
  <c r="D620" i="6"/>
  <c r="M619" i="6"/>
  <c r="H619" i="6"/>
  <c r="D619" i="6"/>
  <c r="M618" i="6"/>
  <c r="H618" i="6"/>
  <c r="D618" i="6"/>
  <c r="M617" i="6"/>
  <c r="I617" i="6"/>
  <c r="E617" i="6"/>
  <c r="A617" i="6"/>
  <c r="J616" i="6"/>
  <c r="F616" i="6"/>
  <c r="B616" i="6"/>
  <c r="J615" i="6"/>
  <c r="F615" i="6"/>
  <c r="B615" i="6"/>
  <c r="J614" i="6"/>
  <c r="F614" i="6"/>
  <c r="B614" i="6"/>
  <c r="J613" i="6"/>
  <c r="F613" i="6"/>
  <c r="B613" i="6"/>
  <c r="J612" i="6"/>
  <c r="F612" i="6"/>
  <c r="B612" i="6"/>
  <c r="J611" i="6"/>
  <c r="F611" i="6"/>
  <c r="B611" i="6"/>
  <c r="J610" i="6"/>
  <c r="F610" i="6"/>
  <c r="B610" i="6"/>
  <c r="K609" i="6"/>
  <c r="G609" i="6"/>
  <c r="C609" i="6"/>
  <c r="L608" i="6"/>
  <c r="H608" i="6"/>
  <c r="D608" i="6"/>
  <c r="M607" i="6"/>
  <c r="H607" i="6"/>
  <c r="D607" i="6"/>
  <c r="G607" i="6"/>
  <c r="A607" i="6"/>
  <c r="I606" i="6"/>
  <c r="E606" i="6"/>
  <c r="A606" i="6"/>
  <c r="I605" i="6"/>
  <c r="E605" i="6"/>
  <c r="A605" i="6"/>
  <c r="I604" i="6"/>
  <c r="E604" i="6"/>
  <c r="A604" i="6"/>
  <c r="I603" i="6"/>
  <c r="E603" i="6"/>
  <c r="A603" i="6"/>
  <c r="I602" i="6"/>
  <c r="E602" i="6"/>
  <c r="A602" i="6"/>
  <c r="J601" i="6"/>
  <c r="F601" i="6"/>
  <c r="B601" i="6"/>
  <c r="K600" i="6"/>
  <c r="G600" i="6"/>
  <c r="C600" i="6"/>
  <c r="L599" i="6"/>
  <c r="G599" i="6"/>
  <c r="C599" i="6"/>
  <c r="L598" i="6"/>
  <c r="G598" i="6"/>
  <c r="C598" i="6"/>
  <c r="L597" i="6"/>
  <c r="G597" i="6"/>
  <c r="C597" i="6"/>
  <c r="L596" i="6"/>
  <c r="G596" i="6"/>
  <c r="C596" i="6"/>
  <c r="L595" i="6"/>
  <c r="G595" i="6"/>
  <c r="C595" i="6"/>
  <c r="L594" i="6"/>
  <c r="G594" i="6"/>
  <c r="C594" i="6"/>
  <c r="L593" i="6"/>
  <c r="H593" i="6"/>
  <c r="D593" i="6"/>
  <c r="M592" i="6"/>
  <c r="I592" i="6"/>
  <c r="E592" i="6"/>
  <c r="A592" i="6"/>
  <c r="I591" i="6"/>
  <c r="E591" i="6"/>
  <c r="A591" i="6"/>
  <c r="I590" i="6"/>
  <c r="E590" i="6"/>
  <c r="A590" i="6"/>
  <c r="I589" i="6"/>
  <c r="E589" i="6"/>
  <c r="A589" i="6"/>
  <c r="I588" i="6"/>
  <c r="E588" i="6"/>
  <c r="A588" i="6"/>
  <c r="I587" i="6"/>
  <c r="E587" i="6"/>
  <c r="A587" i="6"/>
  <c r="I586" i="6"/>
  <c r="E586" i="6"/>
  <c r="A586" i="6"/>
  <c r="J585" i="6"/>
  <c r="F585" i="6"/>
  <c r="B585" i="6"/>
  <c r="K584" i="6"/>
  <c r="G584" i="6"/>
  <c r="C584" i="6"/>
  <c r="L583" i="6"/>
  <c r="G583" i="6"/>
  <c r="C583" i="6"/>
  <c r="L582" i="6"/>
  <c r="G582" i="6"/>
  <c r="C582" i="6"/>
  <c r="L581" i="6"/>
  <c r="G581" i="6"/>
  <c r="C581" i="6"/>
  <c r="L580" i="6"/>
  <c r="G580" i="6"/>
  <c r="C580" i="6"/>
  <c r="L579" i="6"/>
  <c r="G579" i="6"/>
  <c r="C579" i="6"/>
  <c r="L578" i="6"/>
  <c r="G578" i="6"/>
  <c r="C578" i="6"/>
  <c r="L577" i="6"/>
  <c r="H577" i="6"/>
  <c r="D577" i="6"/>
  <c r="M576" i="6"/>
  <c r="I576" i="6"/>
  <c r="E576" i="6"/>
  <c r="A576" i="6"/>
  <c r="I575" i="6"/>
  <c r="E575" i="6"/>
  <c r="A575" i="6"/>
  <c r="I574" i="6"/>
  <c r="E574" i="6"/>
  <c r="A574" i="6"/>
  <c r="I573" i="6"/>
  <c r="E573" i="6"/>
  <c r="A573" i="6"/>
  <c r="I572" i="6"/>
  <c r="E572" i="6"/>
  <c r="A572" i="6"/>
  <c r="I571" i="6"/>
  <c r="E571" i="6"/>
  <c r="A571" i="6"/>
  <c r="I570" i="6"/>
  <c r="E570" i="6"/>
  <c r="A570" i="6"/>
  <c r="J569" i="6"/>
  <c r="F569" i="6"/>
  <c r="B569" i="6"/>
  <c r="K568" i="6"/>
  <c r="G568" i="6"/>
  <c r="C568" i="6"/>
  <c r="L567" i="6"/>
  <c r="G567" i="6"/>
  <c r="C567" i="6"/>
  <c r="L566" i="6"/>
  <c r="G566" i="6"/>
  <c r="C566" i="6"/>
  <c r="L565" i="6"/>
  <c r="G565" i="6"/>
  <c r="C565" i="6"/>
  <c r="L564" i="6"/>
  <c r="G564" i="6"/>
  <c r="C564" i="6"/>
  <c r="L563" i="6"/>
  <c r="G563" i="6"/>
  <c r="C563" i="6"/>
  <c r="L562" i="6"/>
  <c r="G562" i="6"/>
  <c r="C562" i="6"/>
  <c r="L561" i="6"/>
  <c r="H561" i="6"/>
  <c r="D561" i="6"/>
  <c r="M560" i="6"/>
  <c r="I560" i="6"/>
  <c r="E560" i="6"/>
  <c r="A560" i="6"/>
  <c r="I559" i="6"/>
  <c r="E559" i="6"/>
  <c r="A559" i="6"/>
  <c r="I558" i="6"/>
  <c r="E558" i="6"/>
  <c r="A558" i="6"/>
  <c r="I557" i="6"/>
  <c r="E557" i="6"/>
  <c r="A557" i="6"/>
  <c r="I556" i="6"/>
  <c r="E556" i="6"/>
  <c r="A556" i="6"/>
  <c r="I555" i="6"/>
  <c r="E555" i="6"/>
  <c r="A555" i="6"/>
  <c r="I554" i="6"/>
  <c r="E554" i="6"/>
  <c r="A554" i="6"/>
  <c r="J553" i="6"/>
  <c r="F553" i="6"/>
  <c r="B553" i="6"/>
  <c r="K552" i="6"/>
  <c r="G552" i="6"/>
  <c r="C552" i="6"/>
  <c r="L551" i="6"/>
  <c r="G551" i="6"/>
  <c r="C551" i="6"/>
  <c r="L550" i="6"/>
  <c r="G550" i="6"/>
  <c r="C550" i="6"/>
  <c r="L549" i="6"/>
  <c r="G549" i="6"/>
  <c r="C549" i="6"/>
  <c r="L548" i="6"/>
  <c r="G548" i="6"/>
  <c r="C548" i="6"/>
  <c r="L547" i="6"/>
  <c r="G547" i="6"/>
  <c r="C547" i="6"/>
  <c r="L546" i="6"/>
  <c r="G546" i="6"/>
  <c r="C546" i="6"/>
  <c r="L545" i="6"/>
  <c r="H545" i="6"/>
  <c r="D545" i="6"/>
  <c r="M544" i="6"/>
  <c r="I544" i="6"/>
  <c r="E544" i="6"/>
  <c r="A544" i="6"/>
  <c r="I543" i="6"/>
  <c r="E543" i="6"/>
  <c r="A543" i="6"/>
  <c r="I542" i="6"/>
  <c r="E542" i="6"/>
  <c r="A542" i="6"/>
  <c r="I541" i="6"/>
  <c r="E541" i="6"/>
  <c r="A541" i="6"/>
  <c r="I540" i="6"/>
  <c r="E540" i="6"/>
  <c r="A540" i="6"/>
  <c r="I539" i="6"/>
  <c r="E539" i="6"/>
  <c r="A539" i="6"/>
  <c r="I538" i="6"/>
  <c r="E538" i="6"/>
  <c r="A538" i="6"/>
  <c r="J537" i="6"/>
  <c r="F537" i="6"/>
  <c r="B537" i="6"/>
  <c r="K536" i="6"/>
  <c r="G536" i="6"/>
  <c r="C536" i="6"/>
  <c r="L535" i="6"/>
  <c r="G535" i="6"/>
  <c r="C535" i="6"/>
  <c r="L534" i="6"/>
  <c r="G534" i="6"/>
  <c r="C534" i="6"/>
  <c r="L533" i="6"/>
  <c r="G533" i="6"/>
  <c r="C533" i="6"/>
  <c r="L532" i="6"/>
  <c r="G532" i="6"/>
  <c r="C532" i="6"/>
  <c r="L531" i="6"/>
  <c r="G531" i="6"/>
  <c r="C531" i="6"/>
  <c r="L530" i="6"/>
  <c r="G530" i="6"/>
  <c r="C530" i="6"/>
  <c r="L529" i="6"/>
  <c r="H529" i="6"/>
  <c r="D529" i="6"/>
  <c r="M528" i="6"/>
  <c r="I528" i="6"/>
  <c r="E528" i="6"/>
  <c r="A528" i="6"/>
  <c r="I527" i="6"/>
  <c r="E527" i="6"/>
  <c r="A527" i="6"/>
  <c r="I526" i="6"/>
  <c r="E526" i="6"/>
  <c r="A526" i="6"/>
  <c r="I525" i="6"/>
  <c r="E525" i="6"/>
  <c r="A525" i="6"/>
  <c r="I524" i="6"/>
  <c r="E524" i="6"/>
  <c r="A524" i="6"/>
  <c r="I523" i="6"/>
  <c r="E523" i="6"/>
  <c r="A523" i="6"/>
  <c r="I522" i="6"/>
  <c r="E522" i="6"/>
  <c r="A522" i="6"/>
  <c r="J521" i="6"/>
  <c r="F521" i="6"/>
  <c r="B521" i="6"/>
  <c r="K520" i="6"/>
  <c r="G520" i="6"/>
  <c r="C520" i="6"/>
  <c r="L519" i="6"/>
  <c r="G519" i="6"/>
  <c r="C519" i="6"/>
  <c r="L518" i="6"/>
  <c r="G518" i="6"/>
  <c r="C518" i="6"/>
  <c r="L517" i="6"/>
  <c r="G517" i="6"/>
  <c r="C517" i="6"/>
  <c r="L516" i="6"/>
  <c r="G516" i="6"/>
  <c r="C516" i="6"/>
  <c r="L515" i="6"/>
  <c r="G515" i="6"/>
  <c r="C515" i="6"/>
  <c r="L514" i="6"/>
  <c r="G514" i="6"/>
  <c r="C514" i="6"/>
  <c r="L513" i="6"/>
  <c r="H513" i="6"/>
  <c r="D513" i="6"/>
  <c r="M512" i="6"/>
  <c r="I512" i="6"/>
  <c r="E512" i="6"/>
  <c r="A512" i="6"/>
  <c r="I511" i="6"/>
  <c r="E511" i="6"/>
  <c r="A511" i="6"/>
  <c r="I510" i="6"/>
  <c r="E510" i="6"/>
  <c r="A510" i="6"/>
  <c r="I509" i="6"/>
  <c r="E509" i="6"/>
  <c r="A509" i="6"/>
  <c r="I508" i="6"/>
  <c r="E508" i="6"/>
  <c r="A508" i="6"/>
  <c r="I507" i="6"/>
  <c r="E507" i="6"/>
  <c r="A507" i="6"/>
  <c r="I506" i="6"/>
  <c r="E506" i="6"/>
  <c r="A506" i="6"/>
  <c r="J505" i="6"/>
  <c r="F505" i="6"/>
  <c r="B505" i="6"/>
  <c r="K504" i="6"/>
  <c r="G504" i="6"/>
  <c r="C504" i="6"/>
  <c r="L503" i="6"/>
  <c r="G503" i="6"/>
  <c r="C503" i="6"/>
  <c r="L502" i="6"/>
  <c r="G502" i="6"/>
  <c r="C502" i="6"/>
  <c r="L501" i="6"/>
  <c r="G501" i="6"/>
  <c r="C501" i="6"/>
  <c r="L500" i="6"/>
  <c r="G500" i="6"/>
  <c r="C500" i="6"/>
  <c r="L499" i="6"/>
  <c r="G499" i="6"/>
  <c r="C499" i="6"/>
  <c r="L498" i="6"/>
  <c r="G498" i="6"/>
  <c r="C498" i="6"/>
  <c r="L497" i="6"/>
  <c r="H497" i="6"/>
  <c r="D497" i="6"/>
  <c r="M496" i="6"/>
  <c r="I496" i="6"/>
  <c r="E496" i="6"/>
  <c r="A496" i="6"/>
  <c r="I495" i="6"/>
  <c r="E495" i="6"/>
  <c r="A495" i="6"/>
  <c r="I494" i="6"/>
  <c r="E494" i="6"/>
  <c r="A494" i="6"/>
  <c r="I493" i="6"/>
  <c r="E493" i="6"/>
  <c r="A493" i="6"/>
  <c r="I492" i="6"/>
  <c r="E492" i="6"/>
  <c r="A492" i="6"/>
  <c r="I491" i="6"/>
  <c r="E491" i="6"/>
  <c r="A491" i="6"/>
  <c r="I490" i="6"/>
  <c r="E490" i="6"/>
  <c r="A490" i="6"/>
  <c r="J489" i="6"/>
  <c r="F489" i="6"/>
  <c r="B489" i="6"/>
  <c r="K488" i="6"/>
  <c r="G488" i="6"/>
  <c r="C488" i="6"/>
  <c r="L487" i="6"/>
  <c r="G487" i="6"/>
  <c r="C487" i="6"/>
  <c r="L486" i="6"/>
  <c r="G486" i="6"/>
  <c r="C486" i="6"/>
  <c r="L485" i="6"/>
  <c r="G485" i="6"/>
  <c r="C485" i="6"/>
  <c r="L484" i="6"/>
  <c r="G484" i="6"/>
  <c r="C484" i="6"/>
  <c r="L483" i="6"/>
  <c r="G483" i="6"/>
  <c r="C483" i="6"/>
  <c r="L482" i="6"/>
  <c r="G482" i="6"/>
  <c r="C482" i="6"/>
  <c r="L481" i="6"/>
  <c r="H481" i="6"/>
  <c r="D481" i="6"/>
  <c r="M480" i="6"/>
  <c r="I480" i="6"/>
  <c r="E480" i="6"/>
  <c r="A480" i="6"/>
  <c r="J479" i="6"/>
  <c r="F479" i="6"/>
  <c r="B479" i="6"/>
  <c r="K478" i="6"/>
  <c r="G478" i="6"/>
  <c r="C478" i="6"/>
  <c r="L477" i="6"/>
  <c r="H477" i="6"/>
  <c r="D477" i="6"/>
  <c r="M476" i="6"/>
  <c r="I476" i="6"/>
  <c r="E476" i="6"/>
  <c r="A476" i="6"/>
  <c r="J475" i="6"/>
  <c r="F475" i="6"/>
  <c r="B475" i="6"/>
  <c r="K474" i="6"/>
  <c r="G474" i="6"/>
  <c r="C474" i="6"/>
  <c r="L473" i="6"/>
  <c r="H473" i="6"/>
  <c r="D473" i="6"/>
  <c r="M472" i="6"/>
  <c r="I472" i="6"/>
  <c r="E472" i="6"/>
  <c r="A472" i="6"/>
  <c r="J471" i="6"/>
  <c r="F471" i="6"/>
  <c r="B471" i="6"/>
  <c r="K470" i="6"/>
  <c r="G470" i="6"/>
  <c r="C470" i="6"/>
  <c r="L469" i="6"/>
  <c r="H469" i="6"/>
  <c r="D469" i="6"/>
  <c r="M468" i="6"/>
  <c r="I468" i="6"/>
  <c r="E468" i="6"/>
  <c r="A468" i="6"/>
  <c r="J467" i="6"/>
  <c r="F467" i="6"/>
  <c r="B467" i="6"/>
  <c r="K466" i="6"/>
  <c r="G466" i="6"/>
  <c r="C466" i="6"/>
  <c r="L465" i="6"/>
  <c r="H465" i="6"/>
  <c r="D465" i="6"/>
  <c r="M464" i="6"/>
  <c r="I464" i="6"/>
  <c r="E464" i="6"/>
  <c r="A464" i="6"/>
  <c r="J463" i="6"/>
  <c r="F463" i="6"/>
  <c r="B463" i="6"/>
  <c r="K462" i="6"/>
  <c r="G462" i="6"/>
  <c r="C462" i="6"/>
  <c r="L461" i="6"/>
  <c r="H461" i="6"/>
  <c r="D461" i="6"/>
  <c r="M460" i="6"/>
  <c r="I460" i="6"/>
  <c r="E460" i="6"/>
  <c r="A460" i="6"/>
  <c r="J459" i="6"/>
  <c r="F459" i="6"/>
  <c r="B459" i="6"/>
  <c r="K458" i="6"/>
  <c r="G458" i="6"/>
  <c r="C458" i="6"/>
  <c r="L457" i="6"/>
  <c r="H457" i="6"/>
  <c r="D457" i="6"/>
  <c r="M456" i="6"/>
  <c r="I456" i="6"/>
  <c r="E456" i="6"/>
  <c r="A456" i="6"/>
  <c r="J455" i="6"/>
  <c r="F455" i="6"/>
  <c r="B455" i="6"/>
  <c r="K454" i="6"/>
  <c r="G454" i="6"/>
  <c r="C454" i="6"/>
  <c r="L453" i="6"/>
  <c r="H453" i="6"/>
  <c r="D453" i="6"/>
  <c r="M452" i="6"/>
  <c r="I452" i="6"/>
  <c r="E452" i="6"/>
  <c r="A452" i="6"/>
  <c r="J451" i="6"/>
  <c r="F451" i="6"/>
  <c r="B451" i="6"/>
  <c r="K450" i="6"/>
  <c r="G450" i="6"/>
  <c r="C450" i="6"/>
  <c r="L449" i="6"/>
  <c r="H449" i="6"/>
  <c r="D449" i="6"/>
  <c r="M448" i="6"/>
  <c r="I448" i="6"/>
  <c r="E448" i="6"/>
  <c r="A448" i="6"/>
  <c r="J447" i="6"/>
  <c r="F447" i="6"/>
  <c r="B447" i="6"/>
  <c r="K446" i="6"/>
  <c r="G446" i="6"/>
  <c r="C446" i="6"/>
  <c r="L445" i="6"/>
  <c r="H445" i="6"/>
  <c r="D445" i="6"/>
  <c r="M444" i="6"/>
  <c r="I444" i="6"/>
  <c r="E444" i="6"/>
  <c r="A444" i="6"/>
  <c r="J443" i="6"/>
  <c r="F443" i="6"/>
  <c r="B443" i="6"/>
  <c r="F607" i="6"/>
  <c r="M606" i="6"/>
  <c r="H606" i="6"/>
  <c r="D606" i="6"/>
  <c r="M605" i="6"/>
  <c r="H605" i="6"/>
  <c r="D605" i="6"/>
  <c r="M604" i="6"/>
  <c r="H604" i="6"/>
  <c r="D604" i="6"/>
  <c r="M603" i="6"/>
  <c r="H603" i="6"/>
  <c r="D603" i="6"/>
  <c r="M602" i="6"/>
  <c r="H602" i="6"/>
  <c r="D602" i="6"/>
  <c r="M601" i="6"/>
  <c r="I601" i="6"/>
  <c r="E601" i="6"/>
  <c r="A601" i="6"/>
  <c r="J600" i="6"/>
  <c r="F600" i="6"/>
  <c r="B600" i="6"/>
  <c r="J599" i="6"/>
  <c r="F599" i="6"/>
  <c r="B599" i="6"/>
  <c r="J598" i="6"/>
  <c r="F598" i="6"/>
  <c r="B598" i="6"/>
  <c r="J597" i="6"/>
  <c r="F597" i="6"/>
  <c r="B597" i="6"/>
  <c r="J596" i="6"/>
  <c r="F596" i="6"/>
  <c r="B596" i="6"/>
  <c r="J595" i="6"/>
  <c r="F595" i="6"/>
  <c r="B595" i="6"/>
  <c r="J594" i="6"/>
  <c r="F594" i="6"/>
  <c r="B594" i="6"/>
  <c r="K593" i="6"/>
  <c r="G593" i="6"/>
  <c r="C593" i="6"/>
  <c r="L592" i="6"/>
  <c r="H592" i="6"/>
  <c r="D592" i="6"/>
  <c r="M591" i="6"/>
  <c r="H591" i="6"/>
  <c r="D591" i="6"/>
  <c r="M590" i="6"/>
  <c r="H590" i="6"/>
  <c r="D590" i="6"/>
  <c r="M589" i="6"/>
  <c r="H589" i="6"/>
  <c r="D589" i="6"/>
  <c r="M588" i="6"/>
  <c r="H588" i="6"/>
  <c r="D588" i="6"/>
  <c r="M587" i="6"/>
  <c r="H587" i="6"/>
  <c r="D587" i="6"/>
  <c r="M586" i="6"/>
  <c r="H586" i="6"/>
  <c r="D586" i="6"/>
  <c r="M585" i="6"/>
  <c r="I585" i="6"/>
  <c r="E585" i="6"/>
  <c r="A585" i="6"/>
  <c r="J584" i="6"/>
  <c r="F584" i="6"/>
  <c r="B584" i="6"/>
  <c r="J583" i="6"/>
  <c r="F583" i="6"/>
  <c r="B583" i="6"/>
  <c r="J582" i="6"/>
  <c r="F582" i="6"/>
  <c r="B582" i="6"/>
  <c r="J581" i="6"/>
  <c r="F581" i="6"/>
  <c r="B581" i="6"/>
  <c r="J580" i="6"/>
  <c r="F580" i="6"/>
  <c r="B580" i="6"/>
  <c r="J579" i="6"/>
  <c r="F579" i="6"/>
  <c r="B579" i="6"/>
  <c r="J578" i="6"/>
  <c r="F578" i="6"/>
  <c r="B578" i="6"/>
  <c r="K577" i="6"/>
  <c r="G577" i="6"/>
  <c r="C577" i="6"/>
  <c r="L576" i="6"/>
  <c r="H576" i="6"/>
  <c r="D576" i="6"/>
  <c r="M575" i="6"/>
  <c r="H575" i="6"/>
  <c r="D575" i="6"/>
  <c r="M574" i="6"/>
  <c r="H574" i="6"/>
  <c r="D574" i="6"/>
  <c r="M573" i="6"/>
  <c r="H573" i="6"/>
  <c r="D573" i="6"/>
  <c r="M572" i="6"/>
  <c r="H572" i="6"/>
  <c r="D572" i="6"/>
  <c r="M571" i="6"/>
  <c r="H571" i="6"/>
  <c r="D571" i="6"/>
  <c r="M570" i="6"/>
  <c r="H570" i="6"/>
  <c r="D570" i="6"/>
  <c r="M569" i="6"/>
  <c r="I569" i="6"/>
  <c r="E569" i="6"/>
  <c r="A569" i="6"/>
  <c r="J568" i="6"/>
  <c r="F568" i="6"/>
  <c r="B568" i="6"/>
  <c r="J567" i="6"/>
  <c r="F567" i="6"/>
  <c r="B567" i="6"/>
  <c r="J566" i="6"/>
  <c r="F566" i="6"/>
  <c r="B566" i="6"/>
  <c r="J565" i="6"/>
  <c r="F565" i="6"/>
  <c r="B565" i="6"/>
  <c r="J564" i="6"/>
  <c r="F564" i="6"/>
  <c r="B564" i="6"/>
  <c r="J563" i="6"/>
  <c r="F563" i="6"/>
  <c r="B563" i="6"/>
  <c r="J562" i="6"/>
  <c r="F562" i="6"/>
  <c r="B562" i="6"/>
  <c r="K561" i="6"/>
  <c r="G561" i="6"/>
  <c r="C561" i="6"/>
  <c r="L560" i="6"/>
  <c r="H560" i="6"/>
  <c r="D560" i="6"/>
  <c r="M559" i="6"/>
  <c r="H559" i="6"/>
  <c r="D559" i="6"/>
  <c r="M558" i="6"/>
  <c r="H558" i="6"/>
  <c r="D558" i="6"/>
  <c r="M557" i="6"/>
  <c r="H557" i="6"/>
  <c r="D557" i="6"/>
  <c r="M556" i="6"/>
  <c r="H556" i="6"/>
  <c r="D556" i="6"/>
  <c r="M555" i="6"/>
  <c r="H555" i="6"/>
  <c r="D555" i="6"/>
  <c r="M554" i="6"/>
  <c r="H554" i="6"/>
  <c r="D554" i="6"/>
  <c r="M553" i="6"/>
  <c r="I553" i="6"/>
  <c r="E553" i="6"/>
  <c r="A553" i="6"/>
  <c r="J552" i="6"/>
  <c r="F552" i="6"/>
  <c r="B552" i="6"/>
  <c r="J551" i="6"/>
  <c r="F551" i="6"/>
  <c r="B551" i="6"/>
  <c r="J550" i="6"/>
  <c r="F550" i="6"/>
  <c r="B550" i="6"/>
  <c r="J549" i="6"/>
  <c r="F549" i="6"/>
  <c r="B549" i="6"/>
  <c r="J548" i="6"/>
  <c r="F548" i="6"/>
  <c r="B548" i="6"/>
  <c r="J547" i="6"/>
  <c r="F547" i="6"/>
  <c r="B547" i="6"/>
  <c r="J546" i="6"/>
  <c r="F546" i="6"/>
  <c r="B546" i="6"/>
  <c r="K545" i="6"/>
  <c r="G545" i="6"/>
  <c r="C545" i="6"/>
  <c r="L544" i="6"/>
  <c r="H544" i="6"/>
  <c r="D544" i="6"/>
  <c r="M543" i="6"/>
  <c r="H543" i="6"/>
  <c r="D543" i="6"/>
  <c r="M542" i="6"/>
  <c r="H542" i="6"/>
  <c r="D542" i="6"/>
  <c r="M541" i="6"/>
  <c r="H541" i="6"/>
  <c r="D541" i="6"/>
  <c r="M540" i="6"/>
  <c r="H540" i="6"/>
  <c r="D540" i="6"/>
  <c r="M539" i="6"/>
  <c r="H539" i="6"/>
  <c r="D539" i="6"/>
  <c r="M538" i="6"/>
  <c r="H538" i="6"/>
  <c r="D538" i="6"/>
  <c r="M537" i="6"/>
  <c r="I537" i="6"/>
  <c r="E537" i="6"/>
  <c r="A537" i="6"/>
  <c r="J536" i="6"/>
  <c r="F536" i="6"/>
  <c r="B536" i="6"/>
  <c r="J535" i="6"/>
  <c r="F535" i="6"/>
  <c r="B535" i="6"/>
  <c r="J534" i="6"/>
  <c r="F534" i="6"/>
  <c r="B534" i="6"/>
  <c r="J533" i="6"/>
  <c r="F533" i="6"/>
  <c r="B533" i="6"/>
  <c r="J532" i="6"/>
  <c r="F532" i="6"/>
  <c r="B532" i="6"/>
  <c r="J531" i="6"/>
  <c r="F531" i="6"/>
  <c r="B531" i="6"/>
  <c r="J530" i="6"/>
  <c r="F530" i="6"/>
  <c r="B530" i="6"/>
  <c r="K529" i="6"/>
  <c r="G529" i="6"/>
  <c r="C529" i="6"/>
  <c r="L528" i="6"/>
  <c r="H528" i="6"/>
  <c r="D528" i="6"/>
  <c r="M527" i="6"/>
  <c r="H527" i="6"/>
  <c r="D527" i="6"/>
  <c r="M526" i="6"/>
  <c r="H526" i="6"/>
  <c r="D526" i="6"/>
  <c r="M525" i="6"/>
  <c r="H525" i="6"/>
  <c r="D525" i="6"/>
  <c r="M524" i="6"/>
  <c r="H524" i="6"/>
  <c r="D524" i="6"/>
  <c r="M523" i="6"/>
  <c r="H523" i="6"/>
  <c r="D523" i="6"/>
  <c r="M522" i="6"/>
  <c r="H522" i="6"/>
  <c r="D522" i="6"/>
  <c r="M521" i="6"/>
  <c r="I521" i="6"/>
  <c r="E521" i="6"/>
  <c r="A521" i="6"/>
  <c r="J520" i="6"/>
  <c r="F520" i="6"/>
  <c r="B520" i="6"/>
  <c r="J519" i="6"/>
  <c r="F519" i="6"/>
  <c r="B519" i="6"/>
  <c r="J518" i="6"/>
  <c r="F518" i="6"/>
  <c r="B518" i="6"/>
  <c r="J517" i="6"/>
  <c r="F517" i="6"/>
  <c r="B517" i="6"/>
  <c r="J516" i="6"/>
  <c r="F516" i="6"/>
  <c r="B516" i="6"/>
  <c r="J515" i="6"/>
  <c r="F515" i="6"/>
  <c r="B515" i="6"/>
  <c r="J514" i="6"/>
  <c r="F514" i="6"/>
  <c r="B514" i="6"/>
  <c r="K513" i="6"/>
  <c r="G513" i="6"/>
  <c r="C513" i="6"/>
  <c r="L512" i="6"/>
  <c r="H512" i="6"/>
  <c r="D512" i="6"/>
  <c r="M511" i="6"/>
  <c r="H511" i="6"/>
  <c r="D511" i="6"/>
  <c r="M510" i="6"/>
  <c r="H510" i="6"/>
  <c r="D510" i="6"/>
  <c r="M509" i="6"/>
  <c r="H509" i="6"/>
  <c r="D509" i="6"/>
  <c r="M508" i="6"/>
  <c r="H508" i="6"/>
  <c r="D508" i="6"/>
  <c r="M507" i="6"/>
  <c r="H507" i="6"/>
  <c r="D507" i="6"/>
  <c r="M506" i="6"/>
  <c r="H506" i="6"/>
  <c r="D506" i="6"/>
  <c r="M505" i="6"/>
  <c r="I505" i="6"/>
  <c r="E505" i="6"/>
  <c r="A505" i="6"/>
  <c r="J504" i="6"/>
  <c r="F504" i="6"/>
  <c r="B504" i="6"/>
  <c r="J503" i="6"/>
  <c r="F503" i="6"/>
  <c r="B503" i="6"/>
  <c r="J502" i="6"/>
  <c r="F502" i="6"/>
  <c r="B502" i="6"/>
  <c r="J501" i="6"/>
  <c r="F501" i="6"/>
  <c r="B501" i="6"/>
  <c r="J500" i="6"/>
  <c r="F500" i="6"/>
  <c r="B500" i="6"/>
  <c r="J499" i="6"/>
  <c r="F499" i="6"/>
  <c r="B499" i="6"/>
  <c r="J498" i="6"/>
  <c r="F498" i="6"/>
  <c r="B498" i="6"/>
  <c r="K497" i="6"/>
  <c r="G497" i="6"/>
  <c r="C497" i="6"/>
  <c r="L496" i="6"/>
  <c r="H496" i="6"/>
  <c r="D496" i="6"/>
  <c r="M495" i="6"/>
  <c r="H495" i="6"/>
  <c r="D495" i="6"/>
  <c r="M494" i="6"/>
  <c r="H494" i="6"/>
  <c r="D494" i="6"/>
  <c r="M493" i="6"/>
  <c r="H493" i="6"/>
  <c r="D493" i="6"/>
  <c r="M492" i="6"/>
  <c r="H492" i="6"/>
  <c r="D492" i="6"/>
  <c r="M491" i="6"/>
  <c r="H491" i="6"/>
  <c r="D491" i="6"/>
  <c r="M490" i="6"/>
  <c r="H490" i="6"/>
  <c r="D490" i="6"/>
  <c r="M489" i="6"/>
  <c r="I489" i="6"/>
  <c r="E489" i="6"/>
  <c r="A489" i="6"/>
  <c r="J488" i="6"/>
  <c r="F488" i="6"/>
  <c r="B488" i="6"/>
  <c r="J487" i="6"/>
  <c r="F487" i="6"/>
  <c r="B487" i="6"/>
  <c r="J486" i="6"/>
  <c r="F486" i="6"/>
  <c r="B486" i="6"/>
  <c r="J485" i="6"/>
  <c r="F485" i="6"/>
  <c r="B485" i="6"/>
  <c r="J484" i="6"/>
  <c r="F484" i="6"/>
  <c r="B484" i="6"/>
  <c r="J483" i="6"/>
  <c r="F483" i="6"/>
  <c r="B483" i="6"/>
  <c r="J482" i="6"/>
  <c r="F482" i="6"/>
  <c r="B482" i="6"/>
  <c r="K481" i="6"/>
  <c r="G481" i="6"/>
  <c r="C481" i="6"/>
  <c r="L480" i="6"/>
  <c r="H480" i="6"/>
  <c r="D480" i="6"/>
  <c r="M479" i="6"/>
  <c r="I479" i="6"/>
  <c r="E479" i="6"/>
  <c r="A479" i="6"/>
  <c r="J478" i="6"/>
  <c r="F478" i="6"/>
  <c r="B478" i="6"/>
  <c r="K477" i="6"/>
  <c r="G477" i="6"/>
  <c r="C477" i="6"/>
  <c r="L476" i="6"/>
  <c r="H476" i="6"/>
  <c r="D476" i="6"/>
  <c r="M475" i="6"/>
  <c r="I475" i="6"/>
  <c r="E475" i="6"/>
  <c r="A475" i="6"/>
  <c r="J474" i="6"/>
  <c r="F474" i="6"/>
  <c r="B474" i="6"/>
  <c r="K473" i="6"/>
  <c r="G473" i="6"/>
  <c r="C473" i="6"/>
  <c r="L472" i="6"/>
  <c r="H472" i="6"/>
  <c r="D472" i="6"/>
  <c r="M471" i="6"/>
  <c r="I471" i="6"/>
  <c r="E471" i="6"/>
  <c r="A471" i="6"/>
  <c r="J470" i="6"/>
  <c r="F470" i="6"/>
  <c r="B470" i="6"/>
  <c r="K469" i="6"/>
  <c r="G469" i="6"/>
  <c r="C469" i="6"/>
  <c r="L468" i="6"/>
  <c r="H468" i="6"/>
  <c r="D468" i="6"/>
  <c r="M467" i="6"/>
  <c r="I467" i="6"/>
  <c r="E467" i="6"/>
  <c r="A467" i="6"/>
  <c r="J466" i="6"/>
  <c r="F466" i="6"/>
  <c r="B466" i="6"/>
  <c r="K465" i="6"/>
  <c r="G465" i="6"/>
  <c r="C465" i="6"/>
  <c r="L464" i="6"/>
  <c r="H464" i="6"/>
  <c r="D464" i="6"/>
  <c r="M463" i="6"/>
  <c r="I463" i="6"/>
  <c r="E463" i="6"/>
  <c r="A463" i="6"/>
  <c r="J462" i="6"/>
  <c r="F462" i="6"/>
  <c r="B462" i="6"/>
  <c r="K461" i="6"/>
  <c r="G461" i="6"/>
  <c r="C461" i="6"/>
  <c r="L460" i="6"/>
  <c r="H460" i="6"/>
  <c r="D460" i="6"/>
  <c r="M459" i="6"/>
  <c r="I459" i="6"/>
  <c r="E459" i="6"/>
  <c r="A459" i="6"/>
  <c r="J458" i="6"/>
  <c r="F458" i="6"/>
  <c r="B458" i="6"/>
  <c r="K457" i="6"/>
  <c r="G457" i="6"/>
  <c r="C457" i="6"/>
  <c r="L456" i="6"/>
  <c r="H456" i="6"/>
  <c r="D456" i="6"/>
  <c r="M455" i="6"/>
  <c r="I455" i="6"/>
  <c r="E455" i="6"/>
  <c r="A455" i="6"/>
  <c r="J454" i="6"/>
  <c r="F454" i="6"/>
  <c r="B454" i="6"/>
  <c r="K453" i="6"/>
  <c r="G453" i="6"/>
  <c r="C453" i="6"/>
  <c r="L452" i="6"/>
  <c r="H452" i="6"/>
  <c r="D452" i="6"/>
  <c r="M451" i="6"/>
  <c r="I451" i="6"/>
  <c r="E451" i="6"/>
  <c r="A451" i="6"/>
  <c r="J450" i="6"/>
  <c r="F450" i="6"/>
  <c r="B450" i="6"/>
  <c r="K449" i="6"/>
  <c r="G449" i="6"/>
  <c r="C449" i="6"/>
  <c r="L448" i="6"/>
  <c r="H448" i="6"/>
  <c r="D448" i="6"/>
  <c r="M447" i="6"/>
  <c r="I447" i="6"/>
  <c r="E447" i="6"/>
  <c r="A447" i="6"/>
  <c r="J446" i="6"/>
  <c r="F446" i="6"/>
  <c r="B446" i="6"/>
  <c r="K445" i="6"/>
  <c r="G445" i="6"/>
  <c r="C445" i="6"/>
  <c r="L444" i="6"/>
  <c r="H444" i="6"/>
  <c r="D444" i="6"/>
  <c r="M443" i="6"/>
  <c r="I443" i="6"/>
  <c r="E443" i="6"/>
  <c r="A443" i="6"/>
  <c r="C607" i="6"/>
  <c r="L606" i="6"/>
  <c r="G606" i="6"/>
  <c r="C606" i="6"/>
  <c r="L605" i="6"/>
  <c r="G605" i="6"/>
  <c r="C605" i="6"/>
  <c r="L604" i="6"/>
  <c r="G604" i="6"/>
  <c r="C604" i="6"/>
  <c r="L603" i="6"/>
  <c r="G603" i="6"/>
  <c r="C603" i="6"/>
  <c r="L602" i="6"/>
  <c r="G602" i="6"/>
  <c r="C602" i="6"/>
  <c r="L601" i="6"/>
  <c r="H601" i="6"/>
  <c r="D601" i="6"/>
  <c r="M600" i="6"/>
  <c r="I600" i="6"/>
  <c r="E600" i="6"/>
  <c r="A600" i="6"/>
  <c r="I599" i="6"/>
  <c r="E599" i="6"/>
  <c r="A599" i="6"/>
  <c r="I598" i="6"/>
  <c r="E598" i="6"/>
  <c r="A598" i="6"/>
  <c r="I597" i="6"/>
  <c r="E597" i="6"/>
  <c r="A597" i="6"/>
  <c r="I596" i="6"/>
  <c r="E596" i="6"/>
  <c r="A596" i="6"/>
  <c r="I595" i="6"/>
  <c r="E595" i="6"/>
  <c r="A595" i="6"/>
  <c r="I594" i="6"/>
  <c r="E594" i="6"/>
  <c r="A594" i="6"/>
  <c r="J593" i="6"/>
  <c r="F593" i="6"/>
  <c r="B593" i="6"/>
  <c r="K592" i="6"/>
  <c r="G592" i="6"/>
  <c r="C592" i="6"/>
  <c r="L591" i="6"/>
  <c r="G591" i="6"/>
  <c r="C591" i="6"/>
  <c r="L590" i="6"/>
  <c r="G590" i="6"/>
  <c r="C590" i="6"/>
  <c r="L589" i="6"/>
  <c r="G589" i="6"/>
  <c r="C589" i="6"/>
  <c r="L588" i="6"/>
  <c r="G588" i="6"/>
  <c r="C588" i="6"/>
  <c r="L587" i="6"/>
  <c r="G587" i="6"/>
  <c r="C587" i="6"/>
  <c r="L586" i="6"/>
  <c r="G586" i="6"/>
  <c r="C586" i="6"/>
  <c r="L585" i="6"/>
  <c r="H585" i="6"/>
  <c r="D585" i="6"/>
  <c r="M584" i="6"/>
  <c r="I584" i="6"/>
  <c r="E584" i="6"/>
  <c r="A584" i="6"/>
  <c r="I583" i="6"/>
  <c r="E583" i="6"/>
  <c r="A583" i="6"/>
  <c r="I582" i="6"/>
  <c r="E582" i="6"/>
  <c r="A582" i="6"/>
  <c r="I581" i="6"/>
  <c r="E581" i="6"/>
  <c r="A581" i="6"/>
  <c r="I580" i="6"/>
  <c r="E580" i="6"/>
  <c r="A580" i="6"/>
  <c r="I579" i="6"/>
  <c r="E579" i="6"/>
  <c r="A579" i="6"/>
  <c r="I578" i="6"/>
  <c r="E578" i="6"/>
  <c r="A578" i="6"/>
  <c r="J577" i="6"/>
  <c r="F577" i="6"/>
  <c r="B577" i="6"/>
  <c r="K576" i="6"/>
  <c r="G576" i="6"/>
  <c r="C576" i="6"/>
  <c r="L575" i="6"/>
  <c r="G575" i="6"/>
  <c r="C575" i="6"/>
  <c r="L574" i="6"/>
  <c r="G574" i="6"/>
  <c r="C574" i="6"/>
  <c r="L573" i="6"/>
  <c r="G573" i="6"/>
  <c r="C573" i="6"/>
  <c r="L572" i="6"/>
  <c r="G572" i="6"/>
  <c r="C572" i="6"/>
  <c r="L571" i="6"/>
  <c r="G571" i="6"/>
  <c r="C571" i="6"/>
  <c r="L570" i="6"/>
  <c r="G570" i="6"/>
  <c r="C570" i="6"/>
  <c r="L569" i="6"/>
  <c r="H569" i="6"/>
  <c r="D569" i="6"/>
  <c r="M568" i="6"/>
  <c r="I568" i="6"/>
  <c r="E568" i="6"/>
  <c r="A568" i="6"/>
  <c r="I567" i="6"/>
  <c r="E567" i="6"/>
  <c r="A567" i="6"/>
  <c r="I566" i="6"/>
  <c r="E566" i="6"/>
  <c r="A566" i="6"/>
  <c r="I565" i="6"/>
  <c r="E565" i="6"/>
  <c r="A565" i="6"/>
  <c r="I564" i="6"/>
  <c r="E564" i="6"/>
  <c r="A564" i="6"/>
  <c r="I563" i="6"/>
  <c r="E563" i="6"/>
  <c r="A563" i="6"/>
  <c r="I562" i="6"/>
  <c r="E562" i="6"/>
  <c r="A562" i="6"/>
  <c r="J561" i="6"/>
  <c r="F561" i="6"/>
  <c r="B561" i="6"/>
  <c r="K560" i="6"/>
  <c r="G560" i="6"/>
  <c r="C560" i="6"/>
  <c r="L559" i="6"/>
  <c r="G559" i="6"/>
  <c r="C559" i="6"/>
  <c r="L558" i="6"/>
  <c r="G558" i="6"/>
  <c r="C558" i="6"/>
  <c r="L557" i="6"/>
  <c r="G557" i="6"/>
  <c r="C557" i="6"/>
  <c r="L556" i="6"/>
  <c r="G556" i="6"/>
  <c r="C556" i="6"/>
  <c r="L555" i="6"/>
  <c r="G555" i="6"/>
  <c r="C555" i="6"/>
  <c r="L554" i="6"/>
  <c r="G554" i="6"/>
  <c r="C554" i="6"/>
  <c r="L553" i="6"/>
  <c r="H553" i="6"/>
  <c r="D553" i="6"/>
  <c r="M552" i="6"/>
  <c r="I552" i="6"/>
  <c r="E552" i="6"/>
  <c r="A552" i="6"/>
  <c r="I551" i="6"/>
  <c r="E551" i="6"/>
  <c r="A551" i="6"/>
  <c r="I550" i="6"/>
  <c r="E550" i="6"/>
  <c r="A550" i="6"/>
  <c r="I549" i="6"/>
  <c r="E549" i="6"/>
  <c r="A549" i="6"/>
  <c r="I548" i="6"/>
  <c r="E548" i="6"/>
  <c r="A548" i="6"/>
  <c r="I547" i="6"/>
  <c r="E547" i="6"/>
  <c r="A547" i="6"/>
  <c r="I546" i="6"/>
  <c r="E546" i="6"/>
  <c r="A546" i="6"/>
  <c r="J545" i="6"/>
  <c r="F545" i="6"/>
  <c r="B545" i="6"/>
  <c r="K544" i="6"/>
  <c r="G544" i="6"/>
  <c r="C544" i="6"/>
  <c r="L543" i="6"/>
  <c r="G543" i="6"/>
  <c r="C543" i="6"/>
  <c r="L542" i="6"/>
  <c r="G542" i="6"/>
  <c r="C542" i="6"/>
  <c r="L541" i="6"/>
  <c r="G541" i="6"/>
  <c r="C541" i="6"/>
  <c r="L540" i="6"/>
  <c r="G540" i="6"/>
  <c r="C540" i="6"/>
  <c r="L539" i="6"/>
  <c r="G539" i="6"/>
  <c r="C539" i="6"/>
  <c r="L538" i="6"/>
  <c r="G538" i="6"/>
  <c r="C538" i="6"/>
  <c r="L537" i="6"/>
  <c r="H537" i="6"/>
  <c r="D537" i="6"/>
  <c r="M536" i="6"/>
  <c r="I536" i="6"/>
  <c r="E536" i="6"/>
  <c r="A536" i="6"/>
  <c r="I535" i="6"/>
  <c r="E535" i="6"/>
  <c r="A535" i="6"/>
  <c r="I534" i="6"/>
  <c r="E534" i="6"/>
  <c r="A534" i="6"/>
  <c r="I533" i="6"/>
  <c r="E533" i="6"/>
  <c r="A533" i="6"/>
  <c r="I532" i="6"/>
  <c r="E532" i="6"/>
  <c r="A532" i="6"/>
  <c r="I531" i="6"/>
  <c r="E531" i="6"/>
  <c r="A531" i="6"/>
  <c r="I530" i="6"/>
  <c r="E530" i="6"/>
  <c r="A530" i="6"/>
  <c r="J529" i="6"/>
  <c r="F529" i="6"/>
  <c r="B529" i="6"/>
  <c r="K528" i="6"/>
  <c r="G528" i="6"/>
  <c r="C528" i="6"/>
  <c r="L527" i="6"/>
  <c r="G527" i="6"/>
  <c r="C527" i="6"/>
  <c r="L526" i="6"/>
  <c r="G526" i="6"/>
  <c r="C526" i="6"/>
  <c r="L525" i="6"/>
  <c r="G525" i="6"/>
  <c r="C525" i="6"/>
  <c r="L524" i="6"/>
  <c r="G524" i="6"/>
  <c r="C524" i="6"/>
  <c r="L523" i="6"/>
  <c r="G523" i="6"/>
  <c r="C523" i="6"/>
  <c r="L522" i="6"/>
  <c r="G522" i="6"/>
  <c r="C522" i="6"/>
  <c r="L521" i="6"/>
  <c r="H521" i="6"/>
  <c r="D521" i="6"/>
  <c r="M520" i="6"/>
  <c r="I520" i="6"/>
  <c r="E520" i="6"/>
  <c r="A520" i="6"/>
  <c r="I519" i="6"/>
  <c r="E519" i="6"/>
  <c r="A519" i="6"/>
  <c r="I518" i="6"/>
  <c r="E518" i="6"/>
  <c r="A518" i="6"/>
  <c r="I517" i="6"/>
  <c r="E517" i="6"/>
  <c r="A517" i="6"/>
  <c r="I516" i="6"/>
  <c r="E516" i="6"/>
  <c r="A516" i="6"/>
  <c r="I515" i="6"/>
  <c r="E515" i="6"/>
  <c r="A515" i="6"/>
  <c r="I514" i="6"/>
  <c r="E514" i="6"/>
  <c r="A514" i="6"/>
  <c r="J513" i="6"/>
  <c r="F513" i="6"/>
  <c r="B513" i="6"/>
  <c r="K512" i="6"/>
  <c r="G512" i="6"/>
  <c r="C512" i="6"/>
  <c r="L511" i="6"/>
  <c r="G511" i="6"/>
  <c r="C511" i="6"/>
  <c r="L510" i="6"/>
  <c r="G510" i="6"/>
  <c r="C510" i="6"/>
  <c r="L509" i="6"/>
  <c r="G509" i="6"/>
  <c r="C509" i="6"/>
  <c r="L508" i="6"/>
  <c r="G508" i="6"/>
  <c r="C508" i="6"/>
  <c r="L507" i="6"/>
  <c r="G507" i="6"/>
  <c r="C507" i="6"/>
  <c r="L506" i="6"/>
  <c r="G506" i="6"/>
  <c r="C506" i="6"/>
  <c r="L505" i="6"/>
  <c r="H505" i="6"/>
  <c r="D505" i="6"/>
  <c r="M504" i="6"/>
  <c r="I504" i="6"/>
  <c r="E504" i="6"/>
  <c r="A504" i="6"/>
  <c r="I503" i="6"/>
  <c r="E503" i="6"/>
  <c r="A503" i="6"/>
  <c r="I502" i="6"/>
  <c r="E502" i="6"/>
  <c r="A502" i="6"/>
  <c r="I501" i="6"/>
  <c r="E501" i="6"/>
  <c r="A501" i="6"/>
  <c r="I500" i="6"/>
  <c r="E500" i="6"/>
  <c r="A500" i="6"/>
  <c r="I499" i="6"/>
  <c r="E499" i="6"/>
  <c r="A499" i="6"/>
  <c r="I498" i="6"/>
  <c r="E498" i="6"/>
  <c r="A498" i="6"/>
  <c r="J497" i="6"/>
  <c r="F497" i="6"/>
  <c r="B497" i="6"/>
  <c r="K496" i="6"/>
  <c r="G496" i="6"/>
  <c r="C496" i="6"/>
  <c r="L495" i="6"/>
  <c r="G495" i="6"/>
  <c r="C495" i="6"/>
  <c r="L494" i="6"/>
  <c r="G494" i="6"/>
  <c r="C494" i="6"/>
  <c r="L493" i="6"/>
  <c r="G493" i="6"/>
  <c r="C493" i="6"/>
  <c r="L492" i="6"/>
  <c r="G492" i="6"/>
  <c r="C492" i="6"/>
  <c r="L491" i="6"/>
  <c r="G491" i="6"/>
  <c r="C491" i="6"/>
  <c r="L490" i="6"/>
  <c r="G490" i="6"/>
  <c r="C490" i="6"/>
  <c r="L489" i="6"/>
  <c r="H489" i="6"/>
  <c r="D489" i="6"/>
  <c r="M488" i="6"/>
  <c r="I488" i="6"/>
  <c r="E488" i="6"/>
  <c r="A488" i="6"/>
  <c r="I487" i="6"/>
  <c r="E487" i="6"/>
  <c r="A487" i="6"/>
  <c r="I486" i="6"/>
  <c r="E486" i="6"/>
  <c r="A486" i="6"/>
  <c r="I485" i="6"/>
  <c r="E485" i="6"/>
  <c r="A485" i="6"/>
  <c r="I484" i="6"/>
  <c r="E484" i="6"/>
  <c r="A484" i="6"/>
  <c r="I483" i="6"/>
  <c r="E483" i="6"/>
  <c r="A483" i="6"/>
  <c r="I482" i="6"/>
  <c r="E482" i="6"/>
  <c r="A482" i="6"/>
  <c r="J481" i="6"/>
  <c r="F481" i="6"/>
  <c r="B481" i="6"/>
  <c r="K480" i="6"/>
  <c r="G480" i="6"/>
  <c r="C480" i="6"/>
  <c r="L479" i="6"/>
  <c r="H479" i="6"/>
  <c r="D479" i="6"/>
  <c r="M478" i="6"/>
  <c r="I478" i="6"/>
  <c r="E478" i="6"/>
  <c r="A478" i="6"/>
  <c r="J477" i="6"/>
  <c r="F477" i="6"/>
  <c r="B477" i="6"/>
  <c r="K476" i="6"/>
  <c r="G476" i="6"/>
  <c r="C476" i="6"/>
  <c r="L475" i="6"/>
  <c r="H475" i="6"/>
  <c r="D475" i="6"/>
  <c r="M474" i="6"/>
  <c r="I474" i="6"/>
  <c r="E474" i="6"/>
  <c r="A474" i="6"/>
  <c r="J473" i="6"/>
  <c r="F473" i="6"/>
  <c r="B473" i="6"/>
  <c r="K472" i="6"/>
  <c r="G472" i="6"/>
  <c r="C472" i="6"/>
  <c r="L471" i="6"/>
  <c r="H471" i="6"/>
  <c r="D471" i="6"/>
  <c r="M470" i="6"/>
  <c r="I470" i="6"/>
  <c r="E470" i="6"/>
  <c r="A470" i="6"/>
  <c r="J469" i="6"/>
  <c r="F469" i="6"/>
  <c r="B469" i="6"/>
  <c r="K468" i="6"/>
  <c r="G468" i="6"/>
  <c r="C468" i="6"/>
  <c r="L467" i="6"/>
  <c r="H467" i="6"/>
  <c r="D467" i="6"/>
  <c r="M466" i="6"/>
  <c r="I466" i="6"/>
  <c r="E466" i="6"/>
  <c r="A466" i="6"/>
  <c r="J465" i="6"/>
  <c r="F465" i="6"/>
  <c r="B465" i="6"/>
  <c r="K464" i="6"/>
  <c r="G464" i="6"/>
  <c r="C464" i="6"/>
  <c r="L463" i="6"/>
  <c r="H463" i="6"/>
  <c r="D463" i="6"/>
  <c r="M462" i="6"/>
  <c r="I462" i="6"/>
  <c r="E462" i="6"/>
  <c r="A462" i="6"/>
  <c r="J461" i="6"/>
  <c r="F461" i="6"/>
  <c r="B461" i="6"/>
  <c r="K460" i="6"/>
  <c r="G460" i="6"/>
  <c r="C460" i="6"/>
  <c r="L459" i="6"/>
  <c r="H459" i="6"/>
  <c r="D459" i="6"/>
  <c r="M458" i="6"/>
  <c r="I458" i="6"/>
  <c r="E458" i="6"/>
  <c r="A458" i="6"/>
  <c r="J457" i="6"/>
  <c r="F457" i="6"/>
  <c r="B457" i="6"/>
  <c r="K456" i="6"/>
  <c r="G456" i="6"/>
  <c r="C456" i="6"/>
  <c r="L455" i="6"/>
  <c r="H455" i="6"/>
  <c r="D455" i="6"/>
  <c r="M454" i="6"/>
  <c r="I454" i="6"/>
  <c r="E454" i="6"/>
  <c r="A454" i="6"/>
  <c r="J453" i="6"/>
  <c r="F453" i="6"/>
  <c r="B453" i="6"/>
  <c r="K452" i="6"/>
  <c r="G452" i="6"/>
  <c r="C452" i="6"/>
  <c r="L451" i="6"/>
  <c r="H451" i="6"/>
  <c r="D451" i="6"/>
  <c r="M450" i="6"/>
  <c r="I450" i="6"/>
  <c r="E450" i="6"/>
  <c r="A450" i="6"/>
  <c r="J449" i="6"/>
  <c r="F449" i="6"/>
  <c r="B449" i="6"/>
  <c r="K448" i="6"/>
  <c r="G448" i="6"/>
  <c r="C448" i="6"/>
  <c r="L447" i="6"/>
  <c r="H447" i="6"/>
  <c r="D447" i="6"/>
  <c r="M446" i="6"/>
  <c r="I446" i="6"/>
  <c r="E446" i="6"/>
  <c r="A446" i="6"/>
  <c r="J445" i="6"/>
  <c r="F445" i="6"/>
  <c r="B445" i="6"/>
  <c r="K444" i="6"/>
  <c r="G444" i="6"/>
  <c r="C444" i="6"/>
  <c r="L443" i="6"/>
  <c r="H443" i="6"/>
  <c r="D443" i="6"/>
  <c r="B607" i="6"/>
  <c r="J606" i="6"/>
  <c r="F606" i="6"/>
  <c r="B606" i="6"/>
  <c r="J605" i="6"/>
  <c r="F605" i="6"/>
  <c r="B605" i="6"/>
  <c r="J604" i="6"/>
  <c r="F604" i="6"/>
  <c r="B604" i="6"/>
  <c r="J603" i="6"/>
  <c r="F603" i="6"/>
  <c r="B603" i="6"/>
  <c r="J602" i="6"/>
  <c r="F602" i="6"/>
  <c r="B602" i="6"/>
  <c r="K601" i="6"/>
  <c r="G601" i="6"/>
  <c r="C601" i="6"/>
  <c r="L600" i="6"/>
  <c r="H600" i="6"/>
  <c r="D600" i="6"/>
  <c r="M599" i="6"/>
  <c r="H599" i="6"/>
  <c r="D599" i="6"/>
  <c r="M598" i="6"/>
  <c r="H598" i="6"/>
  <c r="D598" i="6"/>
  <c r="M597" i="6"/>
  <c r="H597" i="6"/>
  <c r="D597" i="6"/>
  <c r="M596" i="6"/>
  <c r="H596" i="6"/>
  <c r="D596" i="6"/>
  <c r="M595" i="6"/>
  <c r="H595" i="6"/>
  <c r="D595" i="6"/>
  <c r="M594" i="6"/>
  <c r="H594" i="6"/>
  <c r="D594" i="6"/>
  <c r="M593" i="6"/>
  <c r="I593" i="6"/>
  <c r="E593" i="6"/>
  <c r="A593" i="6"/>
  <c r="J592" i="6"/>
  <c r="F592" i="6"/>
  <c r="B592" i="6"/>
  <c r="J591" i="6"/>
  <c r="F591" i="6"/>
  <c r="B591" i="6"/>
  <c r="J590" i="6"/>
  <c r="F590" i="6"/>
  <c r="B590" i="6"/>
  <c r="J589" i="6"/>
  <c r="F589" i="6"/>
  <c r="B589" i="6"/>
  <c r="J588" i="6"/>
  <c r="F588" i="6"/>
  <c r="B588" i="6"/>
  <c r="J587" i="6"/>
  <c r="F587" i="6"/>
  <c r="B587" i="6"/>
  <c r="J586" i="6"/>
  <c r="F586" i="6"/>
  <c r="B586" i="6"/>
  <c r="K585" i="6"/>
  <c r="G585" i="6"/>
  <c r="C585" i="6"/>
  <c r="L584" i="6"/>
  <c r="H584" i="6"/>
  <c r="D584" i="6"/>
  <c r="M583" i="6"/>
  <c r="H583" i="6"/>
  <c r="D583" i="6"/>
  <c r="M582" i="6"/>
  <c r="H582" i="6"/>
  <c r="D582" i="6"/>
  <c r="M581" i="6"/>
  <c r="H581" i="6"/>
  <c r="D581" i="6"/>
  <c r="M580" i="6"/>
  <c r="H580" i="6"/>
  <c r="D580" i="6"/>
  <c r="M579" i="6"/>
  <c r="H579" i="6"/>
  <c r="D579" i="6"/>
  <c r="M578" i="6"/>
  <c r="H578" i="6"/>
  <c r="D578" i="6"/>
  <c r="M577" i="6"/>
  <c r="I577" i="6"/>
  <c r="E577" i="6"/>
  <c r="A577" i="6"/>
  <c r="J576" i="6"/>
  <c r="F576" i="6"/>
  <c r="B576" i="6"/>
  <c r="J575" i="6"/>
  <c r="F575" i="6"/>
  <c r="B575" i="6"/>
  <c r="J574" i="6"/>
  <c r="F574" i="6"/>
  <c r="B574" i="6"/>
  <c r="J573" i="6"/>
  <c r="F573" i="6"/>
  <c r="B573" i="6"/>
  <c r="J572" i="6"/>
  <c r="F572" i="6"/>
  <c r="B572" i="6"/>
  <c r="J571" i="6"/>
  <c r="F571" i="6"/>
  <c r="B571" i="6"/>
  <c r="J570" i="6"/>
  <c r="F570" i="6"/>
  <c r="B570" i="6"/>
  <c r="K569" i="6"/>
  <c r="G569" i="6"/>
  <c r="C569" i="6"/>
  <c r="L568" i="6"/>
  <c r="H568" i="6"/>
  <c r="D568" i="6"/>
  <c r="M567" i="6"/>
  <c r="H567" i="6"/>
  <c r="D567" i="6"/>
  <c r="M566" i="6"/>
  <c r="H566" i="6"/>
  <c r="D566" i="6"/>
  <c r="M565" i="6"/>
  <c r="H565" i="6"/>
  <c r="D565" i="6"/>
  <c r="M564" i="6"/>
  <c r="H564" i="6"/>
  <c r="D564" i="6"/>
  <c r="M563" i="6"/>
  <c r="H563" i="6"/>
  <c r="D563" i="6"/>
  <c r="M562" i="6"/>
  <c r="H562" i="6"/>
  <c r="D562" i="6"/>
  <c r="M561" i="6"/>
  <c r="I561" i="6"/>
  <c r="E561" i="6"/>
  <c r="A561" i="6"/>
  <c r="J560" i="6"/>
  <c r="F560" i="6"/>
  <c r="B560" i="6"/>
  <c r="J559" i="6"/>
  <c r="F559" i="6"/>
  <c r="B559" i="6"/>
  <c r="J558" i="6"/>
  <c r="F558" i="6"/>
  <c r="B558" i="6"/>
  <c r="J557" i="6"/>
  <c r="F557" i="6"/>
  <c r="B557" i="6"/>
  <c r="J556" i="6"/>
  <c r="F556" i="6"/>
  <c r="B556" i="6"/>
  <c r="J555" i="6"/>
  <c r="F555" i="6"/>
  <c r="B555" i="6"/>
  <c r="J554" i="6"/>
  <c r="F554" i="6"/>
  <c r="B554" i="6"/>
  <c r="K553" i="6"/>
  <c r="G553" i="6"/>
  <c r="C553" i="6"/>
  <c r="L552" i="6"/>
  <c r="H552" i="6"/>
  <c r="D552" i="6"/>
  <c r="M551" i="6"/>
  <c r="H551" i="6"/>
  <c r="D551" i="6"/>
  <c r="M550" i="6"/>
  <c r="H550" i="6"/>
  <c r="D550" i="6"/>
  <c r="M549" i="6"/>
  <c r="H549" i="6"/>
  <c r="D549" i="6"/>
  <c r="M548" i="6"/>
  <c r="H548" i="6"/>
  <c r="D548" i="6"/>
  <c r="M547" i="6"/>
  <c r="H547" i="6"/>
  <c r="D547" i="6"/>
  <c r="M546" i="6"/>
  <c r="H546" i="6"/>
  <c r="D546" i="6"/>
  <c r="M545" i="6"/>
  <c r="I545" i="6"/>
  <c r="E545" i="6"/>
  <c r="A545" i="6"/>
  <c r="J544" i="6"/>
  <c r="F544" i="6"/>
  <c r="B544" i="6"/>
  <c r="J543" i="6"/>
  <c r="F543" i="6"/>
  <c r="B543" i="6"/>
  <c r="J542" i="6"/>
  <c r="F542" i="6"/>
  <c r="B542" i="6"/>
  <c r="J541" i="6"/>
  <c r="F541" i="6"/>
  <c r="B541" i="6"/>
  <c r="J540" i="6"/>
  <c r="F540" i="6"/>
  <c r="B540" i="6"/>
  <c r="J539" i="6"/>
  <c r="F539" i="6"/>
  <c r="B539" i="6"/>
  <c r="J538" i="6"/>
  <c r="F538" i="6"/>
  <c r="B538" i="6"/>
  <c r="K537" i="6"/>
  <c r="G537" i="6"/>
  <c r="C537" i="6"/>
  <c r="L536" i="6"/>
  <c r="H536" i="6"/>
  <c r="D536" i="6"/>
  <c r="M535" i="6"/>
  <c r="H535" i="6"/>
  <c r="D535" i="6"/>
  <c r="M534" i="6"/>
  <c r="H534" i="6"/>
  <c r="D534" i="6"/>
  <c r="M533" i="6"/>
  <c r="H533" i="6"/>
  <c r="D533" i="6"/>
  <c r="M532" i="6"/>
  <c r="H532" i="6"/>
  <c r="D532" i="6"/>
  <c r="M531" i="6"/>
  <c r="H531" i="6"/>
  <c r="D531" i="6"/>
  <c r="M530" i="6"/>
  <c r="H530" i="6"/>
  <c r="D530" i="6"/>
  <c r="M529" i="6"/>
  <c r="I529" i="6"/>
  <c r="E529" i="6"/>
  <c r="A529" i="6"/>
  <c r="J528" i="6"/>
  <c r="F528" i="6"/>
  <c r="B528" i="6"/>
  <c r="J527" i="6"/>
  <c r="F527" i="6"/>
  <c r="B527" i="6"/>
  <c r="J526" i="6"/>
  <c r="F526" i="6"/>
  <c r="B526" i="6"/>
  <c r="J525" i="6"/>
  <c r="F525" i="6"/>
  <c r="B525" i="6"/>
  <c r="J524" i="6"/>
  <c r="F524" i="6"/>
  <c r="B524" i="6"/>
  <c r="J523" i="6"/>
  <c r="F523" i="6"/>
  <c r="B523" i="6"/>
  <c r="J522" i="6"/>
  <c r="F522" i="6"/>
  <c r="B522" i="6"/>
  <c r="K521" i="6"/>
  <c r="G521" i="6"/>
  <c r="C521" i="6"/>
  <c r="L520" i="6"/>
  <c r="H520" i="6"/>
  <c r="D520" i="6"/>
  <c r="M519" i="6"/>
  <c r="H519" i="6"/>
  <c r="D519" i="6"/>
  <c r="M518" i="6"/>
  <c r="H518" i="6"/>
  <c r="D518" i="6"/>
  <c r="M517" i="6"/>
  <c r="H517" i="6"/>
  <c r="D517" i="6"/>
  <c r="M516" i="6"/>
  <c r="H516" i="6"/>
  <c r="D516" i="6"/>
  <c r="M515" i="6"/>
  <c r="H515" i="6"/>
  <c r="D515" i="6"/>
  <c r="M514" i="6"/>
  <c r="H514" i="6"/>
  <c r="D514" i="6"/>
  <c r="M513" i="6"/>
  <c r="I513" i="6"/>
  <c r="E513" i="6"/>
  <c r="A513" i="6"/>
  <c r="J512" i="6"/>
  <c r="F512" i="6"/>
  <c r="B512" i="6"/>
  <c r="J511" i="6"/>
  <c r="F511" i="6"/>
  <c r="B511" i="6"/>
  <c r="J510" i="6"/>
  <c r="F510" i="6"/>
  <c r="B510" i="6"/>
  <c r="J509" i="6"/>
  <c r="F509" i="6"/>
  <c r="B509" i="6"/>
  <c r="J508" i="6"/>
  <c r="F508" i="6"/>
  <c r="B508" i="6"/>
  <c r="J507" i="6"/>
  <c r="F507" i="6"/>
  <c r="B507" i="6"/>
  <c r="J506" i="6"/>
  <c r="F506" i="6"/>
  <c r="B506" i="6"/>
  <c r="K505" i="6"/>
  <c r="G505" i="6"/>
  <c r="C505" i="6"/>
  <c r="L504" i="6"/>
  <c r="H504" i="6"/>
  <c r="D504" i="6"/>
  <c r="M503" i="6"/>
  <c r="H503" i="6"/>
  <c r="D503" i="6"/>
  <c r="M502" i="6"/>
  <c r="H502" i="6"/>
  <c r="D502" i="6"/>
  <c r="M501" i="6"/>
  <c r="H501" i="6"/>
  <c r="D501" i="6"/>
  <c r="M500" i="6"/>
  <c r="H500" i="6"/>
  <c r="D500" i="6"/>
  <c r="M499" i="6"/>
  <c r="H499" i="6"/>
  <c r="D499" i="6"/>
  <c r="M498" i="6"/>
  <c r="H498" i="6"/>
  <c r="D498" i="6"/>
  <c r="M497" i="6"/>
  <c r="I497" i="6"/>
  <c r="E497" i="6"/>
  <c r="A497" i="6"/>
  <c r="J496" i="6"/>
  <c r="F496" i="6"/>
  <c r="B496" i="6"/>
  <c r="J495" i="6"/>
  <c r="F495" i="6"/>
  <c r="B495" i="6"/>
  <c r="J494" i="6"/>
  <c r="F494" i="6"/>
  <c r="B494" i="6"/>
  <c r="J493" i="6"/>
  <c r="F493" i="6"/>
  <c r="B493" i="6"/>
  <c r="J492" i="6"/>
  <c r="F492" i="6"/>
  <c r="B492" i="6"/>
  <c r="J491" i="6"/>
  <c r="F491" i="6"/>
  <c r="B491" i="6"/>
  <c r="J490" i="6"/>
  <c r="F490" i="6"/>
  <c r="B490" i="6"/>
  <c r="K489" i="6"/>
  <c r="G489" i="6"/>
  <c r="C489" i="6"/>
  <c r="L488" i="6"/>
  <c r="H488" i="6"/>
  <c r="D488" i="6"/>
  <c r="M487" i="6"/>
  <c r="H487" i="6"/>
  <c r="D487" i="6"/>
  <c r="M486" i="6"/>
  <c r="H486" i="6"/>
  <c r="D486" i="6"/>
  <c r="M485" i="6"/>
  <c r="H485" i="6"/>
  <c r="D485" i="6"/>
  <c r="M484" i="6"/>
  <c r="H484" i="6"/>
  <c r="D484" i="6"/>
  <c r="M483" i="6"/>
  <c r="H483" i="6"/>
  <c r="D483" i="6"/>
  <c r="M482" i="6"/>
  <c r="H482" i="6"/>
  <c r="D482" i="6"/>
  <c r="M481" i="6"/>
  <c r="I481" i="6"/>
  <c r="E481" i="6"/>
  <c r="A481" i="6"/>
  <c r="J480" i="6"/>
  <c r="F480" i="6"/>
  <c r="B480" i="6"/>
  <c r="K479" i="6"/>
  <c r="G479" i="6"/>
  <c r="C479" i="6"/>
  <c r="L478" i="6"/>
  <c r="H478" i="6"/>
  <c r="D478" i="6"/>
  <c r="M477" i="6"/>
  <c r="I477" i="6"/>
  <c r="E477" i="6"/>
  <c r="A477" i="6"/>
  <c r="J476" i="6"/>
  <c r="F476" i="6"/>
  <c r="B476" i="6"/>
  <c r="K475" i="6"/>
  <c r="G475" i="6"/>
  <c r="C475" i="6"/>
  <c r="L474" i="6"/>
  <c r="H474" i="6"/>
  <c r="D474" i="6"/>
  <c r="M473" i="6"/>
  <c r="I473" i="6"/>
  <c r="E473" i="6"/>
  <c r="A473" i="6"/>
  <c r="J472" i="6"/>
  <c r="F472" i="6"/>
  <c r="B472" i="6"/>
  <c r="K471" i="6"/>
  <c r="G471" i="6"/>
  <c r="C471" i="6"/>
  <c r="L470" i="6"/>
  <c r="H470" i="6"/>
  <c r="D470" i="6"/>
  <c r="M469" i="6"/>
  <c r="I469" i="6"/>
  <c r="E469" i="6"/>
  <c r="A469" i="6"/>
  <c r="J468" i="6"/>
  <c r="F468" i="6"/>
  <c r="B468" i="6"/>
  <c r="K467" i="6"/>
  <c r="G467" i="6"/>
  <c r="C467" i="6"/>
  <c r="L466" i="6"/>
  <c r="H466" i="6"/>
  <c r="D466" i="6"/>
  <c r="M465" i="6"/>
  <c r="I465" i="6"/>
  <c r="E465" i="6"/>
  <c r="A465" i="6"/>
  <c r="J464" i="6"/>
  <c r="F464" i="6"/>
  <c r="B464" i="6"/>
  <c r="K463" i="6"/>
  <c r="G463" i="6"/>
  <c r="C463" i="6"/>
  <c r="L462" i="6"/>
  <c r="H462" i="6"/>
  <c r="D462" i="6"/>
  <c r="M461" i="6"/>
  <c r="I461" i="6"/>
  <c r="E461" i="6"/>
  <c r="A461" i="6"/>
  <c r="J460" i="6"/>
  <c r="F460" i="6"/>
  <c r="B460" i="6"/>
  <c r="K459" i="6"/>
  <c r="G459" i="6"/>
  <c r="C459" i="6"/>
  <c r="L458" i="6"/>
  <c r="H458" i="6"/>
  <c r="D458" i="6"/>
  <c r="M457" i="6"/>
  <c r="I457" i="6"/>
  <c r="E457" i="6"/>
  <c r="A457" i="6"/>
  <c r="J456" i="6"/>
  <c r="F456" i="6"/>
  <c r="B456" i="6"/>
  <c r="K455" i="6"/>
  <c r="G455" i="6"/>
  <c r="C455" i="6"/>
  <c r="L454" i="6"/>
  <c r="H454" i="6"/>
  <c r="D454" i="6"/>
  <c r="M453" i="6"/>
  <c r="I453" i="6"/>
  <c r="E453" i="6"/>
  <c r="A453" i="6"/>
  <c r="J452" i="6"/>
  <c r="F452" i="6"/>
  <c r="B452" i="6"/>
  <c r="K451" i="6"/>
  <c r="G451" i="6"/>
  <c r="C451" i="6"/>
  <c r="L450" i="6"/>
  <c r="H450" i="6"/>
  <c r="D450" i="6"/>
  <c r="M449" i="6"/>
  <c r="I449" i="6"/>
  <c r="E449" i="6"/>
  <c r="A449" i="6"/>
  <c r="J448" i="6"/>
  <c r="F448" i="6"/>
  <c r="B448" i="6"/>
  <c r="K447" i="6"/>
  <c r="G447" i="6"/>
  <c r="C447" i="6"/>
  <c r="L446" i="6"/>
  <c r="H446" i="6"/>
  <c r="D446" i="6"/>
  <c r="M445" i="6"/>
  <c r="I445" i="6"/>
  <c r="E445" i="6"/>
  <c r="A445" i="6"/>
  <c r="J444" i="6"/>
  <c r="F444" i="6"/>
  <c r="B444" i="6"/>
  <c r="K443" i="6"/>
  <c r="G443" i="6"/>
  <c r="C443" i="6"/>
  <c r="M442" i="6"/>
  <c r="I442" i="6"/>
  <c r="E442" i="6"/>
  <c r="A442" i="6"/>
  <c r="J441" i="6"/>
  <c r="F441" i="6"/>
  <c r="B441" i="6"/>
  <c r="K440" i="6"/>
  <c r="G440" i="6"/>
  <c r="C440" i="6"/>
  <c r="L439" i="6"/>
  <c r="H439" i="6"/>
  <c r="D439" i="6"/>
  <c r="M438" i="6"/>
  <c r="I438" i="6"/>
  <c r="E438" i="6"/>
  <c r="A438" i="6"/>
  <c r="J437" i="6"/>
  <c r="F437" i="6"/>
  <c r="B437" i="6"/>
  <c r="K436" i="6"/>
  <c r="G436" i="6"/>
  <c r="C436" i="6"/>
  <c r="L435" i="6"/>
  <c r="H435" i="6"/>
  <c r="D435" i="6"/>
  <c r="M434" i="6"/>
  <c r="I434" i="6"/>
  <c r="E434" i="6"/>
  <c r="A434" i="6"/>
  <c r="J433" i="6"/>
  <c r="F433" i="6"/>
  <c r="B433" i="6"/>
  <c r="K432" i="6"/>
  <c r="G432" i="6"/>
  <c r="C432" i="6"/>
  <c r="L431" i="6"/>
  <c r="H431" i="6"/>
  <c r="D431" i="6"/>
  <c r="M430" i="6"/>
  <c r="I430" i="6"/>
  <c r="E430" i="6"/>
  <c r="A430" i="6"/>
  <c r="J429" i="6"/>
  <c r="F429" i="6"/>
  <c r="B429" i="6"/>
  <c r="K428" i="6"/>
  <c r="G428" i="6"/>
  <c r="C428" i="6"/>
  <c r="L427" i="6"/>
  <c r="H427" i="6"/>
  <c r="D427" i="6"/>
  <c r="M426" i="6"/>
  <c r="I426" i="6"/>
  <c r="E426" i="6"/>
  <c r="A426" i="6"/>
  <c r="J425" i="6"/>
  <c r="F425" i="6"/>
  <c r="B425" i="6"/>
  <c r="K424" i="6"/>
  <c r="G424" i="6"/>
  <c r="C424" i="6"/>
  <c r="L423" i="6"/>
  <c r="H423" i="6"/>
  <c r="D423" i="6"/>
  <c r="M422" i="6"/>
  <c r="I422" i="6"/>
  <c r="E422" i="6"/>
  <c r="A422" i="6"/>
  <c r="J421" i="6"/>
  <c r="F421" i="6"/>
  <c r="B421" i="6"/>
  <c r="K420" i="6"/>
  <c r="G420" i="6"/>
  <c r="C420" i="6"/>
  <c r="L419" i="6"/>
  <c r="H419" i="6"/>
  <c r="D419" i="6"/>
  <c r="M418" i="6"/>
  <c r="I418" i="6"/>
  <c r="E418" i="6"/>
  <c r="A418" i="6"/>
  <c r="J417" i="6"/>
  <c r="F417" i="6"/>
  <c r="B417" i="6"/>
  <c r="K416" i="6"/>
  <c r="G416" i="6"/>
  <c r="C416" i="6"/>
  <c r="L415" i="6"/>
  <c r="H415" i="6"/>
  <c r="D415" i="6"/>
  <c r="M414" i="6"/>
  <c r="I414" i="6"/>
  <c r="E414" i="6"/>
  <c r="A414" i="6"/>
  <c r="J413" i="6"/>
  <c r="F413" i="6"/>
  <c r="B413" i="6"/>
  <c r="K412" i="6"/>
  <c r="G412" i="6"/>
  <c r="C412" i="6"/>
  <c r="L411" i="6"/>
  <c r="H411" i="6"/>
  <c r="D411" i="6"/>
  <c r="M410" i="6"/>
  <c r="I410" i="6"/>
  <c r="E410" i="6"/>
  <c r="A410" i="6"/>
  <c r="J409" i="6"/>
  <c r="F409" i="6"/>
  <c r="B409" i="6"/>
  <c r="K408" i="6"/>
  <c r="G408" i="6"/>
  <c r="C408" i="6"/>
  <c r="L407" i="6"/>
  <c r="H407" i="6"/>
  <c r="D407" i="6"/>
  <c r="M406" i="6"/>
  <c r="I406" i="6"/>
  <c r="E406" i="6"/>
  <c r="A406" i="6"/>
  <c r="J405" i="6"/>
  <c r="F405" i="6"/>
  <c r="B405" i="6"/>
  <c r="K404" i="6"/>
  <c r="G404" i="6"/>
  <c r="C404" i="6"/>
  <c r="L403" i="6"/>
  <c r="H403" i="6"/>
  <c r="D403" i="6"/>
  <c r="M402" i="6"/>
  <c r="I402" i="6"/>
  <c r="E402" i="6"/>
  <c r="A402" i="6"/>
  <c r="J401" i="6"/>
  <c r="F401" i="6"/>
  <c r="B401" i="6"/>
  <c r="K400" i="6"/>
  <c r="G400" i="6"/>
  <c r="C400" i="6"/>
  <c r="L399" i="6"/>
  <c r="H399" i="6"/>
  <c r="D399" i="6"/>
  <c r="M398" i="6"/>
  <c r="I398" i="6"/>
  <c r="E398" i="6"/>
  <c r="A398" i="6"/>
  <c r="J397" i="6"/>
  <c r="F397" i="6"/>
  <c r="B397" i="6"/>
  <c r="K396" i="6"/>
  <c r="G396" i="6"/>
  <c r="C396" i="6"/>
  <c r="L395" i="6"/>
  <c r="H395" i="6"/>
  <c r="D395" i="6"/>
  <c r="M394" i="6"/>
  <c r="I394" i="6"/>
  <c r="E394" i="6"/>
  <c r="A394" i="6"/>
  <c r="J393" i="6"/>
  <c r="F393" i="6"/>
  <c r="B393" i="6"/>
  <c r="K392" i="6"/>
  <c r="G392" i="6"/>
  <c r="C392" i="6"/>
  <c r="L391" i="6"/>
  <c r="H391" i="6"/>
  <c r="D391" i="6"/>
  <c r="M390" i="6"/>
  <c r="I390" i="6"/>
  <c r="E390" i="6"/>
  <c r="A390" i="6"/>
  <c r="J389" i="6"/>
  <c r="F389" i="6"/>
  <c r="B389" i="6"/>
  <c r="K388" i="6"/>
  <c r="G388" i="6"/>
  <c r="C388" i="6"/>
  <c r="L387" i="6"/>
  <c r="H387" i="6"/>
  <c r="D387" i="6"/>
  <c r="M386" i="6"/>
  <c r="I386" i="6"/>
  <c r="E386" i="6"/>
  <c r="A386" i="6"/>
  <c r="J385" i="6"/>
  <c r="F385" i="6"/>
  <c r="B385" i="6"/>
  <c r="K384" i="6"/>
  <c r="G384" i="6"/>
  <c r="C384" i="6"/>
  <c r="L383" i="6"/>
  <c r="H383" i="6"/>
  <c r="D383" i="6"/>
  <c r="M382" i="6"/>
  <c r="I382" i="6"/>
  <c r="E382" i="6"/>
  <c r="A382" i="6"/>
  <c r="J381" i="6"/>
  <c r="F381" i="6"/>
  <c r="B381" i="6"/>
  <c r="K380" i="6"/>
  <c r="G380" i="6"/>
  <c r="C380" i="6"/>
  <c r="L379" i="6"/>
  <c r="H379" i="6"/>
  <c r="D379" i="6"/>
  <c r="M378" i="6"/>
  <c r="I378" i="6"/>
  <c r="E378" i="6"/>
  <c r="A378" i="6"/>
  <c r="J377" i="6"/>
  <c r="F377" i="6"/>
  <c r="B377" i="6"/>
  <c r="K376" i="6"/>
  <c r="G376" i="6"/>
  <c r="C376" i="6"/>
  <c r="L375" i="6"/>
  <c r="H375" i="6"/>
  <c r="D375" i="6"/>
  <c r="M374" i="6"/>
  <c r="I374" i="6"/>
  <c r="E374" i="6"/>
  <c r="A374" i="6"/>
  <c r="J373" i="6"/>
  <c r="F373" i="6"/>
  <c r="B373" i="6"/>
  <c r="K372" i="6"/>
  <c r="G372" i="6"/>
  <c r="C372" i="6"/>
  <c r="L371" i="6"/>
  <c r="H371" i="6"/>
  <c r="D371" i="6"/>
  <c r="M370" i="6"/>
  <c r="I370" i="6"/>
  <c r="E370" i="6"/>
  <c r="A370" i="6"/>
  <c r="J369" i="6"/>
  <c r="F369" i="6"/>
  <c r="B369" i="6"/>
  <c r="K368" i="6"/>
  <c r="G368" i="6"/>
  <c r="C368" i="6"/>
  <c r="L367" i="6"/>
  <c r="H367" i="6"/>
  <c r="D367" i="6"/>
  <c r="M366" i="6"/>
  <c r="I366" i="6"/>
  <c r="E366" i="6"/>
  <c r="A366" i="6"/>
  <c r="J365" i="6"/>
  <c r="F365" i="6"/>
  <c r="B365" i="6"/>
  <c r="K364" i="6"/>
  <c r="G364" i="6"/>
  <c r="C364" i="6"/>
  <c r="L363" i="6"/>
  <c r="H363" i="6"/>
  <c r="D363" i="6"/>
  <c r="M362" i="6"/>
  <c r="I362" i="6"/>
  <c r="E362" i="6"/>
  <c r="A362" i="6"/>
  <c r="J361" i="6"/>
  <c r="F361" i="6"/>
  <c r="B361" i="6"/>
  <c r="K360" i="6"/>
  <c r="G360" i="6"/>
  <c r="C360" i="6"/>
  <c r="L359" i="6"/>
  <c r="H359" i="6"/>
  <c r="D359" i="6"/>
  <c r="M358" i="6"/>
  <c r="I358" i="6"/>
  <c r="E358" i="6"/>
  <c r="A358" i="6"/>
  <c r="J357" i="6"/>
  <c r="F357" i="6"/>
  <c r="B357" i="6"/>
  <c r="K356" i="6"/>
  <c r="G356" i="6"/>
  <c r="C356" i="6"/>
  <c r="L355" i="6"/>
  <c r="H355" i="6"/>
  <c r="D355" i="6"/>
  <c r="M354" i="6"/>
  <c r="I354" i="6"/>
  <c r="E354" i="6"/>
  <c r="A354" i="6"/>
  <c r="J353" i="6"/>
  <c r="F353" i="6"/>
  <c r="B353" i="6"/>
  <c r="K352" i="6"/>
  <c r="G352" i="6"/>
  <c r="C352" i="6"/>
  <c r="L351" i="6"/>
  <c r="H351" i="6"/>
  <c r="D351" i="6"/>
  <c r="M350" i="6"/>
  <c r="I350" i="6"/>
  <c r="E350" i="6"/>
  <c r="A350" i="6"/>
  <c r="J349" i="6"/>
  <c r="F349" i="6"/>
  <c r="B349" i="6"/>
  <c r="K348" i="6"/>
  <c r="G348" i="6"/>
  <c r="C348" i="6"/>
  <c r="L347" i="6"/>
  <c r="H347" i="6"/>
  <c r="D347" i="6"/>
  <c r="M346" i="6"/>
  <c r="I346" i="6"/>
  <c r="E346" i="6"/>
  <c r="A346" i="6"/>
  <c r="J345" i="6"/>
  <c r="F345" i="6"/>
  <c r="B345" i="6"/>
  <c r="K344" i="6"/>
  <c r="G344" i="6"/>
  <c r="C344" i="6"/>
  <c r="L343" i="6"/>
  <c r="H343" i="6"/>
  <c r="D343" i="6"/>
  <c r="M342" i="6"/>
  <c r="I342" i="6"/>
  <c r="E342" i="6"/>
  <c r="A342" i="6"/>
  <c r="J341" i="6"/>
  <c r="F341" i="6"/>
  <c r="B341" i="6"/>
  <c r="K340" i="6"/>
  <c r="G340" i="6"/>
  <c r="C340" i="6"/>
  <c r="L339" i="6"/>
  <c r="H339" i="6"/>
  <c r="D339" i="6"/>
  <c r="M338" i="6"/>
  <c r="I338" i="6"/>
  <c r="E338" i="6"/>
  <c r="A338" i="6"/>
  <c r="J337" i="6"/>
  <c r="F337" i="6"/>
  <c r="B337" i="6"/>
  <c r="K336" i="6"/>
  <c r="G336" i="6"/>
  <c r="C336" i="6"/>
  <c r="L335" i="6"/>
  <c r="H335" i="6"/>
  <c r="D335" i="6"/>
  <c r="M334" i="6"/>
  <c r="I334" i="6"/>
  <c r="E334" i="6"/>
  <c r="A334" i="6"/>
  <c r="J333" i="6"/>
  <c r="F333" i="6"/>
  <c r="B333" i="6"/>
  <c r="K332" i="6"/>
  <c r="G332" i="6"/>
  <c r="C332" i="6"/>
  <c r="L331" i="6"/>
  <c r="H331" i="6"/>
  <c r="D331" i="6"/>
  <c r="M330" i="6"/>
  <c r="I330" i="6"/>
  <c r="E330" i="6"/>
  <c r="A330" i="6"/>
  <c r="J329" i="6"/>
  <c r="F329" i="6"/>
  <c r="B329" i="6"/>
  <c r="K328" i="6"/>
  <c r="G328" i="6"/>
  <c r="C328" i="6"/>
  <c r="L327" i="6"/>
  <c r="H327" i="6"/>
  <c r="D327" i="6"/>
  <c r="M326" i="6"/>
  <c r="I326" i="6"/>
  <c r="E326" i="6"/>
  <c r="A326" i="6"/>
  <c r="J325" i="6"/>
  <c r="F325" i="6"/>
  <c r="B325" i="6"/>
  <c r="K324" i="6"/>
  <c r="G324" i="6"/>
  <c r="C324" i="6"/>
  <c r="L323" i="6"/>
  <c r="H323" i="6"/>
  <c r="D323" i="6"/>
  <c r="M322" i="6"/>
  <c r="I322" i="6"/>
  <c r="E322" i="6"/>
  <c r="A322" i="6"/>
  <c r="J321" i="6"/>
  <c r="F321" i="6"/>
  <c r="B321" i="6"/>
  <c r="K320" i="6"/>
  <c r="G320" i="6"/>
  <c r="C320" i="6"/>
  <c r="L319" i="6"/>
  <c r="H319" i="6"/>
  <c r="D319" i="6"/>
  <c r="M318" i="6"/>
  <c r="I318" i="6"/>
  <c r="E318" i="6"/>
  <c r="A318" i="6"/>
  <c r="J317" i="6"/>
  <c r="F317" i="6"/>
  <c r="B317" i="6"/>
  <c r="K316" i="6"/>
  <c r="G316" i="6"/>
  <c r="C316" i="6"/>
  <c r="L315" i="6"/>
  <c r="H315" i="6"/>
  <c r="D315" i="6"/>
  <c r="M314" i="6"/>
  <c r="I314" i="6"/>
  <c r="E314" i="6"/>
  <c r="A314" i="6"/>
  <c r="J313" i="6"/>
  <c r="F313" i="6"/>
  <c r="B313" i="6"/>
  <c r="K312" i="6"/>
  <c r="G312" i="6"/>
  <c r="C312" i="6"/>
  <c r="L311" i="6"/>
  <c r="H311" i="6"/>
  <c r="D311" i="6"/>
  <c r="M310" i="6"/>
  <c r="I310" i="6"/>
  <c r="E310" i="6"/>
  <c r="A310" i="6"/>
  <c r="J309" i="6"/>
  <c r="F309" i="6"/>
  <c r="B309" i="6"/>
  <c r="K308" i="6"/>
  <c r="G308" i="6"/>
  <c r="C308" i="6"/>
  <c r="L307" i="6"/>
  <c r="H307" i="6"/>
  <c r="D307" i="6"/>
  <c r="M306" i="6"/>
  <c r="I306" i="6"/>
  <c r="E306" i="6"/>
  <c r="A306" i="6"/>
  <c r="J305" i="6"/>
  <c r="F305" i="6"/>
  <c r="B305" i="6"/>
  <c r="K304" i="6"/>
  <c r="G304" i="6"/>
  <c r="C304" i="6"/>
  <c r="L303" i="6"/>
  <c r="H303" i="6"/>
  <c r="D303" i="6"/>
  <c r="M302" i="6"/>
  <c r="I302" i="6"/>
  <c r="E302" i="6"/>
  <c r="A302" i="6"/>
  <c r="J301" i="6"/>
  <c r="F301" i="6"/>
  <c r="B301" i="6"/>
  <c r="K300" i="6"/>
  <c r="G300" i="6"/>
  <c r="C300" i="6"/>
  <c r="L299" i="6"/>
  <c r="H299" i="6"/>
  <c r="D299" i="6"/>
  <c r="M298" i="6"/>
  <c r="I298" i="6"/>
  <c r="E298" i="6"/>
  <c r="A298" i="6"/>
  <c r="J297" i="6"/>
  <c r="F297" i="6"/>
  <c r="B297" i="6"/>
  <c r="K296" i="6"/>
  <c r="G296" i="6"/>
  <c r="C296" i="6"/>
  <c r="L295" i="6"/>
  <c r="H295" i="6"/>
  <c r="D295" i="6"/>
  <c r="M294" i="6"/>
  <c r="I294" i="6"/>
  <c r="E294" i="6"/>
  <c r="A294" i="6"/>
  <c r="J293" i="6"/>
  <c r="F293" i="6"/>
  <c r="B293" i="6"/>
  <c r="K292" i="6"/>
  <c r="G292" i="6"/>
  <c r="C292" i="6"/>
  <c r="L291" i="6"/>
  <c r="H291" i="6"/>
  <c r="D291" i="6"/>
  <c r="M290" i="6"/>
  <c r="I290" i="6"/>
  <c r="E290" i="6"/>
  <c r="A290" i="6"/>
  <c r="J289" i="6"/>
  <c r="F289" i="6"/>
  <c r="B289" i="6"/>
  <c r="K288" i="6"/>
  <c r="G288" i="6"/>
  <c r="C288" i="6"/>
  <c r="L287" i="6"/>
  <c r="H287" i="6"/>
  <c r="D287" i="6"/>
  <c r="M286" i="6"/>
  <c r="I286" i="6"/>
  <c r="E286" i="6"/>
  <c r="A286" i="6"/>
  <c r="L442" i="6"/>
  <c r="H442" i="6"/>
  <c r="D442" i="6"/>
  <c r="M441" i="6"/>
  <c r="I441" i="6"/>
  <c r="E441" i="6"/>
  <c r="A441" i="6"/>
  <c r="J440" i="6"/>
  <c r="F440" i="6"/>
  <c r="B440" i="6"/>
  <c r="K439" i="6"/>
  <c r="G439" i="6"/>
  <c r="C439" i="6"/>
  <c r="L438" i="6"/>
  <c r="H438" i="6"/>
  <c r="D438" i="6"/>
  <c r="M437" i="6"/>
  <c r="I437" i="6"/>
  <c r="E437" i="6"/>
  <c r="A437" i="6"/>
  <c r="J436" i="6"/>
  <c r="F436" i="6"/>
  <c r="B436" i="6"/>
  <c r="K435" i="6"/>
  <c r="G435" i="6"/>
  <c r="C435" i="6"/>
  <c r="L434" i="6"/>
  <c r="H434" i="6"/>
  <c r="D434" i="6"/>
  <c r="M433" i="6"/>
  <c r="I433" i="6"/>
  <c r="E433" i="6"/>
  <c r="A433" i="6"/>
  <c r="J432" i="6"/>
  <c r="F432" i="6"/>
  <c r="B432" i="6"/>
  <c r="K431" i="6"/>
  <c r="G431" i="6"/>
  <c r="C431" i="6"/>
  <c r="L430" i="6"/>
  <c r="H430" i="6"/>
  <c r="D430" i="6"/>
  <c r="M429" i="6"/>
  <c r="I429" i="6"/>
  <c r="E429" i="6"/>
  <c r="A429" i="6"/>
  <c r="J428" i="6"/>
  <c r="F428" i="6"/>
  <c r="B428" i="6"/>
  <c r="K427" i="6"/>
  <c r="G427" i="6"/>
  <c r="C427" i="6"/>
  <c r="L426" i="6"/>
  <c r="H426" i="6"/>
  <c r="D426" i="6"/>
  <c r="M425" i="6"/>
  <c r="I425" i="6"/>
  <c r="E425" i="6"/>
  <c r="A425" i="6"/>
  <c r="J424" i="6"/>
  <c r="F424" i="6"/>
  <c r="B424" i="6"/>
  <c r="K423" i="6"/>
  <c r="G423" i="6"/>
  <c r="C423" i="6"/>
  <c r="L422" i="6"/>
  <c r="H422" i="6"/>
  <c r="D422" i="6"/>
  <c r="M421" i="6"/>
  <c r="I421" i="6"/>
  <c r="E421" i="6"/>
  <c r="A421" i="6"/>
  <c r="J420" i="6"/>
  <c r="F420" i="6"/>
  <c r="B420" i="6"/>
  <c r="K419" i="6"/>
  <c r="G419" i="6"/>
  <c r="C419" i="6"/>
  <c r="L418" i="6"/>
  <c r="H418" i="6"/>
  <c r="D418" i="6"/>
  <c r="M417" i="6"/>
  <c r="I417" i="6"/>
  <c r="E417" i="6"/>
  <c r="A417" i="6"/>
  <c r="J416" i="6"/>
  <c r="F416" i="6"/>
  <c r="B416" i="6"/>
  <c r="K415" i="6"/>
  <c r="G415" i="6"/>
  <c r="C415" i="6"/>
  <c r="L414" i="6"/>
  <c r="H414" i="6"/>
  <c r="D414" i="6"/>
  <c r="M413" i="6"/>
  <c r="I413" i="6"/>
  <c r="E413" i="6"/>
  <c r="A413" i="6"/>
  <c r="J412" i="6"/>
  <c r="F412" i="6"/>
  <c r="B412" i="6"/>
  <c r="K411" i="6"/>
  <c r="G411" i="6"/>
  <c r="C411" i="6"/>
  <c r="L410" i="6"/>
  <c r="H410" i="6"/>
  <c r="D410" i="6"/>
  <c r="M409" i="6"/>
  <c r="I409" i="6"/>
  <c r="E409" i="6"/>
  <c r="A409" i="6"/>
  <c r="J408" i="6"/>
  <c r="F408" i="6"/>
  <c r="B408" i="6"/>
  <c r="K407" i="6"/>
  <c r="G407" i="6"/>
  <c r="C407" i="6"/>
  <c r="L406" i="6"/>
  <c r="H406" i="6"/>
  <c r="D406" i="6"/>
  <c r="M405" i="6"/>
  <c r="I405" i="6"/>
  <c r="E405" i="6"/>
  <c r="A405" i="6"/>
  <c r="J404" i="6"/>
  <c r="F404" i="6"/>
  <c r="B404" i="6"/>
  <c r="K403" i="6"/>
  <c r="G403" i="6"/>
  <c r="C403" i="6"/>
  <c r="L402" i="6"/>
  <c r="H402" i="6"/>
  <c r="D402" i="6"/>
  <c r="M401" i="6"/>
  <c r="I401" i="6"/>
  <c r="E401" i="6"/>
  <c r="A401" i="6"/>
  <c r="J400" i="6"/>
  <c r="F400" i="6"/>
  <c r="B400" i="6"/>
  <c r="K399" i="6"/>
  <c r="G399" i="6"/>
  <c r="C399" i="6"/>
  <c r="L398" i="6"/>
  <c r="H398" i="6"/>
  <c r="D398" i="6"/>
  <c r="M397" i="6"/>
  <c r="I397" i="6"/>
  <c r="E397" i="6"/>
  <c r="A397" i="6"/>
  <c r="J396" i="6"/>
  <c r="F396" i="6"/>
  <c r="B396" i="6"/>
  <c r="K395" i="6"/>
  <c r="G395" i="6"/>
  <c r="C395" i="6"/>
  <c r="L394" i="6"/>
  <c r="H394" i="6"/>
  <c r="D394" i="6"/>
  <c r="M393" i="6"/>
  <c r="I393" i="6"/>
  <c r="E393" i="6"/>
  <c r="A393" i="6"/>
  <c r="J392" i="6"/>
  <c r="F392" i="6"/>
  <c r="B392" i="6"/>
  <c r="K391" i="6"/>
  <c r="G391" i="6"/>
  <c r="C391" i="6"/>
  <c r="L390" i="6"/>
  <c r="H390" i="6"/>
  <c r="D390" i="6"/>
  <c r="M389" i="6"/>
  <c r="I389" i="6"/>
  <c r="E389" i="6"/>
  <c r="A389" i="6"/>
  <c r="J388" i="6"/>
  <c r="F388" i="6"/>
  <c r="B388" i="6"/>
  <c r="K387" i="6"/>
  <c r="G387" i="6"/>
  <c r="C387" i="6"/>
  <c r="L386" i="6"/>
  <c r="H386" i="6"/>
  <c r="D386" i="6"/>
  <c r="M385" i="6"/>
  <c r="I385" i="6"/>
  <c r="E385" i="6"/>
  <c r="A385" i="6"/>
  <c r="J384" i="6"/>
  <c r="F384" i="6"/>
  <c r="B384" i="6"/>
  <c r="K383" i="6"/>
  <c r="G383" i="6"/>
  <c r="C383" i="6"/>
  <c r="L382" i="6"/>
  <c r="H382" i="6"/>
  <c r="D382" i="6"/>
  <c r="M381" i="6"/>
  <c r="I381" i="6"/>
  <c r="E381" i="6"/>
  <c r="A381" i="6"/>
  <c r="J380" i="6"/>
  <c r="F380" i="6"/>
  <c r="B380" i="6"/>
  <c r="K379" i="6"/>
  <c r="G379" i="6"/>
  <c r="C379" i="6"/>
  <c r="L378" i="6"/>
  <c r="H378" i="6"/>
  <c r="D378" i="6"/>
  <c r="M377" i="6"/>
  <c r="I377" i="6"/>
  <c r="E377" i="6"/>
  <c r="A377" i="6"/>
  <c r="J376" i="6"/>
  <c r="F376" i="6"/>
  <c r="B376" i="6"/>
  <c r="K375" i="6"/>
  <c r="G375" i="6"/>
  <c r="C375" i="6"/>
  <c r="L374" i="6"/>
  <c r="H374" i="6"/>
  <c r="D374" i="6"/>
  <c r="M373" i="6"/>
  <c r="I373" i="6"/>
  <c r="E373" i="6"/>
  <c r="A373" i="6"/>
  <c r="J372" i="6"/>
  <c r="F372" i="6"/>
  <c r="B372" i="6"/>
  <c r="K371" i="6"/>
  <c r="G371" i="6"/>
  <c r="C371" i="6"/>
  <c r="L370" i="6"/>
  <c r="H370" i="6"/>
  <c r="D370" i="6"/>
  <c r="M369" i="6"/>
  <c r="I369" i="6"/>
  <c r="E369" i="6"/>
  <c r="A369" i="6"/>
  <c r="J368" i="6"/>
  <c r="F368" i="6"/>
  <c r="B368" i="6"/>
  <c r="K367" i="6"/>
  <c r="G367" i="6"/>
  <c r="C367" i="6"/>
  <c r="L366" i="6"/>
  <c r="H366" i="6"/>
  <c r="D366" i="6"/>
  <c r="M365" i="6"/>
  <c r="I365" i="6"/>
  <c r="E365" i="6"/>
  <c r="A365" i="6"/>
  <c r="J364" i="6"/>
  <c r="F364" i="6"/>
  <c r="B364" i="6"/>
  <c r="K363" i="6"/>
  <c r="G363" i="6"/>
  <c r="C363" i="6"/>
  <c r="L362" i="6"/>
  <c r="H362" i="6"/>
  <c r="D362" i="6"/>
  <c r="M361" i="6"/>
  <c r="I361" i="6"/>
  <c r="E361" i="6"/>
  <c r="A361" i="6"/>
  <c r="J360" i="6"/>
  <c r="F360" i="6"/>
  <c r="B360" i="6"/>
  <c r="K359" i="6"/>
  <c r="G359" i="6"/>
  <c r="C359" i="6"/>
  <c r="L358" i="6"/>
  <c r="H358" i="6"/>
  <c r="D358" i="6"/>
  <c r="M357" i="6"/>
  <c r="I357" i="6"/>
  <c r="E357" i="6"/>
  <c r="A357" i="6"/>
  <c r="J356" i="6"/>
  <c r="F356" i="6"/>
  <c r="B356" i="6"/>
  <c r="K355" i="6"/>
  <c r="G355" i="6"/>
  <c r="C355" i="6"/>
  <c r="L354" i="6"/>
  <c r="H354" i="6"/>
  <c r="D354" i="6"/>
  <c r="M353" i="6"/>
  <c r="I353" i="6"/>
  <c r="E353" i="6"/>
  <c r="A353" i="6"/>
  <c r="J352" i="6"/>
  <c r="F352" i="6"/>
  <c r="B352" i="6"/>
  <c r="K351" i="6"/>
  <c r="G351" i="6"/>
  <c r="C351" i="6"/>
  <c r="L350" i="6"/>
  <c r="H350" i="6"/>
  <c r="D350" i="6"/>
  <c r="M349" i="6"/>
  <c r="I349" i="6"/>
  <c r="E349" i="6"/>
  <c r="A349" i="6"/>
  <c r="J348" i="6"/>
  <c r="F348" i="6"/>
  <c r="B348" i="6"/>
  <c r="K347" i="6"/>
  <c r="G347" i="6"/>
  <c r="C347" i="6"/>
  <c r="L346" i="6"/>
  <c r="H346" i="6"/>
  <c r="D346" i="6"/>
  <c r="M345" i="6"/>
  <c r="I345" i="6"/>
  <c r="E345" i="6"/>
  <c r="A345" i="6"/>
  <c r="J344" i="6"/>
  <c r="F344" i="6"/>
  <c r="B344" i="6"/>
  <c r="K343" i="6"/>
  <c r="G343" i="6"/>
  <c r="C343" i="6"/>
  <c r="L342" i="6"/>
  <c r="H342" i="6"/>
  <c r="D342" i="6"/>
  <c r="M341" i="6"/>
  <c r="I341" i="6"/>
  <c r="E341" i="6"/>
  <c r="A341" i="6"/>
  <c r="J340" i="6"/>
  <c r="F340" i="6"/>
  <c r="B340" i="6"/>
  <c r="K339" i="6"/>
  <c r="G339" i="6"/>
  <c r="C339" i="6"/>
  <c r="L338" i="6"/>
  <c r="H338" i="6"/>
  <c r="D338" i="6"/>
  <c r="M337" i="6"/>
  <c r="I337" i="6"/>
  <c r="E337" i="6"/>
  <c r="A337" i="6"/>
  <c r="J336" i="6"/>
  <c r="F336" i="6"/>
  <c r="B336" i="6"/>
  <c r="K335" i="6"/>
  <c r="G335" i="6"/>
  <c r="C335" i="6"/>
  <c r="L334" i="6"/>
  <c r="H334" i="6"/>
  <c r="D334" i="6"/>
  <c r="M333" i="6"/>
  <c r="I333" i="6"/>
  <c r="E333" i="6"/>
  <c r="A333" i="6"/>
  <c r="J332" i="6"/>
  <c r="F332" i="6"/>
  <c r="B332" i="6"/>
  <c r="K331" i="6"/>
  <c r="G331" i="6"/>
  <c r="C331" i="6"/>
  <c r="L330" i="6"/>
  <c r="H330" i="6"/>
  <c r="D330" i="6"/>
  <c r="M329" i="6"/>
  <c r="I329" i="6"/>
  <c r="E329" i="6"/>
  <c r="A329" i="6"/>
  <c r="J328" i="6"/>
  <c r="F328" i="6"/>
  <c r="B328" i="6"/>
  <c r="K327" i="6"/>
  <c r="G327" i="6"/>
  <c r="C327" i="6"/>
  <c r="L326" i="6"/>
  <c r="H326" i="6"/>
  <c r="D326" i="6"/>
  <c r="M325" i="6"/>
  <c r="I325" i="6"/>
  <c r="E325" i="6"/>
  <c r="A325" i="6"/>
  <c r="J324" i="6"/>
  <c r="F324" i="6"/>
  <c r="B324" i="6"/>
  <c r="K323" i="6"/>
  <c r="G323" i="6"/>
  <c r="C323" i="6"/>
  <c r="L322" i="6"/>
  <c r="H322" i="6"/>
  <c r="D322" i="6"/>
  <c r="M321" i="6"/>
  <c r="I321" i="6"/>
  <c r="E321" i="6"/>
  <c r="A321" i="6"/>
  <c r="J320" i="6"/>
  <c r="F320" i="6"/>
  <c r="B320" i="6"/>
  <c r="K319" i="6"/>
  <c r="G319" i="6"/>
  <c r="C319" i="6"/>
  <c r="L318" i="6"/>
  <c r="H318" i="6"/>
  <c r="D318" i="6"/>
  <c r="M317" i="6"/>
  <c r="I317" i="6"/>
  <c r="E317" i="6"/>
  <c r="A317" i="6"/>
  <c r="J316" i="6"/>
  <c r="F316" i="6"/>
  <c r="B316" i="6"/>
  <c r="K315" i="6"/>
  <c r="G315" i="6"/>
  <c r="C315" i="6"/>
  <c r="L314" i="6"/>
  <c r="H314" i="6"/>
  <c r="D314" i="6"/>
  <c r="M313" i="6"/>
  <c r="I313" i="6"/>
  <c r="E313" i="6"/>
  <c r="A313" i="6"/>
  <c r="J312" i="6"/>
  <c r="F312" i="6"/>
  <c r="B312" i="6"/>
  <c r="K311" i="6"/>
  <c r="G311" i="6"/>
  <c r="C311" i="6"/>
  <c r="L310" i="6"/>
  <c r="H310" i="6"/>
  <c r="D310" i="6"/>
  <c r="M309" i="6"/>
  <c r="I309" i="6"/>
  <c r="E309" i="6"/>
  <c r="A309" i="6"/>
  <c r="J308" i="6"/>
  <c r="F308" i="6"/>
  <c r="B308" i="6"/>
  <c r="K307" i="6"/>
  <c r="G307" i="6"/>
  <c r="C307" i="6"/>
  <c r="L306" i="6"/>
  <c r="H306" i="6"/>
  <c r="D306" i="6"/>
  <c r="M305" i="6"/>
  <c r="I305" i="6"/>
  <c r="E305" i="6"/>
  <c r="A305" i="6"/>
  <c r="J304" i="6"/>
  <c r="F304" i="6"/>
  <c r="B304" i="6"/>
  <c r="K303" i="6"/>
  <c r="G303" i="6"/>
  <c r="C303" i="6"/>
  <c r="L302" i="6"/>
  <c r="H302" i="6"/>
  <c r="D302" i="6"/>
  <c r="M301" i="6"/>
  <c r="I301" i="6"/>
  <c r="E301" i="6"/>
  <c r="A301" i="6"/>
  <c r="J300" i="6"/>
  <c r="F300" i="6"/>
  <c r="B300" i="6"/>
  <c r="K299" i="6"/>
  <c r="G299" i="6"/>
  <c r="C299" i="6"/>
  <c r="L298" i="6"/>
  <c r="H298" i="6"/>
  <c r="D298" i="6"/>
  <c r="M297" i="6"/>
  <c r="I297" i="6"/>
  <c r="E297" i="6"/>
  <c r="A297" i="6"/>
  <c r="J296" i="6"/>
  <c r="F296" i="6"/>
  <c r="B296" i="6"/>
  <c r="K295" i="6"/>
  <c r="G295" i="6"/>
  <c r="C295" i="6"/>
  <c r="L294" i="6"/>
  <c r="H294" i="6"/>
  <c r="D294" i="6"/>
  <c r="M293" i="6"/>
  <c r="I293" i="6"/>
  <c r="E293" i="6"/>
  <c r="A293" i="6"/>
  <c r="J292" i="6"/>
  <c r="F292" i="6"/>
  <c r="B292" i="6"/>
  <c r="K291" i="6"/>
  <c r="G291" i="6"/>
  <c r="C291" i="6"/>
  <c r="L290" i="6"/>
  <c r="H290" i="6"/>
  <c r="D290" i="6"/>
  <c r="M289" i="6"/>
  <c r="I289" i="6"/>
  <c r="E289" i="6"/>
  <c r="A289" i="6"/>
  <c r="J288" i="6"/>
  <c r="F288" i="6"/>
  <c r="B288" i="6"/>
  <c r="K287" i="6"/>
  <c r="G287" i="6"/>
  <c r="C287" i="6"/>
  <c r="L286" i="6"/>
  <c r="H286" i="6"/>
  <c r="D286" i="6"/>
  <c r="M285" i="6"/>
  <c r="K442" i="6"/>
  <c r="G442" i="6"/>
  <c r="C442" i="6"/>
  <c r="L441" i="6"/>
  <c r="H441" i="6"/>
  <c r="D441" i="6"/>
  <c r="M440" i="6"/>
  <c r="I440" i="6"/>
  <c r="E440" i="6"/>
  <c r="A440" i="6"/>
  <c r="J439" i="6"/>
  <c r="F439" i="6"/>
  <c r="B439" i="6"/>
  <c r="K438" i="6"/>
  <c r="G438" i="6"/>
  <c r="C438" i="6"/>
  <c r="L437" i="6"/>
  <c r="H437" i="6"/>
  <c r="D437" i="6"/>
  <c r="M436" i="6"/>
  <c r="I436" i="6"/>
  <c r="E436" i="6"/>
  <c r="A436" i="6"/>
  <c r="J435" i="6"/>
  <c r="F435" i="6"/>
  <c r="B435" i="6"/>
  <c r="K434" i="6"/>
  <c r="G434" i="6"/>
  <c r="C434" i="6"/>
  <c r="L433" i="6"/>
  <c r="H433" i="6"/>
  <c r="D433" i="6"/>
  <c r="M432" i="6"/>
  <c r="I432" i="6"/>
  <c r="E432" i="6"/>
  <c r="A432" i="6"/>
  <c r="J431" i="6"/>
  <c r="F431" i="6"/>
  <c r="B431" i="6"/>
  <c r="K430" i="6"/>
  <c r="G430" i="6"/>
  <c r="C430" i="6"/>
  <c r="L429" i="6"/>
  <c r="H429" i="6"/>
  <c r="D429" i="6"/>
  <c r="M428" i="6"/>
  <c r="I428" i="6"/>
  <c r="E428" i="6"/>
  <c r="A428" i="6"/>
  <c r="J427" i="6"/>
  <c r="F427" i="6"/>
  <c r="B427" i="6"/>
  <c r="K426" i="6"/>
  <c r="G426" i="6"/>
  <c r="C426" i="6"/>
  <c r="L425" i="6"/>
  <c r="H425" i="6"/>
  <c r="D425" i="6"/>
  <c r="M424" i="6"/>
  <c r="I424" i="6"/>
  <c r="E424" i="6"/>
  <c r="A424" i="6"/>
  <c r="J423" i="6"/>
  <c r="F423" i="6"/>
  <c r="B423" i="6"/>
  <c r="K422" i="6"/>
  <c r="G422" i="6"/>
  <c r="C422" i="6"/>
  <c r="L421" i="6"/>
  <c r="H421" i="6"/>
  <c r="D421" i="6"/>
  <c r="M420" i="6"/>
  <c r="I420" i="6"/>
  <c r="E420" i="6"/>
  <c r="A420" i="6"/>
  <c r="J419" i="6"/>
  <c r="F419" i="6"/>
  <c r="B419" i="6"/>
  <c r="K418" i="6"/>
  <c r="G418" i="6"/>
  <c r="C418" i="6"/>
  <c r="L417" i="6"/>
  <c r="H417" i="6"/>
  <c r="D417" i="6"/>
  <c r="M416" i="6"/>
  <c r="I416" i="6"/>
  <c r="E416" i="6"/>
  <c r="A416" i="6"/>
  <c r="J415" i="6"/>
  <c r="F415" i="6"/>
  <c r="B415" i="6"/>
  <c r="K414" i="6"/>
  <c r="G414" i="6"/>
  <c r="C414" i="6"/>
  <c r="L413" i="6"/>
  <c r="H413" i="6"/>
  <c r="D413" i="6"/>
  <c r="M412" i="6"/>
  <c r="I412" i="6"/>
  <c r="E412" i="6"/>
  <c r="A412" i="6"/>
  <c r="J411" i="6"/>
  <c r="F411" i="6"/>
  <c r="B411" i="6"/>
  <c r="K410" i="6"/>
  <c r="G410" i="6"/>
  <c r="C410" i="6"/>
  <c r="L409" i="6"/>
  <c r="H409" i="6"/>
  <c r="D409" i="6"/>
  <c r="M408" i="6"/>
  <c r="I408" i="6"/>
  <c r="E408" i="6"/>
  <c r="A408" i="6"/>
  <c r="J407" i="6"/>
  <c r="F407" i="6"/>
  <c r="B407" i="6"/>
  <c r="K406" i="6"/>
  <c r="G406" i="6"/>
  <c r="C406" i="6"/>
  <c r="L405" i="6"/>
  <c r="H405" i="6"/>
  <c r="D405" i="6"/>
  <c r="M404" i="6"/>
  <c r="I404" i="6"/>
  <c r="E404" i="6"/>
  <c r="A404" i="6"/>
  <c r="J403" i="6"/>
  <c r="F403" i="6"/>
  <c r="B403" i="6"/>
  <c r="K402" i="6"/>
  <c r="G402" i="6"/>
  <c r="C402" i="6"/>
  <c r="L401" i="6"/>
  <c r="H401" i="6"/>
  <c r="D401" i="6"/>
  <c r="M400" i="6"/>
  <c r="I400" i="6"/>
  <c r="E400" i="6"/>
  <c r="A400" i="6"/>
  <c r="J399" i="6"/>
  <c r="F399" i="6"/>
  <c r="B399" i="6"/>
  <c r="K398" i="6"/>
  <c r="G398" i="6"/>
  <c r="C398" i="6"/>
  <c r="L397" i="6"/>
  <c r="H397" i="6"/>
  <c r="D397" i="6"/>
  <c r="M396" i="6"/>
  <c r="I396" i="6"/>
  <c r="E396" i="6"/>
  <c r="A396" i="6"/>
  <c r="J395" i="6"/>
  <c r="F395" i="6"/>
  <c r="B395" i="6"/>
  <c r="K394" i="6"/>
  <c r="G394" i="6"/>
  <c r="C394" i="6"/>
  <c r="L393" i="6"/>
  <c r="H393" i="6"/>
  <c r="D393" i="6"/>
  <c r="M392" i="6"/>
  <c r="I392" i="6"/>
  <c r="E392" i="6"/>
  <c r="A392" i="6"/>
  <c r="J391" i="6"/>
  <c r="F391" i="6"/>
  <c r="B391" i="6"/>
  <c r="K390" i="6"/>
  <c r="G390" i="6"/>
  <c r="C390" i="6"/>
  <c r="L389" i="6"/>
  <c r="H389" i="6"/>
  <c r="D389" i="6"/>
  <c r="M388" i="6"/>
  <c r="I388" i="6"/>
  <c r="E388" i="6"/>
  <c r="A388" i="6"/>
  <c r="J387" i="6"/>
  <c r="F387" i="6"/>
  <c r="B387" i="6"/>
  <c r="K386" i="6"/>
  <c r="G386" i="6"/>
  <c r="C386" i="6"/>
  <c r="L385" i="6"/>
  <c r="H385" i="6"/>
  <c r="D385" i="6"/>
  <c r="M384" i="6"/>
  <c r="I384" i="6"/>
  <c r="E384" i="6"/>
  <c r="A384" i="6"/>
  <c r="J383" i="6"/>
  <c r="F383" i="6"/>
  <c r="B383" i="6"/>
  <c r="K382" i="6"/>
  <c r="G382" i="6"/>
  <c r="C382" i="6"/>
  <c r="L381" i="6"/>
  <c r="H381" i="6"/>
  <c r="D381" i="6"/>
  <c r="M380" i="6"/>
  <c r="I380" i="6"/>
  <c r="E380" i="6"/>
  <c r="A380" i="6"/>
  <c r="J379" i="6"/>
  <c r="F379" i="6"/>
  <c r="B379" i="6"/>
  <c r="K378" i="6"/>
  <c r="G378" i="6"/>
  <c r="C378" i="6"/>
  <c r="L377" i="6"/>
  <c r="H377" i="6"/>
  <c r="D377" i="6"/>
  <c r="M376" i="6"/>
  <c r="I376" i="6"/>
  <c r="E376" i="6"/>
  <c r="A376" i="6"/>
  <c r="J375" i="6"/>
  <c r="F375" i="6"/>
  <c r="B375" i="6"/>
  <c r="K374" i="6"/>
  <c r="G374" i="6"/>
  <c r="C374" i="6"/>
  <c r="L373" i="6"/>
  <c r="H373" i="6"/>
  <c r="D373" i="6"/>
  <c r="M372" i="6"/>
  <c r="I372" i="6"/>
  <c r="E372" i="6"/>
  <c r="A372" i="6"/>
  <c r="J371" i="6"/>
  <c r="F371" i="6"/>
  <c r="B371" i="6"/>
  <c r="K370" i="6"/>
  <c r="G370" i="6"/>
  <c r="C370" i="6"/>
  <c r="L369" i="6"/>
  <c r="H369" i="6"/>
  <c r="D369" i="6"/>
  <c r="M368" i="6"/>
  <c r="I368" i="6"/>
  <c r="E368" i="6"/>
  <c r="A368" i="6"/>
  <c r="J367" i="6"/>
  <c r="F367" i="6"/>
  <c r="B367" i="6"/>
  <c r="K366" i="6"/>
  <c r="G366" i="6"/>
  <c r="C366" i="6"/>
  <c r="L365" i="6"/>
  <c r="H365" i="6"/>
  <c r="D365" i="6"/>
  <c r="M364" i="6"/>
  <c r="I364" i="6"/>
  <c r="E364" i="6"/>
  <c r="A364" i="6"/>
  <c r="J363" i="6"/>
  <c r="F363" i="6"/>
  <c r="B363" i="6"/>
  <c r="K362" i="6"/>
  <c r="G362" i="6"/>
  <c r="C362" i="6"/>
  <c r="L361" i="6"/>
  <c r="H361" i="6"/>
  <c r="D361" i="6"/>
  <c r="M360" i="6"/>
  <c r="I360" i="6"/>
  <c r="E360" i="6"/>
  <c r="A360" i="6"/>
  <c r="J359" i="6"/>
  <c r="F359" i="6"/>
  <c r="B359" i="6"/>
  <c r="K358" i="6"/>
  <c r="G358" i="6"/>
  <c r="C358" i="6"/>
  <c r="L357" i="6"/>
  <c r="H357" i="6"/>
  <c r="D357" i="6"/>
  <c r="M356" i="6"/>
  <c r="I356" i="6"/>
  <c r="E356" i="6"/>
  <c r="A356" i="6"/>
  <c r="J355" i="6"/>
  <c r="F355" i="6"/>
  <c r="B355" i="6"/>
  <c r="K354" i="6"/>
  <c r="G354" i="6"/>
  <c r="C354" i="6"/>
  <c r="L353" i="6"/>
  <c r="H353" i="6"/>
  <c r="D353" i="6"/>
  <c r="M352" i="6"/>
  <c r="I352" i="6"/>
  <c r="E352" i="6"/>
  <c r="A352" i="6"/>
  <c r="J351" i="6"/>
  <c r="F351" i="6"/>
  <c r="B351" i="6"/>
  <c r="K350" i="6"/>
  <c r="G350" i="6"/>
  <c r="C350" i="6"/>
  <c r="L349" i="6"/>
  <c r="H349" i="6"/>
  <c r="D349" i="6"/>
  <c r="M348" i="6"/>
  <c r="I348" i="6"/>
  <c r="E348" i="6"/>
  <c r="A348" i="6"/>
  <c r="J347" i="6"/>
  <c r="F347" i="6"/>
  <c r="B347" i="6"/>
  <c r="K346" i="6"/>
  <c r="G346" i="6"/>
  <c r="C346" i="6"/>
  <c r="L345" i="6"/>
  <c r="H345" i="6"/>
  <c r="D345" i="6"/>
  <c r="M344" i="6"/>
  <c r="I344" i="6"/>
  <c r="E344" i="6"/>
  <c r="A344" i="6"/>
  <c r="J343" i="6"/>
  <c r="F343" i="6"/>
  <c r="B343" i="6"/>
  <c r="K342" i="6"/>
  <c r="G342" i="6"/>
  <c r="C342" i="6"/>
  <c r="L341" i="6"/>
  <c r="H341" i="6"/>
  <c r="D341" i="6"/>
  <c r="M340" i="6"/>
  <c r="I340" i="6"/>
  <c r="E340" i="6"/>
  <c r="A340" i="6"/>
  <c r="J339" i="6"/>
  <c r="F339" i="6"/>
  <c r="B339" i="6"/>
  <c r="K338" i="6"/>
  <c r="G338" i="6"/>
  <c r="C338" i="6"/>
  <c r="L337" i="6"/>
  <c r="H337" i="6"/>
  <c r="D337" i="6"/>
  <c r="M336" i="6"/>
  <c r="I336" i="6"/>
  <c r="E336" i="6"/>
  <c r="A336" i="6"/>
  <c r="J335" i="6"/>
  <c r="F335" i="6"/>
  <c r="B335" i="6"/>
  <c r="K334" i="6"/>
  <c r="G334" i="6"/>
  <c r="C334" i="6"/>
  <c r="L333" i="6"/>
  <c r="H333" i="6"/>
  <c r="D333" i="6"/>
  <c r="M332" i="6"/>
  <c r="I332" i="6"/>
  <c r="E332" i="6"/>
  <c r="A332" i="6"/>
  <c r="J331" i="6"/>
  <c r="F331" i="6"/>
  <c r="B331" i="6"/>
  <c r="K330" i="6"/>
  <c r="G330" i="6"/>
  <c r="C330" i="6"/>
  <c r="L329" i="6"/>
  <c r="H329" i="6"/>
  <c r="D329" i="6"/>
  <c r="M328" i="6"/>
  <c r="I328" i="6"/>
  <c r="E328" i="6"/>
  <c r="A328" i="6"/>
  <c r="J327" i="6"/>
  <c r="F327" i="6"/>
  <c r="B327" i="6"/>
  <c r="K326" i="6"/>
  <c r="G326" i="6"/>
  <c r="C326" i="6"/>
  <c r="L325" i="6"/>
  <c r="H325" i="6"/>
  <c r="D325" i="6"/>
  <c r="M324" i="6"/>
  <c r="I324" i="6"/>
  <c r="E324" i="6"/>
  <c r="A324" i="6"/>
  <c r="J323" i="6"/>
  <c r="F323" i="6"/>
  <c r="B323" i="6"/>
  <c r="K322" i="6"/>
  <c r="G322" i="6"/>
  <c r="C322" i="6"/>
  <c r="L321" i="6"/>
  <c r="H321" i="6"/>
  <c r="D321" i="6"/>
  <c r="M320" i="6"/>
  <c r="I320" i="6"/>
  <c r="E320" i="6"/>
  <c r="A320" i="6"/>
  <c r="J319" i="6"/>
  <c r="F319" i="6"/>
  <c r="B319" i="6"/>
  <c r="K318" i="6"/>
  <c r="G318" i="6"/>
  <c r="C318" i="6"/>
  <c r="L317" i="6"/>
  <c r="H317" i="6"/>
  <c r="D317" i="6"/>
  <c r="M316" i="6"/>
  <c r="I316" i="6"/>
  <c r="E316" i="6"/>
  <c r="A316" i="6"/>
  <c r="J315" i="6"/>
  <c r="F315" i="6"/>
  <c r="B315" i="6"/>
  <c r="K314" i="6"/>
  <c r="G314" i="6"/>
  <c r="C314" i="6"/>
  <c r="L313" i="6"/>
  <c r="H313" i="6"/>
  <c r="D313" i="6"/>
  <c r="M312" i="6"/>
  <c r="I312" i="6"/>
  <c r="E312" i="6"/>
  <c r="A312" i="6"/>
  <c r="J311" i="6"/>
  <c r="F311" i="6"/>
  <c r="B311" i="6"/>
  <c r="K310" i="6"/>
  <c r="G310" i="6"/>
  <c r="C310" i="6"/>
  <c r="L309" i="6"/>
  <c r="H309" i="6"/>
  <c r="D309" i="6"/>
  <c r="M308" i="6"/>
  <c r="I308" i="6"/>
  <c r="E308" i="6"/>
  <c r="A308" i="6"/>
  <c r="J307" i="6"/>
  <c r="F307" i="6"/>
  <c r="B307" i="6"/>
  <c r="K306" i="6"/>
  <c r="G306" i="6"/>
  <c r="C306" i="6"/>
  <c r="L305" i="6"/>
  <c r="H305" i="6"/>
  <c r="D305" i="6"/>
  <c r="M304" i="6"/>
  <c r="I304" i="6"/>
  <c r="E304" i="6"/>
  <c r="A304" i="6"/>
  <c r="J303" i="6"/>
  <c r="F303" i="6"/>
  <c r="B303" i="6"/>
  <c r="K302" i="6"/>
  <c r="G302" i="6"/>
  <c r="C302" i="6"/>
  <c r="L301" i="6"/>
  <c r="H301" i="6"/>
  <c r="D301" i="6"/>
  <c r="M300" i="6"/>
  <c r="I300" i="6"/>
  <c r="E300" i="6"/>
  <c r="A300" i="6"/>
  <c r="J299" i="6"/>
  <c r="F299" i="6"/>
  <c r="B299" i="6"/>
  <c r="K298" i="6"/>
  <c r="G298" i="6"/>
  <c r="C298" i="6"/>
  <c r="L297" i="6"/>
  <c r="H297" i="6"/>
  <c r="D297" i="6"/>
  <c r="M296" i="6"/>
  <c r="I296" i="6"/>
  <c r="E296" i="6"/>
  <c r="A296" i="6"/>
  <c r="J295" i="6"/>
  <c r="F295" i="6"/>
  <c r="B295" i="6"/>
  <c r="K294" i="6"/>
  <c r="G294" i="6"/>
  <c r="C294" i="6"/>
  <c r="L293" i="6"/>
  <c r="H293" i="6"/>
  <c r="D293" i="6"/>
  <c r="M292" i="6"/>
  <c r="I292" i="6"/>
  <c r="E292" i="6"/>
  <c r="A292" i="6"/>
  <c r="J291" i="6"/>
  <c r="F291" i="6"/>
  <c r="B291" i="6"/>
  <c r="K290" i="6"/>
  <c r="G290" i="6"/>
  <c r="C290" i="6"/>
  <c r="L289" i="6"/>
  <c r="H289" i="6"/>
  <c r="D289" i="6"/>
  <c r="M288" i="6"/>
  <c r="I288" i="6"/>
  <c r="E288" i="6"/>
  <c r="A288" i="6"/>
  <c r="J287" i="6"/>
  <c r="F287" i="6"/>
  <c r="B287" i="6"/>
  <c r="K286" i="6"/>
  <c r="G286" i="6"/>
  <c r="J442" i="6"/>
  <c r="F442" i="6"/>
  <c r="B442" i="6"/>
  <c r="K441" i="6"/>
  <c r="G441" i="6"/>
  <c r="C441" i="6"/>
  <c r="L440" i="6"/>
  <c r="H440" i="6"/>
  <c r="D440" i="6"/>
  <c r="M439" i="6"/>
  <c r="I439" i="6"/>
  <c r="E439" i="6"/>
  <c r="A439" i="6"/>
  <c r="J438" i="6"/>
  <c r="F438" i="6"/>
  <c r="B438" i="6"/>
  <c r="K437" i="6"/>
  <c r="G437" i="6"/>
  <c r="C437" i="6"/>
  <c r="L436" i="6"/>
  <c r="H436" i="6"/>
  <c r="D436" i="6"/>
  <c r="M435" i="6"/>
  <c r="I435" i="6"/>
  <c r="E435" i="6"/>
  <c r="A435" i="6"/>
  <c r="J434" i="6"/>
  <c r="F434" i="6"/>
  <c r="B434" i="6"/>
  <c r="K433" i="6"/>
  <c r="G433" i="6"/>
  <c r="C433" i="6"/>
  <c r="L432" i="6"/>
  <c r="H432" i="6"/>
  <c r="D432" i="6"/>
  <c r="M431" i="6"/>
  <c r="I431" i="6"/>
  <c r="E431" i="6"/>
  <c r="A431" i="6"/>
  <c r="J430" i="6"/>
  <c r="F430" i="6"/>
  <c r="B430" i="6"/>
  <c r="K429" i="6"/>
  <c r="G429" i="6"/>
  <c r="C429" i="6"/>
  <c r="L428" i="6"/>
  <c r="H428" i="6"/>
  <c r="D428" i="6"/>
  <c r="M427" i="6"/>
  <c r="I427" i="6"/>
  <c r="E427" i="6"/>
  <c r="A427" i="6"/>
  <c r="J426" i="6"/>
  <c r="F426" i="6"/>
  <c r="B426" i="6"/>
  <c r="K425" i="6"/>
  <c r="G425" i="6"/>
  <c r="C425" i="6"/>
  <c r="L424" i="6"/>
  <c r="H424" i="6"/>
  <c r="D424" i="6"/>
  <c r="M423" i="6"/>
  <c r="I423" i="6"/>
  <c r="E423" i="6"/>
  <c r="A423" i="6"/>
  <c r="J422" i="6"/>
  <c r="F422" i="6"/>
  <c r="B422" i="6"/>
  <c r="K421" i="6"/>
  <c r="G421" i="6"/>
  <c r="C421" i="6"/>
  <c r="L420" i="6"/>
  <c r="H420" i="6"/>
  <c r="D420" i="6"/>
  <c r="M419" i="6"/>
  <c r="I419" i="6"/>
  <c r="E419" i="6"/>
  <c r="A419" i="6"/>
  <c r="J418" i="6"/>
  <c r="F418" i="6"/>
  <c r="B418" i="6"/>
  <c r="K417" i="6"/>
  <c r="G417" i="6"/>
  <c r="C417" i="6"/>
  <c r="L416" i="6"/>
  <c r="H416" i="6"/>
  <c r="D416" i="6"/>
  <c r="M415" i="6"/>
  <c r="I415" i="6"/>
  <c r="E415" i="6"/>
  <c r="A415" i="6"/>
  <c r="J414" i="6"/>
  <c r="F414" i="6"/>
  <c r="B414" i="6"/>
  <c r="K413" i="6"/>
  <c r="G413" i="6"/>
  <c r="C413" i="6"/>
  <c r="L412" i="6"/>
  <c r="H412" i="6"/>
  <c r="D412" i="6"/>
  <c r="M411" i="6"/>
  <c r="I411" i="6"/>
  <c r="E411" i="6"/>
  <c r="A411" i="6"/>
  <c r="J410" i="6"/>
  <c r="F410" i="6"/>
  <c r="B410" i="6"/>
  <c r="K409" i="6"/>
  <c r="G409" i="6"/>
  <c r="C409" i="6"/>
  <c r="L408" i="6"/>
  <c r="H408" i="6"/>
  <c r="D408" i="6"/>
  <c r="M407" i="6"/>
  <c r="I407" i="6"/>
  <c r="E407" i="6"/>
  <c r="A407" i="6"/>
  <c r="J406" i="6"/>
  <c r="F406" i="6"/>
  <c r="B406" i="6"/>
  <c r="K405" i="6"/>
  <c r="G405" i="6"/>
  <c r="C405" i="6"/>
  <c r="L404" i="6"/>
  <c r="H404" i="6"/>
  <c r="D404" i="6"/>
  <c r="M403" i="6"/>
  <c r="I403" i="6"/>
  <c r="E403" i="6"/>
  <c r="A403" i="6"/>
  <c r="J402" i="6"/>
  <c r="F402" i="6"/>
  <c r="B402" i="6"/>
  <c r="K401" i="6"/>
  <c r="G401" i="6"/>
  <c r="C401" i="6"/>
  <c r="L400" i="6"/>
  <c r="H400" i="6"/>
  <c r="D400" i="6"/>
  <c r="M399" i="6"/>
  <c r="I399" i="6"/>
  <c r="E399" i="6"/>
  <c r="A399" i="6"/>
  <c r="J398" i="6"/>
  <c r="F398" i="6"/>
  <c r="B398" i="6"/>
  <c r="K397" i="6"/>
  <c r="G397" i="6"/>
  <c r="C397" i="6"/>
  <c r="L396" i="6"/>
  <c r="H396" i="6"/>
  <c r="D396" i="6"/>
  <c r="M395" i="6"/>
  <c r="I395" i="6"/>
  <c r="E395" i="6"/>
  <c r="A395" i="6"/>
  <c r="J394" i="6"/>
  <c r="F394" i="6"/>
  <c r="B394" i="6"/>
  <c r="K393" i="6"/>
  <c r="G393" i="6"/>
  <c r="C393" i="6"/>
  <c r="L392" i="6"/>
  <c r="H392" i="6"/>
  <c r="D392" i="6"/>
  <c r="M391" i="6"/>
  <c r="I391" i="6"/>
  <c r="E391" i="6"/>
  <c r="A391" i="6"/>
  <c r="J390" i="6"/>
  <c r="F390" i="6"/>
  <c r="B390" i="6"/>
  <c r="K389" i="6"/>
  <c r="G389" i="6"/>
  <c r="C389" i="6"/>
  <c r="L388" i="6"/>
  <c r="H388" i="6"/>
  <c r="D388" i="6"/>
  <c r="M387" i="6"/>
  <c r="I387" i="6"/>
  <c r="E387" i="6"/>
  <c r="A387" i="6"/>
  <c r="J386" i="6"/>
  <c r="F386" i="6"/>
  <c r="B386" i="6"/>
  <c r="K385" i="6"/>
  <c r="G385" i="6"/>
  <c r="C385" i="6"/>
  <c r="L384" i="6"/>
  <c r="H384" i="6"/>
  <c r="D384" i="6"/>
  <c r="M383" i="6"/>
  <c r="I383" i="6"/>
  <c r="E383" i="6"/>
  <c r="A383" i="6"/>
  <c r="J382" i="6"/>
  <c r="F382" i="6"/>
  <c r="B382" i="6"/>
  <c r="K381" i="6"/>
  <c r="G381" i="6"/>
  <c r="C381" i="6"/>
  <c r="L380" i="6"/>
  <c r="H380" i="6"/>
  <c r="D380" i="6"/>
  <c r="M379" i="6"/>
  <c r="I379" i="6"/>
  <c r="E379" i="6"/>
  <c r="A379" i="6"/>
  <c r="J378" i="6"/>
  <c r="F378" i="6"/>
  <c r="B378" i="6"/>
  <c r="K377" i="6"/>
  <c r="G377" i="6"/>
  <c r="C377" i="6"/>
  <c r="L376" i="6"/>
  <c r="H376" i="6"/>
  <c r="D376" i="6"/>
  <c r="M375" i="6"/>
  <c r="I375" i="6"/>
  <c r="E375" i="6"/>
  <c r="A375" i="6"/>
  <c r="J374" i="6"/>
  <c r="F374" i="6"/>
  <c r="B374" i="6"/>
  <c r="K373" i="6"/>
  <c r="G373" i="6"/>
  <c r="C373" i="6"/>
  <c r="L372" i="6"/>
  <c r="H372" i="6"/>
  <c r="D372" i="6"/>
  <c r="M371" i="6"/>
  <c r="I371" i="6"/>
  <c r="E371" i="6"/>
  <c r="A371" i="6"/>
  <c r="J370" i="6"/>
  <c r="F370" i="6"/>
  <c r="B370" i="6"/>
  <c r="K369" i="6"/>
  <c r="G369" i="6"/>
  <c r="C369" i="6"/>
  <c r="L368" i="6"/>
  <c r="H368" i="6"/>
  <c r="D368" i="6"/>
  <c r="M367" i="6"/>
  <c r="I367" i="6"/>
  <c r="E367" i="6"/>
  <c r="A367" i="6"/>
  <c r="J366" i="6"/>
  <c r="F366" i="6"/>
  <c r="B366" i="6"/>
  <c r="K365" i="6"/>
  <c r="G365" i="6"/>
  <c r="C365" i="6"/>
  <c r="L364" i="6"/>
  <c r="H364" i="6"/>
  <c r="D364" i="6"/>
  <c r="M363" i="6"/>
  <c r="I363" i="6"/>
  <c r="E363" i="6"/>
  <c r="A363" i="6"/>
  <c r="J362" i="6"/>
  <c r="F362" i="6"/>
  <c r="B362" i="6"/>
  <c r="K361" i="6"/>
  <c r="G361" i="6"/>
  <c r="C361" i="6"/>
  <c r="L360" i="6"/>
  <c r="H360" i="6"/>
  <c r="D360" i="6"/>
  <c r="M359" i="6"/>
  <c r="I359" i="6"/>
  <c r="E359" i="6"/>
  <c r="A359" i="6"/>
  <c r="J358" i="6"/>
  <c r="F358" i="6"/>
  <c r="B358" i="6"/>
  <c r="K357" i="6"/>
  <c r="G357" i="6"/>
  <c r="C357" i="6"/>
  <c r="L356" i="6"/>
  <c r="H356" i="6"/>
  <c r="D356" i="6"/>
  <c r="M355" i="6"/>
  <c r="I355" i="6"/>
  <c r="E355" i="6"/>
  <c r="A355" i="6"/>
  <c r="J354" i="6"/>
  <c r="F354" i="6"/>
  <c r="B354" i="6"/>
  <c r="K353" i="6"/>
  <c r="G353" i="6"/>
  <c r="C353" i="6"/>
  <c r="L352" i="6"/>
  <c r="H352" i="6"/>
  <c r="D352" i="6"/>
  <c r="M351" i="6"/>
  <c r="I351" i="6"/>
  <c r="E351" i="6"/>
  <c r="A351" i="6"/>
  <c r="J350" i="6"/>
  <c r="F350" i="6"/>
  <c r="B350" i="6"/>
  <c r="K349" i="6"/>
  <c r="G349" i="6"/>
  <c r="C349" i="6"/>
  <c r="L348" i="6"/>
  <c r="H348" i="6"/>
  <c r="D348" i="6"/>
  <c r="M347" i="6"/>
  <c r="I347" i="6"/>
  <c r="E347" i="6"/>
  <c r="A347" i="6"/>
  <c r="J346" i="6"/>
  <c r="F346" i="6"/>
  <c r="B346" i="6"/>
  <c r="K345" i="6"/>
  <c r="G345" i="6"/>
  <c r="C345" i="6"/>
  <c r="L344" i="6"/>
  <c r="H344" i="6"/>
  <c r="D344" i="6"/>
  <c r="M343" i="6"/>
  <c r="I343" i="6"/>
  <c r="E343" i="6"/>
  <c r="A343" i="6"/>
  <c r="J342" i="6"/>
  <c r="F342" i="6"/>
  <c r="B342" i="6"/>
  <c r="K341" i="6"/>
  <c r="G341" i="6"/>
  <c r="C341" i="6"/>
  <c r="L340" i="6"/>
  <c r="H340" i="6"/>
  <c r="D340" i="6"/>
  <c r="M339" i="6"/>
  <c r="I339" i="6"/>
  <c r="E339" i="6"/>
  <c r="A339" i="6"/>
  <c r="J338" i="6"/>
  <c r="F338" i="6"/>
  <c r="B338" i="6"/>
  <c r="K337" i="6"/>
  <c r="G337" i="6"/>
  <c r="C337" i="6"/>
  <c r="L336" i="6"/>
  <c r="H336" i="6"/>
  <c r="D336" i="6"/>
  <c r="M335" i="6"/>
  <c r="I335" i="6"/>
  <c r="E335" i="6"/>
  <c r="A335" i="6"/>
  <c r="J334" i="6"/>
  <c r="F334" i="6"/>
  <c r="B334" i="6"/>
  <c r="K333" i="6"/>
  <c r="G333" i="6"/>
  <c r="C333" i="6"/>
  <c r="L332" i="6"/>
  <c r="H332" i="6"/>
  <c r="D332" i="6"/>
  <c r="M331" i="6"/>
  <c r="I331" i="6"/>
  <c r="E331" i="6"/>
  <c r="A331" i="6"/>
  <c r="J330" i="6"/>
  <c r="F330" i="6"/>
  <c r="B330" i="6"/>
  <c r="K329" i="6"/>
  <c r="G329" i="6"/>
  <c r="C329" i="6"/>
  <c r="L328" i="6"/>
  <c r="H328" i="6"/>
  <c r="D328" i="6"/>
  <c r="M327" i="6"/>
  <c r="I327" i="6"/>
  <c r="E327" i="6"/>
  <c r="A327" i="6"/>
  <c r="J326" i="6"/>
  <c r="F326" i="6"/>
  <c r="B326" i="6"/>
  <c r="K325" i="6"/>
  <c r="G325" i="6"/>
  <c r="C325" i="6"/>
  <c r="L324" i="6"/>
  <c r="H324" i="6"/>
  <c r="D324" i="6"/>
  <c r="M323" i="6"/>
  <c r="I323" i="6"/>
  <c r="E323" i="6"/>
  <c r="A323" i="6"/>
  <c r="J322" i="6"/>
  <c r="F322" i="6"/>
  <c r="B322" i="6"/>
  <c r="K321" i="6"/>
  <c r="G321" i="6"/>
  <c r="C321" i="6"/>
  <c r="L320" i="6"/>
  <c r="H320" i="6"/>
  <c r="D320" i="6"/>
  <c r="M319" i="6"/>
  <c r="I319" i="6"/>
  <c r="E319" i="6"/>
  <c r="A319" i="6"/>
  <c r="J318" i="6"/>
  <c r="F318" i="6"/>
  <c r="B318" i="6"/>
  <c r="K317" i="6"/>
  <c r="G317" i="6"/>
  <c r="C317" i="6"/>
  <c r="L316" i="6"/>
  <c r="H316" i="6"/>
  <c r="D316" i="6"/>
  <c r="M315" i="6"/>
  <c r="I315" i="6"/>
  <c r="E315" i="6"/>
  <c r="A315" i="6"/>
  <c r="J314" i="6"/>
  <c r="F314" i="6"/>
  <c r="B314" i="6"/>
  <c r="K313" i="6"/>
  <c r="G313" i="6"/>
  <c r="C313" i="6"/>
  <c r="L312" i="6"/>
  <c r="H312" i="6"/>
  <c r="D312" i="6"/>
  <c r="M311" i="6"/>
  <c r="I311" i="6"/>
  <c r="E311" i="6"/>
  <c r="A311" i="6"/>
  <c r="J310" i="6"/>
  <c r="F310" i="6"/>
  <c r="B310" i="6"/>
  <c r="K309" i="6"/>
  <c r="G309" i="6"/>
  <c r="C309" i="6"/>
  <c r="L308" i="6"/>
  <c r="H308" i="6"/>
  <c r="D308" i="6"/>
  <c r="M307" i="6"/>
  <c r="I307" i="6"/>
  <c r="E307" i="6"/>
  <c r="A307" i="6"/>
  <c r="J306" i="6"/>
  <c r="F306" i="6"/>
  <c r="B306" i="6"/>
  <c r="K305" i="6"/>
  <c r="G305" i="6"/>
  <c r="C305" i="6"/>
  <c r="L304" i="6"/>
  <c r="H304" i="6"/>
  <c r="D304" i="6"/>
  <c r="M303" i="6"/>
  <c r="I303" i="6"/>
  <c r="E303" i="6"/>
  <c r="A303" i="6"/>
  <c r="J302" i="6"/>
  <c r="F302" i="6"/>
  <c r="B302" i="6"/>
  <c r="K301" i="6"/>
  <c r="G301" i="6"/>
  <c r="C301" i="6"/>
  <c r="L300" i="6"/>
  <c r="H300" i="6"/>
  <c r="D300" i="6"/>
  <c r="M299" i="6"/>
  <c r="I299" i="6"/>
  <c r="E299" i="6"/>
  <c r="A299" i="6"/>
  <c r="J298" i="6"/>
  <c r="F298" i="6"/>
  <c r="B298" i="6"/>
  <c r="K297" i="6"/>
  <c r="G297" i="6"/>
  <c r="C297" i="6"/>
  <c r="L296" i="6"/>
  <c r="H296" i="6"/>
  <c r="D296" i="6"/>
  <c r="M295" i="6"/>
  <c r="I295" i="6"/>
  <c r="E295" i="6"/>
  <c r="A295" i="6"/>
  <c r="J294" i="6"/>
  <c r="F294" i="6"/>
  <c r="B294" i="6"/>
  <c r="K293" i="6"/>
  <c r="G293" i="6"/>
  <c r="C293" i="6"/>
  <c r="L292" i="6"/>
  <c r="H292" i="6"/>
  <c r="D292" i="6"/>
  <c r="M291" i="6"/>
  <c r="I291" i="6"/>
  <c r="E291" i="6"/>
  <c r="A291" i="6"/>
  <c r="J290" i="6"/>
  <c r="F290" i="6"/>
  <c r="B290" i="6"/>
  <c r="K289" i="6"/>
  <c r="G289" i="6"/>
  <c r="C289" i="6"/>
  <c r="L288" i="6"/>
  <c r="H288" i="6"/>
  <c r="D288" i="6"/>
  <c r="M287" i="6"/>
  <c r="I287" i="6"/>
  <c r="E287" i="6"/>
  <c r="A287" i="6"/>
  <c r="J286" i="6"/>
  <c r="F286" i="6"/>
  <c r="C286" i="6"/>
  <c r="J285" i="6"/>
  <c r="F285" i="6"/>
  <c r="B285" i="6"/>
  <c r="K284" i="6"/>
  <c r="G284" i="6"/>
  <c r="C284" i="6"/>
  <c r="L283" i="6"/>
  <c r="H283" i="6"/>
  <c r="D283" i="6"/>
  <c r="M282" i="6"/>
  <c r="I282" i="6"/>
  <c r="E282" i="6"/>
  <c r="A282" i="6"/>
  <c r="J281" i="6"/>
  <c r="F281" i="6"/>
  <c r="B281" i="6"/>
  <c r="K280" i="6"/>
  <c r="G280" i="6"/>
  <c r="C280" i="6"/>
  <c r="L279" i="6"/>
  <c r="H279" i="6"/>
  <c r="D279" i="6"/>
  <c r="M278" i="6"/>
  <c r="I278" i="6"/>
  <c r="E278" i="6"/>
  <c r="A278" i="6"/>
  <c r="J277" i="6"/>
  <c r="F277" i="6"/>
  <c r="B277" i="6"/>
  <c r="K276" i="6"/>
  <c r="G276" i="6"/>
  <c r="C276" i="6"/>
  <c r="L275" i="6"/>
  <c r="H275" i="6"/>
  <c r="D275" i="6"/>
  <c r="M274" i="6"/>
  <c r="I274" i="6"/>
  <c r="E274" i="6"/>
  <c r="A274" i="6"/>
  <c r="J273" i="6"/>
  <c r="F273" i="6"/>
  <c r="B273" i="6"/>
  <c r="K272" i="6"/>
  <c r="G272" i="6"/>
  <c r="C272" i="6"/>
  <c r="L271" i="6"/>
  <c r="H271" i="6"/>
  <c r="D271" i="6"/>
  <c r="M270" i="6"/>
  <c r="I270" i="6"/>
  <c r="E270" i="6"/>
  <c r="A270" i="6"/>
  <c r="J269" i="6"/>
  <c r="F269" i="6"/>
  <c r="B269" i="6"/>
  <c r="K268" i="6"/>
  <c r="G268" i="6"/>
  <c r="C268" i="6"/>
  <c r="L267" i="6"/>
  <c r="H267" i="6"/>
  <c r="D267" i="6"/>
  <c r="M266" i="6"/>
  <c r="I266" i="6"/>
  <c r="E266" i="6"/>
  <c r="A266" i="6"/>
  <c r="J265" i="6"/>
  <c r="F265" i="6"/>
  <c r="B265" i="6"/>
  <c r="K264" i="6"/>
  <c r="G264" i="6"/>
  <c r="C264" i="6"/>
  <c r="L263" i="6"/>
  <c r="H263" i="6"/>
  <c r="D263" i="6"/>
  <c r="M262" i="6"/>
  <c r="I262" i="6"/>
  <c r="E262" i="6"/>
  <c r="A262" i="6"/>
  <c r="J261" i="6"/>
  <c r="F261" i="6"/>
  <c r="B261" i="6"/>
  <c r="K260" i="6"/>
  <c r="G260" i="6"/>
  <c r="C260" i="6"/>
  <c r="L259" i="6"/>
  <c r="H259" i="6"/>
  <c r="D259" i="6"/>
  <c r="M258" i="6"/>
  <c r="I258" i="6"/>
  <c r="E258" i="6"/>
  <c r="A258" i="6"/>
  <c r="J257" i="6"/>
  <c r="F257" i="6"/>
  <c r="B257" i="6"/>
  <c r="K256" i="6"/>
  <c r="G256" i="6"/>
  <c r="C256" i="6"/>
  <c r="L255" i="6"/>
  <c r="H255" i="6"/>
  <c r="D255" i="6"/>
  <c r="M254" i="6"/>
  <c r="I254" i="6"/>
  <c r="E254" i="6"/>
  <c r="A254" i="6"/>
  <c r="J253" i="6"/>
  <c r="F253" i="6"/>
  <c r="B253" i="6"/>
  <c r="K252" i="6"/>
  <c r="G252" i="6"/>
  <c r="C252" i="6"/>
  <c r="L251" i="6"/>
  <c r="H251" i="6"/>
  <c r="D251" i="6"/>
  <c r="M250" i="6"/>
  <c r="I250" i="6"/>
  <c r="E250" i="6"/>
  <c r="A250" i="6"/>
  <c r="J249" i="6"/>
  <c r="F249" i="6"/>
  <c r="B249" i="6"/>
  <c r="K248" i="6"/>
  <c r="G248" i="6"/>
  <c r="C248" i="6"/>
  <c r="L247" i="6"/>
  <c r="H247" i="6"/>
  <c r="D247" i="6"/>
  <c r="M246" i="6"/>
  <c r="I246" i="6"/>
  <c r="E246" i="6"/>
  <c r="A246" i="6"/>
  <c r="J245" i="6"/>
  <c r="F245" i="6"/>
  <c r="B245" i="6"/>
  <c r="K244" i="6"/>
  <c r="G244" i="6"/>
  <c r="C244" i="6"/>
  <c r="L243" i="6"/>
  <c r="H243" i="6"/>
  <c r="D243" i="6"/>
  <c r="M242" i="6"/>
  <c r="I242" i="6"/>
  <c r="E242" i="6"/>
  <c r="A242" i="6"/>
  <c r="J241" i="6"/>
  <c r="F241" i="6"/>
  <c r="B241" i="6"/>
  <c r="K240" i="6"/>
  <c r="G240" i="6"/>
  <c r="C240" i="6"/>
  <c r="L239" i="6"/>
  <c r="H239" i="6"/>
  <c r="D239" i="6"/>
  <c r="M238" i="6"/>
  <c r="I238" i="6"/>
  <c r="E238" i="6"/>
  <c r="A238" i="6"/>
  <c r="J237" i="6"/>
  <c r="F237" i="6"/>
  <c r="B237" i="6"/>
  <c r="K236" i="6"/>
  <c r="G236" i="6"/>
  <c r="C236" i="6"/>
  <c r="L235" i="6"/>
  <c r="H235" i="6"/>
  <c r="D235" i="6"/>
  <c r="M234" i="6"/>
  <c r="I234" i="6"/>
  <c r="E234" i="6"/>
  <c r="A234" i="6"/>
  <c r="J233" i="6"/>
  <c r="F233" i="6"/>
  <c r="B233" i="6"/>
  <c r="K232" i="6"/>
  <c r="G232" i="6"/>
  <c r="C232" i="6"/>
  <c r="L231" i="6"/>
  <c r="H231" i="6"/>
  <c r="D231" i="6"/>
  <c r="M230" i="6"/>
  <c r="I230" i="6"/>
  <c r="E230" i="6"/>
  <c r="A230" i="6"/>
  <c r="J229" i="6"/>
  <c r="F229" i="6"/>
  <c r="B229" i="6"/>
  <c r="K228" i="6"/>
  <c r="G228" i="6"/>
  <c r="C228" i="6"/>
  <c r="L227" i="6"/>
  <c r="H227" i="6"/>
  <c r="D227" i="6"/>
  <c r="M226" i="6"/>
  <c r="I226" i="6"/>
  <c r="E226" i="6"/>
  <c r="A226" i="6"/>
  <c r="J225" i="6"/>
  <c r="F225" i="6"/>
  <c r="B225" i="6"/>
  <c r="K224" i="6"/>
  <c r="G224" i="6"/>
  <c r="C224" i="6"/>
  <c r="L223" i="6"/>
  <c r="H223" i="6"/>
  <c r="D223" i="6"/>
  <c r="M222" i="6"/>
  <c r="I222" i="6"/>
  <c r="E222" i="6"/>
  <c r="A222" i="6"/>
  <c r="J221" i="6"/>
  <c r="F221" i="6"/>
  <c r="B221" i="6"/>
  <c r="K220" i="6"/>
  <c r="G220" i="6"/>
  <c r="C220" i="6"/>
  <c r="L219" i="6"/>
  <c r="H219" i="6"/>
  <c r="D219" i="6"/>
  <c r="M218" i="6"/>
  <c r="I218" i="6"/>
  <c r="E218" i="6"/>
  <c r="A218" i="6"/>
  <c r="J217" i="6"/>
  <c r="F217" i="6"/>
  <c r="B217" i="6"/>
  <c r="K216" i="6"/>
  <c r="G216" i="6"/>
  <c r="C216" i="6"/>
  <c r="L215" i="6"/>
  <c r="H215" i="6"/>
  <c r="D215" i="6"/>
  <c r="M214" i="6"/>
  <c r="I214" i="6"/>
  <c r="E214" i="6"/>
  <c r="A214" i="6"/>
  <c r="J213" i="6"/>
  <c r="F213" i="6"/>
  <c r="B213" i="6"/>
  <c r="K212" i="6"/>
  <c r="G212" i="6"/>
  <c r="C212" i="6"/>
  <c r="L211" i="6"/>
  <c r="H211" i="6"/>
  <c r="D211" i="6"/>
  <c r="M210" i="6"/>
  <c r="I210" i="6"/>
  <c r="E210" i="6"/>
  <c r="A210" i="6"/>
  <c r="J209" i="6"/>
  <c r="F209" i="6"/>
  <c r="B209" i="6"/>
  <c r="K208" i="6"/>
  <c r="G208" i="6"/>
  <c r="C208" i="6"/>
  <c r="L207" i="6"/>
  <c r="H207" i="6"/>
  <c r="D207" i="6"/>
  <c r="M206" i="6"/>
  <c r="I206" i="6"/>
  <c r="E206" i="6"/>
  <c r="A206" i="6"/>
  <c r="J205" i="6"/>
  <c r="F205" i="6"/>
  <c r="B205" i="6"/>
  <c r="K204" i="6"/>
  <c r="G204" i="6"/>
  <c r="C204" i="6"/>
  <c r="L203" i="6"/>
  <c r="H203" i="6"/>
  <c r="D203" i="6"/>
  <c r="M202" i="6"/>
  <c r="I202" i="6"/>
  <c r="E202" i="6"/>
  <c r="A202" i="6"/>
  <c r="J201" i="6"/>
  <c r="F201" i="6"/>
  <c r="B201" i="6"/>
  <c r="K200" i="6"/>
  <c r="G200" i="6"/>
  <c r="C200" i="6"/>
  <c r="L199" i="6"/>
  <c r="H199" i="6"/>
  <c r="D199" i="6"/>
  <c r="M198" i="6"/>
  <c r="I198" i="6"/>
  <c r="E198" i="6"/>
  <c r="A198" i="6"/>
  <c r="J197" i="6"/>
  <c r="F197" i="6"/>
  <c r="B197" i="6"/>
  <c r="K196" i="6"/>
  <c r="G196" i="6"/>
  <c r="C196" i="6"/>
  <c r="L195" i="6"/>
  <c r="H195" i="6"/>
  <c r="D195" i="6"/>
  <c r="M194" i="6"/>
  <c r="I194" i="6"/>
  <c r="E194" i="6"/>
  <c r="A194" i="6"/>
  <c r="J193" i="6"/>
  <c r="F193" i="6"/>
  <c r="B193" i="6"/>
  <c r="K192" i="6"/>
  <c r="G192" i="6"/>
  <c r="C192" i="6"/>
  <c r="L191" i="6"/>
  <c r="H191" i="6"/>
  <c r="D191" i="6"/>
  <c r="M190" i="6"/>
  <c r="I190" i="6"/>
  <c r="E190" i="6"/>
  <c r="A190" i="6"/>
  <c r="J189" i="6"/>
  <c r="F189" i="6"/>
  <c r="B189" i="6"/>
  <c r="K188" i="6"/>
  <c r="G188" i="6"/>
  <c r="C188" i="6"/>
  <c r="L187" i="6"/>
  <c r="H187" i="6"/>
  <c r="D187" i="6"/>
  <c r="M186" i="6"/>
  <c r="I186" i="6"/>
  <c r="E186" i="6"/>
  <c r="A186" i="6"/>
  <c r="J185" i="6"/>
  <c r="F185" i="6"/>
  <c r="B185" i="6"/>
  <c r="K184" i="6"/>
  <c r="G184" i="6"/>
  <c r="C184" i="6"/>
  <c r="L183" i="6"/>
  <c r="H183" i="6"/>
  <c r="D183" i="6"/>
  <c r="M182" i="6"/>
  <c r="I182" i="6"/>
  <c r="E182" i="6"/>
  <c r="A182" i="6"/>
  <c r="J181" i="6"/>
  <c r="F181" i="6"/>
  <c r="B181" i="6"/>
  <c r="K180" i="6"/>
  <c r="G180" i="6"/>
  <c r="C180" i="6"/>
  <c r="L179" i="6"/>
  <c r="H179" i="6"/>
  <c r="D179" i="6"/>
  <c r="M178" i="6"/>
  <c r="I178" i="6"/>
  <c r="E178" i="6"/>
  <c r="A178" i="6"/>
  <c r="J177" i="6"/>
  <c r="F177" i="6"/>
  <c r="B177" i="6"/>
  <c r="K176" i="6"/>
  <c r="G176" i="6"/>
  <c r="C176" i="6"/>
  <c r="L175" i="6"/>
  <c r="H175" i="6"/>
  <c r="D175" i="6"/>
  <c r="M174" i="6"/>
  <c r="I174" i="6"/>
  <c r="E174" i="6"/>
  <c r="A174" i="6"/>
  <c r="J173" i="6"/>
  <c r="F173" i="6"/>
  <c r="B173" i="6"/>
  <c r="K172" i="6"/>
  <c r="G172" i="6"/>
  <c r="C172" i="6"/>
  <c r="L171" i="6"/>
  <c r="H171" i="6"/>
  <c r="D171" i="6"/>
  <c r="M170" i="6"/>
  <c r="I170" i="6"/>
  <c r="E170" i="6"/>
  <c r="A170" i="6"/>
  <c r="J169" i="6"/>
  <c r="F169" i="6"/>
  <c r="B169" i="6"/>
  <c r="K168" i="6"/>
  <c r="G168" i="6"/>
  <c r="C168" i="6"/>
  <c r="L167" i="6"/>
  <c r="H167" i="6"/>
  <c r="D167" i="6"/>
  <c r="M166" i="6"/>
  <c r="I166" i="6"/>
  <c r="E166" i="6"/>
  <c r="A166" i="6"/>
  <c r="J165" i="6"/>
  <c r="F165" i="6"/>
  <c r="B165" i="6"/>
  <c r="K164" i="6"/>
  <c r="G164" i="6"/>
  <c r="C164" i="6"/>
  <c r="L163" i="6"/>
  <c r="H163" i="6"/>
  <c r="D163" i="6"/>
  <c r="M162" i="6"/>
  <c r="I162" i="6"/>
  <c r="E162" i="6"/>
  <c r="A162" i="6"/>
  <c r="J161" i="6"/>
  <c r="F161" i="6"/>
  <c r="B161" i="6"/>
  <c r="K160" i="6"/>
  <c r="G160" i="6"/>
  <c r="C160" i="6"/>
  <c r="L159" i="6"/>
  <c r="H159" i="6"/>
  <c r="D159" i="6"/>
  <c r="M158" i="6"/>
  <c r="I158" i="6"/>
  <c r="E158" i="6"/>
  <c r="A158" i="6"/>
  <c r="J157" i="6"/>
  <c r="F157" i="6"/>
  <c r="B157" i="6"/>
  <c r="K156" i="6"/>
  <c r="G156" i="6"/>
  <c r="C156" i="6"/>
  <c r="L155" i="6"/>
  <c r="H155" i="6"/>
  <c r="D155" i="6"/>
  <c r="M154" i="6"/>
  <c r="I154" i="6"/>
  <c r="E154" i="6"/>
  <c r="A154" i="6"/>
  <c r="J153" i="6"/>
  <c r="F153" i="6"/>
  <c r="B153" i="6"/>
  <c r="K152" i="6"/>
  <c r="G152" i="6"/>
  <c r="C152" i="6"/>
  <c r="L151" i="6"/>
  <c r="H151" i="6"/>
  <c r="D151" i="6"/>
  <c r="M150" i="6"/>
  <c r="I150" i="6"/>
  <c r="E150" i="6"/>
  <c r="A150" i="6"/>
  <c r="J149" i="6"/>
  <c r="F149" i="6"/>
  <c r="B149" i="6"/>
  <c r="K148" i="6"/>
  <c r="G148" i="6"/>
  <c r="C148" i="6"/>
  <c r="L147" i="6"/>
  <c r="H147" i="6"/>
  <c r="D147" i="6"/>
  <c r="M146" i="6"/>
  <c r="I146" i="6"/>
  <c r="E146" i="6"/>
  <c r="A146" i="6"/>
  <c r="J145" i="6"/>
  <c r="F145" i="6"/>
  <c r="B145" i="6"/>
  <c r="K144" i="6"/>
  <c r="G144" i="6"/>
  <c r="C144" i="6"/>
  <c r="L143" i="6"/>
  <c r="H143" i="6"/>
  <c r="D143" i="6"/>
  <c r="M142" i="6"/>
  <c r="I142" i="6"/>
  <c r="E142" i="6"/>
  <c r="A142" i="6"/>
  <c r="J141" i="6"/>
  <c r="F141" i="6"/>
  <c r="B141" i="6"/>
  <c r="K140" i="6"/>
  <c r="G140" i="6"/>
  <c r="C140" i="6"/>
  <c r="L139" i="6"/>
  <c r="H139" i="6"/>
  <c r="D139" i="6"/>
  <c r="M138" i="6"/>
  <c r="I138" i="6"/>
  <c r="E138" i="6"/>
  <c r="A138" i="6"/>
  <c r="J137" i="6"/>
  <c r="F137" i="6"/>
  <c r="B137" i="6"/>
  <c r="K136" i="6"/>
  <c r="G136" i="6"/>
  <c r="C136" i="6"/>
  <c r="L135" i="6"/>
  <c r="H135" i="6"/>
  <c r="D135" i="6"/>
  <c r="M134" i="6"/>
  <c r="I134" i="6"/>
  <c r="E134" i="6"/>
  <c r="A134" i="6"/>
  <c r="J133" i="6"/>
  <c r="F133" i="6"/>
  <c r="B133" i="6"/>
  <c r="K132" i="6"/>
  <c r="G132" i="6"/>
  <c r="C132" i="6"/>
  <c r="L131" i="6"/>
  <c r="H131" i="6"/>
  <c r="D131" i="6"/>
  <c r="M130" i="6"/>
  <c r="I130" i="6"/>
  <c r="E130" i="6"/>
  <c r="A130" i="6"/>
  <c r="J129" i="6"/>
  <c r="F129" i="6"/>
  <c r="B129" i="6"/>
  <c r="K128" i="6"/>
  <c r="G128" i="6"/>
  <c r="B286" i="6"/>
  <c r="I285" i="6"/>
  <c r="E285" i="6"/>
  <c r="A285" i="6"/>
  <c r="J284" i="6"/>
  <c r="F284" i="6"/>
  <c r="B284" i="6"/>
  <c r="K283" i="6"/>
  <c r="G283" i="6"/>
  <c r="C283" i="6"/>
  <c r="L282" i="6"/>
  <c r="H282" i="6"/>
  <c r="D282" i="6"/>
  <c r="M281" i="6"/>
  <c r="I281" i="6"/>
  <c r="E281" i="6"/>
  <c r="A281" i="6"/>
  <c r="J280" i="6"/>
  <c r="F280" i="6"/>
  <c r="B280" i="6"/>
  <c r="K279" i="6"/>
  <c r="G279" i="6"/>
  <c r="C279" i="6"/>
  <c r="L278" i="6"/>
  <c r="H278" i="6"/>
  <c r="D278" i="6"/>
  <c r="M277" i="6"/>
  <c r="I277" i="6"/>
  <c r="E277" i="6"/>
  <c r="A277" i="6"/>
  <c r="J276" i="6"/>
  <c r="F276" i="6"/>
  <c r="B276" i="6"/>
  <c r="K275" i="6"/>
  <c r="G275" i="6"/>
  <c r="C275" i="6"/>
  <c r="L274" i="6"/>
  <c r="H274" i="6"/>
  <c r="D274" i="6"/>
  <c r="M273" i="6"/>
  <c r="I273" i="6"/>
  <c r="E273" i="6"/>
  <c r="A273" i="6"/>
  <c r="J272" i="6"/>
  <c r="F272" i="6"/>
  <c r="B272" i="6"/>
  <c r="K271" i="6"/>
  <c r="G271" i="6"/>
  <c r="C271" i="6"/>
  <c r="L270" i="6"/>
  <c r="H270" i="6"/>
  <c r="D270" i="6"/>
  <c r="M269" i="6"/>
  <c r="I269" i="6"/>
  <c r="E269" i="6"/>
  <c r="A269" i="6"/>
  <c r="J268" i="6"/>
  <c r="F268" i="6"/>
  <c r="B268" i="6"/>
  <c r="K267" i="6"/>
  <c r="G267" i="6"/>
  <c r="C267" i="6"/>
  <c r="L266" i="6"/>
  <c r="H266" i="6"/>
  <c r="D266" i="6"/>
  <c r="M265" i="6"/>
  <c r="I265" i="6"/>
  <c r="E265" i="6"/>
  <c r="A265" i="6"/>
  <c r="J264" i="6"/>
  <c r="F264" i="6"/>
  <c r="B264" i="6"/>
  <c r="K263" i="6"/>
  <c r="G263" i="6"/>
  <c r="C263" i="6"/>
  <c r="L262" i="6"/>
  <c r="H262" i="6"/>
  <c r="D262" i="6"/>
  <c r="M261" i="6"/>
  <c r="I261" i="6"/>
  <c r="E261" i="6"/>
  <c r="A261" i="6"/>
  <c r="J260" i="6"/>
  <c r="F260" i="6"/>
  <c r="B260" i="6"/>
  <c r="K259" i="6"/>
  <c r="G259" i="6"/>
  <c r="C259" i="6"/>
  <c r="L258" i="6"/>
  <c r="H258" i="6"/>
  <c r="D258" i="6"/>
  <c r="M257" i="6"/>
  <c r="I257" i="6"/>
  <c r="E257" i="6"/>
  <c r="A257" i="6"/>
  <c r="J256" i="6"/>
  <c r="F256" i="6"/>
  <c r="B256" i="6"/>
  <c r="K255" i="6"/>
  <c r="G255" i="6"/>
  <c r="C255" i="6"/>
  <c r="L254" i="6"/>
  <c r="H254" i="6"/>
  <c r="D254" i="6"/>
  <c r="M253" i="6"/>
  <c r="I253" i="6"/>
  <c r="E253" i="6"/>
  <c r="A253" i="6"/>
  <c r="J252" i="6"/>
  <c r="F252" i="6"/>
  <c r="B252" i="6"/>
  <c r="K251" i="6"/>
  <c r="G251" i="6"/>
  <c r="C251" i="6"/>
  <c r="L250" i="6"/>
  <c r="H250" i="6"/>
  <c r="D250" i="6"/>
  <c r="M249" i="6"/>
  <c r="I249" i="6"/>
  <c r="E249" i="6"/>
  <c r="A249" i="6"/>
  <c r="J248" i="6"/>
  <c r="F248" i="6"/>
  <c r="B248" i="6"/>
  <c r="K247" i="6"/>
  <c r="G247" i="6"/>
  <c r="C247" i="6"/>
  <c r="L246" i="6"/>
  <c r="H246" i="6"/>
  <c r="D246" i="6"/>
  <c r="M245" i="6"/>
  <c r="I245" i="6"/>
  <c r="E245" i="6"/>
  <c r="A245" i="6"/>
  <c r="J244" i="6"/>
  <c r="F244" i="6"/>
  <c r="B244" i="6"/>
  <c r="K243" i="6"/>
  <c r="G243" i="6"/>
  <c r="C243" i="6"/>
  <c r="L242" i="6"/>
  <c r="H242" i="6"/>
  <c r="D242" i="6"/>
  <c r="M241" i="6"/>
  <c r="I241" i="6"/>
  <c r="E241" i="6"/>
  <c r="A241" i="6"/>
  <c r="J240" i="6"/>
  <c r="F240" i="6"/>
  <c r="B240" i="6"/>
  <c r="K239" i="6"/>
  <c r="G239" i="6"/>
  <c r="C239" i="6"/>
  <c r="L238" i="6"/>
  <c r="H238" i="6"/>
  <c r="D238" i="6"/>
  <c r="M237" i="6"/>
  <c r="I237" i="6"/>
  <c r="E237" i="6"/>
  <c r="A237" i="6"/>
  <c r="J236" i="6"/>
  <c r="F236" i="6"/>
  <c r="B236" i="6"/>
  <c r="K235" i="6"/>
  <c r="G235" i="6"/>
  <c r="C235" i="6"/>
  <c r="L234" i="6"/>
  <c r="H234" i="6"/>
  <c r="D234" i="6"/>
  <c r="M233" i="6"/>
  <c r="I233" i="6"/>
  <c r="E233" i="6"/>
  <c r="A233" i="6"/>
  <c r="J232" i="6"/>
  <c r="F232" i="6"/>
  <c r="B232" i="6"/>
  <c r="K231" i="6"/>
  <c r="G231" i="6"/>
  <c r="C231" i="6"/>
  <c r="L230" i="6"/>
  <c r="H230" i="6"/>
  <c r="D230" i="6"/>
  <c r="M229" i="6"/>
  <c r="I229" i="6"/>
  <c r="E229" i="6"/>
  <c r="A229" i="6"/>
  <c r="J228" i="6"/>
  <c r="F228" i="6"/>
  <c r="B228" i="6"/>
  <c r="K227" i="6"/>
  <c r="G227" i="6"/>
  <c r="C227" i="6"/>
  <c r="L226" i="6"/>
  <c r="H226" i="6"/>
  <c r="D226" i="6"/>
  <c r="M225" i="6"/>
  <c r="I225" i="6"/>
  <c r="E225" i="6"/>
  <c r="A225" i="6"/>
  <c r="J224" i="6"/>
  <c r="F224" i="6"/>
  <c r="B224" i="6"/>
  <c r="K223" i="6"/>
  <c r="G223" i="6"/>
  <c r="C223" i="6"/>
  <c r="L222" i="6"/>
  <c r="H222" i="6"/>
  <c r="D222" i="6"/>
  <c r="M221" i="6"/>
  <c r="I221" i="6"/>
  <c r="E221" i="6"/>
  <c r="A221" i="6"/>
  <c r="J220" i="6"/>
  <c r="F220" i="6"/>
  <c r="B220" i="6"/>
  <c r="K219" i="6"/>
  <c r="G219" i="6"/>
  <c r="C219" i="6"/>
  <c r="L218" i="6"/>
  <c r="H218" i="6"/>
  <c r="D218" i="6"/>
  <c r="M217" i="6"/>
  <c r="I217" i="6"/>
  <c r="E217" i="6"/>
  <c r="A217" i="6"/>
  <c r="J216" i="6"/>
  <c r="F216" i="6"/>
  <c r="B216" i="6"/>
  <c r="K215" i="6"/>
  <c r="G215" i="6"/>
  <c r="C215" i="6"/>
  <c r="L214" i="6"/>
  <c r="H214" i="6"/>
  <c r="D214" i="6"/>
  <c r="M213" i="6"/>
  <c r="I213" i="6"/>
  <c r="E213" i="6"/>
  <c r="A213" i="6"/>
  <c r="J212" i="6"/>
  <c r="F212" i="6"/>
  <c r="B212" i="6"/>
  <c r="K211" i="6"/>
  <c r="G211" i="6"/>
  <c r="C211" i="6"/>
  <c r="L210" i="6"/>
  <c r="H210" i="6"/>
  <c r="D210" i="6"/>
  <c r="M209" i="6"/>
  <c r="I209" i="6"/>
  <c r="E209" i="6"/>
  <c r="A209" i="6"/>
  <c r="J208" i="6"/>
  <c r="F208" i="6"/>
  <c r="B208" i="6"/>
  <c r="K207" i="6"/>
  <c r="G207" i="6"/>
  <c r="C207" i="6"/>
  <c r="L206" i="6"/>
  <c r="H206" i="6"/>
  <c r="D206" i="6"/>
  <c r="M205" i="6"/>
  <c r="I205" i="6"/>
  <c r="E205" i="6"/>
  <c r="A205" i="6"/>
  <c r="J204" i="6"/>
  <c r="F204" i="6"/>
  <c r="B204" i="6"/>
  <c r="K203" i="6"/>
  <c r="G203" i="6"/>
  <c r="C203" i="6"/>
  <c r="L202" i="6"/>
  <c r="H202" i="6"/>
  <c r="D202" i="6"/>
  <c r="M201" i="6"/>
  <c r="I201" i="6"/>
  <c r="E201" i="6"/>
  <c r="A201" i="6"/>
  <c r="J200" i="6"/>
  <c r="F200" i="6"/>
  <c r="B200" i="6"/>
  <c r="K199" i="6"/>
  <c r="G199" i="6"/>
  <c r="C199" i="6"/>
  <c r="L198" i="6"/>
  <c r="H198" i="6"/>
  <c r="D198" i="6"/>
  <c r="M197" i="6"/>
  <c r="I197" i="6"/>
  <c r="E197" i="6"/>
  <c r="A197" i="6"/>
  <c r="J196" i="6"/>
  <c r="F196" i="6"/>
  <c r="B196" i="6"/>
  <c r="K195" i="6"/>
  <c r="G195" i="6"/>
  <c r="C195" i="6"/>
  <c r="L194" i="6"/>
  <c r="H194" i="6"/>
  <c r="D194" i="6"/>
  <c r="M193" i="6"/>
  <c r="I193" i="6"/>
  <c r="E193" i="6"/>
  <c r="A193" i="6"/>
  <c r="J192" i="6"/>
  <c r="F192" i="6"/>
  <c r="B192" i="6"/>
  <c r="K191" i="6"/>
  <c r="G191" i="6"/>
  <c r="C191" i="6"/>
  <c r="L190" i="6"/>
  <c r="H190" i="6"/>
  <c r="D190" i="6"/>
  <c r="M189" i="6"/>
  <c r="I189" i="6"/>
  <c r="E189" i="6"/>
  <c r="A189" i="6"/>
  <c r="J188" i="6"/>
  <c r="F188" i="6"/>
  <c r="B188" i="6"/>
  <c r="K187" i="6"/>
  <c r="G187" i="6"/>
  <c r="C187" i="6"/>
  <c r="L186" i="6"/>
  <c r="H186" i="6"/>
  <c r="D186" i="6"/>
  <c r="M185" i="6"/>
  <c r="I185" i="6"/>
  <c r="E185" i="6"/>
  <c r="A185" i="6"/>
  <c r="J184" i="6"/>
  <c r="F184" i="6"/>
  <c r="B184" i="6"/>
  <c r="K183" i="6"/>
  <c r="G183" i="6"/>
  <c r="C183" i="6"/>
  <c r="L182" i="6"/>
  <c r="H182" i="6"/>
  <c r="D182" i="6"/>
  <c r="M181" i="6"/>
  <c r="I181" i="6"/>
  <c r="E181" i="6"/>
  <c r="A181" i="6"/>
  <c r="J180" i="6"/>
  <c r="F180" i="6"/>
  <c r="B180" i="6"/>
  <c r="K179" i="6"/>
  <c r="G179" i="6"/>
  <c r="C179" i="6"/>
  <c r="L178" i="6"/>
  <c r="H178" i="6"/>
  <c r="D178" i="6"/>
  <c r="M177" i="6"/>
  <c r="I177" i="6"/>
  <c r="E177" i="6"/>
  <c r="A177" i="6"/>
  <c r="J176" i="6"/>
  <c r="F176" i="6"/>
  <c r="B176" i="6"/>
  <c r="K175" i="6"/>
  <c r="G175" i="6"/>
  <c r="C175" i="6"/>
  <c r="L174" i="6"/>
  <c r="H174" i="6"/>
  <c r="D174" i="6"/>
  <c r="M173" i="6"/>
  <c r="I173" i="6"/>
  <c r="E173" i="6"/>
  <c r="A173" i="6"/>
  <c r="J172" i="6"/>
  <c r="F172" i="6"/>
  <c r="B172" i="6"/>
  <c r="K171" i="6"/>
  <c r="G171" i="6"/>
  <c r="C171" i="6"/>
  <c r="L170" i="6"/>
  <c r="H170" i="6"/>
  <c r="D170" i="6"/>
  <c r="M169" i="6"/>
  <c r="I169" i="6"/>
  <c r="E169" i="6"/>
  <c r="A169" i="6"/>
  <c r="J168" i="6"/>
  <c r="F168" i="6"/>
  <c r="B168" i="6"/>
  <c r="K167" i="6"/>
  <c r="G167" i="6"/>
  <c r="C167" i="6"/>
  <c r="L166" i="6"/>
  <c r="H166" i="6"/>
  <c r="D166" i="6"/>
  <c r="M165" i="6"/>
  <c r="I165" i="6"/>
  <c r="E165" i="6"/>
  <c r="A165" i="6"/>
  <c r="J164" i="6"/>
  <c r="F164" i="6"/>
  <c r="B164" i="6"/>
  <c r="K163" i="6"/>
  <c r="G163" i="6"/>
  <c r="C163" i="6"/>
  <c r="L162" i="6"/>
  <c r="H162" i="6"/>
  <c r="D162" i="6"/>
  <c r="M161" i="6"/>
  <c r="I161" i="6"/>
  <c r="E161" i="6"/>
  <c r="A161" i="6"/>
  <c r="J160" i="6"/>
  <c r="F160" i="6"/>
  <c r="B160" i="6"/>
  <c r="K159" i="6"/>
  <c r="G159" i="6"/>
  <c r="C159" i="6"/>
  <c r="L158" i="6"/>
  <c r="H158" i="6"/>
  <c r="D158" i="6"/>
  <c r="M157" i="6"/>
  <c r="I157" i="6"/>
  <c r="E157" i="6"/>
  <c r="A157" i="6"/>
  <c r="J156" i="6"/>
  <c r="F156" i="6"/>
  <c r="B156" i="6"/>
  <c r="K155" i="6"/>
  <c r="G155" i="6"/>
  <c r="C155" i="6"/>
  <c r="L154" i="6"/>
  <c r="H154" i="6"/>
  <c r="D154" i="6"/>
  <c r="M153" i="6"/>
  <c r="I153" i="6"/>
  <c r="E153" i="6"/>
  <c r="A153" i="6"/>
  <c r="J152" i="6"/>
  <c r="F152" i="6"/>
  <c r="B152" i="6"/>
  <c r="K151" i="6"/>
  <c r="G151" i="6"/>
  <c r="C151" i="6"/>
  <c r="L150" i="6"/>
  <c r="H150" i="6"/>
  <c r="D150" i="6"/>
  <c r="M149" i="6"/>
  <c r="I149" i="6"/>
  <c r="E149" i="6"/>
  <c r="A149" i="6"/>
  <c r="J148" i="6"/>
  <c r="F148" i="6"/>
  <c r="B148" i="6"/>
  <c r="K147" i="6"/>
  <c r="G147" i="6"/>
  <c r="C147" i="6"/>
  <c r="L146" i="6"/>
  <c r="H146" i="6"/>
  <c r="D146" i="6"/>
  <c r="M145" i="6"/>
  <c r="I145" i="6"/>
  <c r="E145" i="6"/>
  <c r="A145" i="6"/>
  <c r="J144" i="6"/>
  <c r="F144" i="6"/>
  <c r="B144" i="6"/>
  <c r="K143" i="6"/>
  <c r="G143" i="6"/>
  <c r="C143" i="6"/>
  <c r="L142" i="6"/>
  <c r="H142" i="6"/>
  <c r="D142" i="6"/>
  <c r="M141" i="6"/>
  <c r="I141" i="6"/>
  <c r="E141" i="6"/>
  <c r="A141" i="6"/>
  <c r="J140" i="6"/>
  <c r="F140" i="6"/>
  <c r="B140" i="6"/>
  <c r="K139" i="6"/>
  <c r="G139" i="6"/>
  <c r="C139" i="6"/>
  <c r="L138" i="6"/>
  <c r="H138" i="6"/>
  <c r="D138" i="6"/>
  <c r="M137" i="6"/>
  <c r="I137" i="6"/>
  <c r="E137" i="6"/>
  <c r="A137" i="6"/>
  <c r="J136" i="6"/>
  <c r="F136" i="6"/>
  <c r="B136" i="6"/>
  <c r="K135" i="6"/>
  <c r="G135" i="6"/>
  <c r="C135" i="6"/>
  <c r="L134" i="6"/>
  <c r="H134" i="6"/>
  <c r="D134" i="6"/>
  <c r="M133" i="6"/>
  <c r="I133" i="6"/>
  <c r="E133" i="6"/>
  <c r="A133" i="6"/>
  <c r="J132" i="6"/>
  <c r="F132" i="6"/>
  <c r="B132" i="6"/>
  <c r="K131" i="6"/>
  <c r="G131" i="6"/>
  <c r="C131" i="6"/>
  <c r="L130" i="6"/>
  <c r="H130" i="6"/>
  <c r="D130" i="6"/>
  <c r="M129" i="6"/>
  <c r="I129" i="6"/>
  <c r="E129" i="6"/>
  <c r="A129" i="6"/>
  <c r="J128" i="6"/>
  <c r="F128" i="6"/>
  <c r="L285" i="6"/>
  <c r="H285" i="6"/>
  <c r="D285" i="6"/>
  <c r="M284" i="6"/>
  <c r="I284" i="6"/>
  <c r="E284" i="6"/>
  <c r="A284" i="6"/>
  <c r="J283" i="6"/>
  <c r="F283" i="6"/>
  <c r="B283" i="6"/>
  <c r="K282" i="6"/>
  <c r="G282" i="6"/>
  <c r="C282" i="6"/>
  <c r="L281" i="6"/>
  <c r="H281" i="6"/>
  <c r="D281" i="6"/>
  <c r="M280" i="6"/>
  <c r="I280" i="6"/>
  <c r="E280" i="6"/>
  <c r="A280" i="6"/>
  <c r="J279" i="6"/>
  <c r="F279" i="6"/>
  <c r="B279" i="6"/>
  <c r="K278" i="6"/>
  <c r="G278" i="6"/>
  <c r="C278" i="6"/>
  <c r="L277" i="6"/>
  <c r="H277" i="6"/>
  <c r="D277" i="6"/>
  <c r="M276" i="6"/>
  <c r="I276" i="6"/>
  <c r="E276" i="6"/>
  <c r="A276" i="6"/>
  <c r="J275" i="6"/>
  <c r="F275" i="6"/>
  <c r="B275" i="6"/>
  <c r="K274" i="6"/>
  <c r="G274" i="6"/>
  <c r="C274" i="6"/>
  <c r="L273" i="6"/>
  <c r="H273" i="6"/>
  <c r="D273" i="6"/>
  <c r="M272" i="6"/>
  <c r="I272" i="6"/>
  <c r="E272" i="6"/>
  <c r="A272" i="6"/>
  <c r="J271" i="6"/>
  <c r="F271" i="6"/>
  <c r="B271" i="6"/>
  <c r="K270" i="6"/>
  <c r="G270" i="6"/>
  <c r="C270" i="6"/>
  <c r="L269" i="6"/>
  <c r="H269" i="6"/>
  <c r="D269" i="6"/>
  <c r="M268" i="6"/>
  <c r="I268" i="6"/>
  <c r="E268" i="6"/>
  <c r="A268" i="6"/>
  <c r="J267" i="6"/>
  <c r="F267" i="6"/>
  <c r="B267" i="6"/>
  <c r="K266" i="6"/>
  <c r="G266" i="6"/>
  <c r="C266" i="6"/>
  <c r="L265" i="6"/>
  <c r="H265" i="6"/>
  <c r="D265" i="6"/>
  <c r="M264" i="6"/>
  <c r="I264" i="6"/>
  <c r="E264" i="6"/>
  <c r="A264" i="6"/>
  <c r="J263" i="6"/>
  <c r="F263" i="6"/>
  <c r="B263" i="6"/>
  <c r="K262" i="6"/>
  <c r="G262" i="6"/>
  <c r="C262" i="6"/>
  <c r="L261" i="6"/>
  <c r="H261" i="6"/>
  <c r="D261" i="6"/>
  <c r="M260" i="6"/>
  <c r="I260" i="6"/>
  <c r="E260" i="6"/>
  <c r="A260" i="6"/>
  <c r="J259" i="6"/>
  <c r="F259" i="6"/>
  <c r="B259" i="6"/>
  <c r="K258" i="6"/>
  <c r="G258" i="6"/>
  <c r="C258" i="6"/>
  <c r="L257" i="6"/>
  <c r="H257" i="6"/>
  <c r="D257" i="6"/>
  <c r="M256" i="6"/>
  <c r="I256" i="6"/>
  <c r="E256" i="6"/>
  <c r="A256" i="6"/>
  <c r="J255" i="6"/>
  <c r="F255" i="6"/>
  <c r="B255" i="6"/>
  <c r="K254" i="6"/>
  <c r="G254" i="6"/>
  <c r="C254" i="6"/>
  <c r="L253" i="6"/>
  <c r="H253" i="6"/>
  <c r="D253" i="6"/>
  <c r="M252" i="6"/>
  <c r="I252" i="6"/>
  <c r="E252" i="6"/>
  <c r="A252" i="6"/>
  <c r="J251" i="6"/>
  <c r="F251" i="6"/>
  <c r="B251" i="6"/>
  <c r="K250" i="6"/>
  <c r="G250" i="6"/>
  <c r="C250" i="6"/>
  <c r="L249" i="6"/>
  <c r="H249" i="6"/>
  <c r="D249" i="6"/>
  <c r="M248" i="6"/>
  <c r="I248" i="6"/>
  <c r="E248" i="6"/>
  <c r="A248" i="6"/>
  <c r="J247" i="6"/>
  <c r="F247" i="6"/>
  <c r="B247" i="6"/>
  <c r="K246" i="6"/>
  <c r="G246" i="6"/>
  <c r="C246" i="6"/>
  <c r="L245" i="6"/>
  <c r="H245" i="6"/>
  <c r="D245" i="6"/>
  <c r="M244" i="6"/>
  <c r="I244" i="6"/>
  <c r="E244" i="6"/>
  <c r="A244" i="6"/>
  <c r="J243" i="6"/>
  <c r="F243" i="6"/>
  <c r="B243" i="6"/>
  <c r="K242" i="6"/>
  <c r="G242" i="6"/>
  <c r="C242" i="6"/>
  <c r="L241" i="6"/>
  <c r="H241" i="6"/>
  <c r="D241" i="6"/>
  <c r="M240" i="6"/>
  <c r="I240" i="6"/>
  <c r="E240" i="6"/>
  <c r="A240" i="6"/>
  <c r="J239" i="6"/>
  <c r="F239" i="6"/>
  <c r="B239" i="6"/>
  <c r="K238" i="6"/>
  <c r="G238" i="6"/>
  <c r="C238" i="6"/>
  <c r="L237" i="6"/>
  <c r="H237" i="6"/>
  <c r="D237" i="6"/>
  <c r="M236" i="6"/>
  <c r="I236" i="6"/>
  <c r="E236" i="6"/>
  <c r="A236" i="6"/>
  <c r="J235" i="6"/>
  <c r="F235" i="6"/>
  <c r="B235" i="6"/>
  <c r="K234" i="6"/>
  <c r="G234" i="6"/>
  <c r="C234" i="6"/>
  <c r="L233" i="6"/>
  <c r="H233" i="6"/>
  <c r="D233" i="6"/>
  <c r="M232" i="6"/>
  <c r="I232" i="6"/>
  <c r="E232" i="6"/>
  <c r="A232" i="6"/>
  <c r="J231" i="6"/>
  <c r="F231" i="6"/>
  <c r="B231" i="6"/>
  <c r="K230" i="6"/>
  <c r="G230" i="6"/>
  <c r="C230" i="6"/>
  <c r="L229" i="6"/>
  <c r="H229" i="6"/>
  <c r="D229" i="6"/>
  <c r="M228" i="6"/>
  <c r="I228" i="6"/>
  <c r="E228" i="6"/>
  <c r="A228" i="6"/>
  <c r="J227" i="6"/>
  <c r="F227" i="6"/>
  <c r="B227" i="6"/>
  <c r="K226" i="6"/>
  <c r="G226" i="6"/>
  <c r="C226" i="6"/>
  <c r="L225" i="6"/>
  <c r="H225" i="6"/>
  <c r="D225" i="6"/>
  <c r="M224" i="6"/>
  <c r="I224" i="6"/>
  <c r="E224" i="6"/>
  <c r="A224" i="6"/>
  <c r="J223" i="6"/>
  <c r="F223" i="6"/>
  <c r="B223" i="6"/>
  <c r="K222" i="6"/>
  <c r="G222" i="6"/>
  <c r="C222" i="6"/>
  <c r="L221" i="6"/>
  <c r="H221" i="6"/>
  <c r="D221" i="6"/>
  <c r="M220" i="6"/>
  <c r="I220" i="6"/>
  <c r="E220" i="6"/>
  <c r="A220" i="6"/>
  <c r="J219" i="6"/>
  <c r="F219" i="6"/>
  <c r="B219" i="6"/>
  <c r="K218" i="6"/>
  <c r="G218" i="6"/>
  <c r="C218" i="6"/>
  <c r="L217" i="6"/>
  <c r="H217" i="6"/>
  <c r="D217" i="6"/>
  <c r="M216" i="6"/>
  <c r="I216" i="6"/>
  <c r="E216" i="6"/>
  <c r="A216" i="6"/>
  <c r="J215" i="6"/>
  <c r="F215" i="6"/>
  <c r="B215" i="6"/>
  <c r="K214" i="6"/>
  <c r="G214" i="6"/>
  <c r="C214" i="6"/>
  <c r="L213" i="6"/>
  <c r="H213" i="6"/>
  <c r="D213" i="6"/>
  <c r="M212" i="6"/>
  <c r="I212" i="6"/>
  <c r="E212" i="6"/>
  <c r="A212" i="6"/>
  <c r="J211" i="6"/>
  <c r="F211" i="6"/>
  <c r="B211" i="6"/>
  <c r="K210" i="6"/>
  <c r="G210" i="6"/>
  <c r="C210" i="6"/>
  <c r="L209" i="6"/>
  <c r="H209" i="6"/>
  <c r="D209" i="6"/>
  <c r="M208" i="6"/>
  <c r="I208" i="6"/>
  <c r="E208" i="6"/>
  <c r="A208" i="6"/>
  <c r="J207" i="6"/>
  <c r="F207" i="6"/>
  <c r="B207" i="6"/>
  <c r="K206" i="6"/>
  <c r="G206" i="6"/>
  <c r="C206" i="6"/>
  <c r="L205" i="6"/>
  <c r="H205" i="6"/>
  <c r="D205" i="6"/>
  <c r="M204" i="6"/>
  <c r="I204" i="6"/>
  <c r="E204" i="6"/>
  <c r="A204" i="6"/>
  <c r="J203" i="6"/>
  <c r="F203" i="6"/>
  <c r="B203" i="6"/>
  <c r="K202" i="6"/>
  <c r="G202" i="6"/>
  <c r="C202" i="6"/>
  <c r="L201" i="6"/>
  <c r="H201" i="6"/>
  <c r="D201" i="6"/>
  <c r="M200" i="6"/>
  <c r="I200" i="6"/>
  <c r="E200" i="6"/>
  <c r="A200" i="6"/>
  <c r="J199" i="6"/>
  <c r="F199" i="6"/>
  <c r="B199" i="6"/>
  <c r="K198" i="6"/>
  <c r="G198" i="6"/>
  <c r="C198" i="6"/>
  <c r="L197" i="6"/>
  <c r="H197" i="6"/>
  <c r="D197" i="6"/>
  <c r="M196" i="6"/>
  <c r="I196" i="6"/>
  <c r="E196" i="6"/>
  <c r="A196" i="6"/>
  <c r="J195" i="6"/>
  <c r="F195" i="6"/>
  <c r="B195" i="6"/>
  <c r="K194" i="6"/>
  <c r="G194" i="6"/>
  <c r="C194" i="6"/>
  <c r="L193" i="6"/>
  <c r="H193" i="6"/>
  <c r="D193" i="6"/>
  <c r="M192" i="6"/>
  <c r="I192" i="6"/>
  <c r="E192" i="6"/>
  <c r="A192" i="6"/>
  <c r="J191" i="6"/>
  <c r="F191" i="6"/>
  <c r="B191" i="6"/>
  <c r="K190" i="6"/>
  <c r="G190" i="6"/>
  <c r="C190" i="6"/>
  <c r="L189" i="6"/>
  <c r="H189" i="6"/>
  <c r="D189" i="6"/>
  <c r="M188" i="6"/>
  <c r="I188" i="6"/>
  <c r="E188" i="6"/>
  <c r="A188" i="6"/>
  <c r="J187" i="6"/>
  <c r="F187" i="6"/>
  <c r="B187" i="6"/>
  <c r="K186" i="6"/>
  <c r="G186" i="6"/>
  <c r="C186" i="6"/>
  <c r="L185" i="6"/>
  <c r="H185" i="6"/>
  <c r="D185" i="6"/>
  <c r="M184" i="6"/>
  <c r="I184" i="6"/>
  <c r="E184" i="6"/>
  <c r="A184" i="6"/>
  <c r="J183" i="6"/>
  <c r="F183" i="6"/>
  <c r="B183" i="6"/>
  <c r="K182" i="6"/>
  <c r="G182" i="6"/>
  <c r="C182" i="6"/>
  <c r="L181" i="6"/>
  <c r="H181" i="6"/>
  <c r="D181" i="6"/>
  <c r="M180" i="6"/>
  <c r="I180" i="6"/>
  <c r="E180" i="6"/>
  <c r="A180" i="6"/>
  <c r="J179" i="6"/>
  <c r="F179" i="6"/>
  <c r="B179" i="6"/>
  <c r="K178" i="6"/>
  <c r="G178" i="6"/>
  <c r="C178" i="6"/>
  <c r="L177" i="6"/>
  <c r="H177" i="6"/>
  <c r="D177" i="6"/>
  <c r="M176" i="6"/>
  <c r="I176" i="6"/>
  <c r="E176" i="6"/>
  <c r="A176" i="6"/>
  <c r="J175" i="6"/>
  <c r="F175" i="6"/>
  <c r="B175" i="6"/>
  <c r="K174" i="6"/>
  <c r="G174" i="6"/>
  <c r="C174" i="6"/>
  <c r="L173" i="6"/>
  <c r="H173" i="6"/>
  <c r="D173" i="6"/>
  <c r="M172" i="6"/>
  <c r="I172" i="6"/>
  <c r="E172" i="6"/>
  <c r="A172" i="6"/>
  <c r="J171" i="6"/>
  <c r="F171" i="6"/>
  <c r="B171" i="6"/>
  <c r="K170" i="6"/>
  <c r="G170" i="6"/>
  <c r="C170" i="6"/>
  <c r="L169" i="6"/>
  <c r="H169" i="6"/>
  <c r="D169" i="6"/>
  <c r="M168" i="6"/>
  <c r="I168" i="6"/>
  <c r="E168" i="6"/>
  <c r="A168" i="6"/>
  <c r="J167" i="6"/>
  <c r="F167" i="6"/>
  <c r="B167" i="6"/>
  <c r="K166" i="6"/>
  <c r="G166" i="6"/>
  <c r="C166" i="6"/>
  <c r="L165" i="6"/>
  <c r="H165" i="6"/>
  <c r="D165" i="6"/>
  <c r="M164" i="6"/>
  <c r="I164" i="6"/>
  <c r="E164" i="6"/>
  <c r="A164" i="6"/>
  <c r="J163" i="6"/>
  <c r="F163" i="6"/>
  <c r="B163" i="6"/>
  <c r="K162" i="6"/>
  <c r="G162" i="6"/>
  <c r="C162" i="6"/>
  <c r="L161" i="6"/>
  <c r="H161" i="6"/>
  <c r="D161" i="6"/>
  <c r="M160" i="6"/>
  <c r="I160" i="6"/>
  <c r="E160" i="6"/>
  <c r="A160" i="6"/>
  <c r="J159" i="6"/>
  <c r="F159" i="6"/>
  <c r="B159" i="6"/>
  <c r="K158" i="6"/>
  <c r="G158" i="6"/>
  <c r="C158" i="6"/>
  <c r="L157" i="6"/>
  <c r="H157" i="6"/>
  <c r="D157" i="6"/>
  <c r="M156" i="6"/>
  <c r="I156" i="6"/>
  <c r="E156" i="6"/>
  <c r="A156" i="6"/>
  <c r="J155" i="6"/>
  <c r="F155" i="6"/>
  <c r="B155" i="6"/>
  <c r="K154" i="6"/>
  <c r="G154" i="6"/>
  <c r="C154" i="6"/>
  <c r="L153" i="6"/>
  <c r="H153" i="6"/>
  <c r="D153" i="6"/>
  <c r="M152" i="6"/>
  <c r="I152" i="6"/>
  <c r="E152" i="6"/>
  <c r="A152" i="6"/>
  <c r="J151" i="6"/>
  <c r="F151" i="6"/>
  <c r="B151" i="6"/>
  <c r="K150" i="6"/>
  <c r="G150" i="6"/>
  <c r="C150" i="6"/>
  <c r="L149" i="6"/>
  <c r="H149" i="6"/>
  <c r="D149" i="6"/>
  <c r="M148" i="6"/>
  <c r="I148" i="6"/>
  <c r="E148" i="6"/>
  <c r="A148" i="6"/>
  <c r="J147" i="6"/>
  <c r="F147" i="6"/>
  <c r="B147" i="6"/>
  <c r="K146" i="6"/>
  <c r="G146" i="6"/>
  <c r="C146" i="6"/>
  <c r="L145" i="6"/>
  <c r="H145" i="6"/>
  <c r="D145" i="6"/>
  <c r="M144" i="6"/>
  <c r="I144" i="6"/>
  <c r="E144" i="6"/>
  <c r="A144" i="6"/>
  <c r="J143" i="6"/>
  <c r="F143" i="6"/>
  <c r="B143" i="6"/>
  <c r="K142" i="6"/>
  <c r="G142" i="6"/>
  <c r="C142" i="6"/>
  <c r="L141" i="6"/>
  <c r="H141" i="6"/>
  <c r="D141" i="6"/>
  <c r="M140" i="6"/>
  <c r="I140" i="6"/>
  <c r="E140" i="6"/>
  <c r="A140" i="6"/>
  <c r="J139" i="6"/>
  <c r="F139" i="6"/>
  <c r="B139" i="6"/>
  <c r="K138" i="6"/>
  <c r="G138" i="6"/>
  <c r="C138" i="6"/>
  <c r="L137" i="6"/>
  <c r="H137" i="6"/>
  <c r="D137" i="6"/>
  <c r="M136" i="6"/>
  <c r="I136" i="6"/>
  <c r="E136" i="6"/>
  <c r="A136" i="6"/>
  <c r="J135" i="6"/>
  <c r="F135" i="6"/>
  <c r="B135" i="6"/>
  <c r="K134" i="6"/>
  <c r="G134" i="6"/>
  <c r="C134" i="6"/>
  <c r="L133" i="6"/>
  <c r="H133" i="6"/>
  <c r="D133" i="6"/>
  <c r="M132" i="6"/>
  <c r="I132" i="6"/>
  <c r="E132" i="6"/>
  <c r="A132" i="6"/>
  <c r="J131" i="6"/>
  <c r="F131" i="6"/>
  <c r="B131" i="6"/>
  <c r="K130" i="6"/>
  <c r="G130" i="6"/>
  <c r="C130" i="6"/>
  <c r="L129" i="6"/>
  <c r="H129" i="6"/>
  <c r="D129" i="6"/>
  <c r="M128" i="6"/>
  <c r="K285" i="6"/>
  <c r="G285" i="6"/>
  <c r="C285" i="6"/>
  <c r="L284" i="6"/>
  <c r="H284" i="6"/>
  <c r="D284" i="6"/>
  <c r="M283" i="6"/>
  <c r="I283" i="6"/>
  <c r="E283" i="6"/>
  <c r="A283" i="6"/>
  <c r="J282" i="6"/>
  <c r="F282" i="6"/>
  <c r="B282" i="6"/>
  <c r="K281" i="6"/>
  <c r="G281" i="6"/>
  <c r="C281" i="6"/>
  <c r="L280" i="6"/>
  <c r="H280" i="6"/>
  <c r="D280" i="6"/>
  <c r="M279" i="6"/>
  <c r="I279" i="6"/>
  <c r="E279" i="6"/>
  <c r="A279" i="6"/>
  <c r="J278" i="6"/>
  <c r="F278" i="6"/>
  <c r="B278" i="6"/>
  <c r="K277" i="6"/>
  <c r="G277" i="6"/>
  <c r="C277" i="6"/>
  <c r="L276" i="6"/>
  <c r="H276" i="6"/>
  <c r="D276" i="6"/>
  <c r="M275" i="6"/>
  <c r="I275" i="6"/>
  <c r="E275" i="6"/>
  <c r="A275" i="6"/>
  <c r="J274" i="6"/>
  <c r="F274" i="6"/>
  <c r="B274" i="6"/>
  <c r="K273" i="6"/>
  <c r="G273" i="6"/>
  <c r="C273" i="6"/>
  <c r="L272" i="6"/>
  <c r="H272" i="6"/>
  <c r="D272" i="6"/>
  <c r="M271" i="6"/>
  <c r="I271" i="6"/>
  <c r="E271" i="6"/>
  <c r="A271" i="6"/>
  <c r="J270" i="6"/>
  <c r="F270" i="6"/>
  <c r="B270" i="6"/>
  <c r="K269" i="6"/>
  <c r="G269" i="6"/>
  <c r="C269" i="6"/>
  <c r="L268" i="6"/>
  <c r="H268" i="6"/>
  <c r="D268" i="6"/>
  <c r="M267" i="6"/>
  <c r="I267" i="6"/>
  <c r="E267" i="6"/>
  <c r="A267" i="6"/>
  <c r="J266" i="6"/>
  <c r="F266" i="6"/>
  <c r="B266" i="6"/>
  <c r="K265" i="6"/>
  <c r="G265" i="6"/>
  <c r="C265" i="6"/>
  <c r="L264" i="6"/>
  <c r="H264" i="6"/>
  <c r="D264" i="6"/>
  <c r="M263" i="6"/>
  <c r="I263" i="6"/>
  <c r="E263" i="6"/>
  <c r="A263" i="6"/>
  <c r="J262" i="6"/>
  <c r="F262" i="6"/>
  <c r="B262" i="6"/>
  <c r="K261" i="6"/>
  <c r="G261" i="6"/>
  <c r="C261" i="6"/>
  <c r="L260" i="6"/>
  <c r="H260" i="6"/>
  <c r="D260" i="6"/>
  <c r="M259" i="6"/>
  <c r="I259" i="6"/>
  <c r="E259" i="6"/>
  <c r="A259" i="6"/>
  <c r="J258" i="6"/>
  <c r="F258" i="6"/>
  <c r="B258" i="6"/>
  <c r="K257" i="6"/>
  <c r="G257" i="6"/>
  <c r="C257" i="6"/>
  <c r="L256" i="6"/>
  <c r="H256" i="6"/>
  <c r="D256" i="6"/>
  <c r="M255" i="6"/>
  <c r="I255" i="6"/>
  <c r="E255" i="6"/>
  <c r="A255" i="6"/>
  <c r="J254" i="6"/>
  <c r="F254" i="6"/>
  <c r="B254" i="6"/>
  <c r="K253" i="6"/>
  <c r="G253" i="6"/>
  <c r="C253" i="6"/>
  <c r="L252" i="6"/>
  <c r="H252" i="6"/>
  <c r="D252" i="6"/>
  <c r="M251" i="6"/>
  <c r="I251" i="6"/>
  <c r="E251" i="6"/>
  <c r="A251" i="6"/>
  <c r="J250" i="6"/>
  <c r="F250" i="6"/>
  <c r="B250" i="6"/>
  <c r="K249" i="6"/>
  <c r="G249" i="6"/>
  <c r="C249" i="6"/>
  <c r="L248" i="6"/>
  <c r="H248" i="6"/>
  <c r="D248" i="6"/>
  <c r="M247" i="6"/>
  <c r="I247" i="6"/>
  <c r="E247" i="6"/>
  <c r="A247" i="6"/>
  <c r="J246" i="6"/>
  <c r="F246" i="6"/>
  <c r="B246" i="6"/>
  <c r="K245" i="6"/>
  <c r="G245" i="6"/>
  <c r="C245" i="6"/>
  <c r="L244" i="6"/>
  <c r="H244" i="6"/>
  <c r="D244" i="6"/>
  <c r="M243" i="6"/>
  <c r="I243" i="6"/>
  <c r="E243" i="6"/>
  <c r="A243" i="6"/>
  <c r="J242" i="6"/>
  <c r="F242" i="6"/>
  <c r="B242" i="6"/>
  <c r="K241" i="6"/>
  <c r="G241" i="6"/>
  <c r="C241" i="6"/>
  <c r="L240" i="6"/>
  <c r="H240" i="6"/>
  <c r="D240" i="6"/>
  <c r="M239" i="6"/>
  <c r="I239" i="6"/>
  <c r="E239" i="6"/>
  <c r="A239" i="6"/>
  <c r="J238" i="6"/>
  <c r="F238" i="6"/>
  <c r="B238" i="6"/>
  <c r="K237" i="6"/>
  <c r="G237" i="6"/>
  <c r="C237" i="6"/>
  <c r="L236" i="6"/>
  <c r="H236" i="6"/>
  <c r="D236" i="6"/>
  <c r="M235" i="6"/>
  <c r="I235" i="6"/>
  <c r="E235" i="6"/>
  <c r="A235" i="6"/>
  <c r="J234" i="6"/>
  <c r="F234" i="6"/>
  <c r="B234" i="6"/>
  <c r="K233" i="6"/>
  <c r="G233" i="6"/>
  <c r="C233" i="6"/>
  <c r="L232" i="6"/>
  <c r="H232" i="6"/>
  <c r="D232" i="6"/>
  <c r="M231" i="6"/>
  <c r="I231" i="6"/>
  <c r="E231" i="6"/>
  <c r="A231" i="6"/>
  <c r="J230" i="6"/>
  <c r="F230" i="6"/>
  <c r="B230" i="6"/>
  <c r="K229" i="6"/>
  <c r="G229" i="6"/>
  <c r="C229" i="6"/>
  <c r="L228" i="6"/>
  <c r="H228" i="6"/>
  <c r="D228" i="6"/>
  <c r="M227" i="6"/>
  <c r="I227" i="6"/>
  <c r="E227" i="6"/>
  <c r="A227" i="6"/>
  <c r="J226" i="6"/>
  <c r="F226" i="6"/>
  <c r="B226" i="6"/>
  <c r="K225" i="6"/>
  <c r="G225" i="6"/>
  <c r="C225" i="6"/>
  <c r="L224" i="6"/>
  <c r="H224" i="6"/>
  <c r="D224" i="6"/>
  <c r="M223" i="6"/>
  <c r="I223" i="6"/>
  <c r="E223" i="6"/>
  <c r="A223" i="6"/>
  <c r="J222" i="6"/>
  <c r="F222" i="6"/>
  <c r="B222" i="6"/>
  <c r="K221" i="6"/>
  <c r="G221" i="6"/>
  <c r="C221" i="6"/>
  <c r="L220" i="6"/>
  <c r="H220" i="6"/>
  <c r="D220" i="6"/>
  <c r="M219" i="6"/>
  <c r="I219" i="6"/>
  <c r="E219" i="6"/>
  <c r="A219" i="6"/>
  <c r="J218" i="6"/>
  <c r="F218" i="6"/>
  <c r="B218" i="6"/>
  <c r="K217" i="6"/>
  <c r="G217" i="6"/>
  <c r="C217" i="6"/>
  <c r="L216" i="6"/>
  <c r="H216" i="6"/>
  <c r="D216" i="6"/>
  <c r="M215" i="6"/>
  <c r="I215" i="6"/>
  <c r="E215" i="6"/>
  <c r="A215" i="6"/>
  <c r="J214" i="6"/>
  <c r="F214" i="6"/>
  <c r="B214" i="6"/>
  <c r="K213" i="6"/>
  <c r="G213" i="6"/>
  <c r="C213" i="6"/>
  <c r="L212" i="6"/>
  <c r="H212" i="6"/>
  <c r="D212" i="6"/>
  <c r="M211" i="6"/>
  <c r="I211" i="6"/>
  <c r="E211" i="6"/>
  <c r="A211" i="6"/>
  <c r="J210" i="6"/>
  <c r="F210" i="6"/>
  <c r="B210" i="6"/>
  <c r="K209" i="6"/>
  <c r="G209" i="6"/>
  <c r="C209" i="6"/>
  <c r="L208" i="6"/>
  <c r="H208" i="6"/>
  <c r="D208" i="6"/>
  <c r="M207" i="6"/>
  <c r="I207" i="6"/>
  <c r="E207" i="6"/>
  <c r="A207" i="6"/>
  <c r="J206" i="6"/>
  <c r="F206" i="6"/>
  <c r="B206" i="6"/>
  <c r="K205" i="6"/>
  <c r="G205" i="6"/>
  <c r="C205" i="6"/>
  <c r="L204" i="6"/>
  <c r="H204" i="6"/>
  <c r="D204" i="6"/>
  <c r="M203" i="6"/>
  <c r="I203" i="6"/>
  <c r="E203" i="6"/>
  <c r="A203" i="6"/>
  <c r="J202" i="6"/>
  <c r="F202" i="6"/>
  <c r="B202" i="6"/>
  <c r="K201" i="6"/>
  <c r="G201" i="6"/>
  <c r="C201" i="6"/>
  <c r="L200" i="6"/>
  <c r="H200" i="6"/>
  <c r="D200" i="6"/>
  <c r="M199" i="6"/>
  <c r="I199" i="6"/>
  <c r="E199" i="6"/>
  <c r="A199" i="6"/>
  <c r="J198" i="6"/>
  <c r="F198" i="6"/>
  <c r="B198" i="6"/>
  <c r="K197" i="6"/>
  <c r="G197" i="6"/>
  <c r="C197" i="6"/>
  <c r="L196" i="6"/>
  <c r="H196" i="6"/>
  <c r="D196" i="6"/>
  <c r="M195" i="6"/>
  <c r="I195" i="6"/>
  <c r="E195" i="6"/>
  <c r="A195" i="6"/>
  <c r="J194" i="6"/>
  <c r="F194" i="6"/>
  <c r="B194" i="6"/>
  <c r="K193" i="6"/>
  <c r="G193" i="6"/>
  <c r="C193" i="6"/>
  <c r="L192" i="6"/>
  <c r="H192" i="6"/>
  <c r="D192" i="6"/>
  <c r="M191" i="6"/>
  <c r="I191" i="6"/>
  <c r="E191" i="6"/>
  <c r="A191" i="6"/>
  <c r="J190" i="6"/>
  <c r="F190" i="6"/>
  <c r="B190" i="6"/>
  <c r="K189" i="6"/>
  <c r="G189" i="6"/>
  <c r="C189" i="6"/>
  <c r="L188" i="6"/>
  <c r="H188" i="6"/>
  <c r="D188" i="6"/>
  <c r="M187" i="6"/>
  <c r="I187" i="6"/>
  <c r="E187" i="6"/>
  <c r="A187" i="6"/>
  <c r="J186" i="6"/>
  <c r="F186" i="6"/>
  <c r="B186" i="6"/>
  <c r="K185" i="6"/>
  <c r="G185" i="6"/>
  <c r="C185" i="6"/>
  <c r="L184" i="6"/>
  <c r="H184" i="6"/>
  <c r="D184" i="6"/>
  <c r="M183" i="6"/>
  <c r="I183" i="6"/>
  <c r="E183" i="6"/>
  <c r="A183" i="6"/>
  <c r="J182" i="6"/>
  <c r="F182" i="6"/>
  <c r="B182" i="6"/>
  <c r="K181" i="6"/>
  <c r="G181" i="6"/>
  <c r="C181" i="6"/>
  <c r="L180" i="6"/>
  <c r="H180" i="6"/>
  <c r="D180" i="6"/>
  <c r="M179" i="6"/>
  <c r="I179" i="6"/>
  <c r="E179" i="6"/>
  <c r="A179" i="6"/>
  <c r="J178" i="6"/>
  <c r="F178" i="6"/>
  <c r="B178" i="6"/>
  <c r="K177" i="6"/>
  <c r="G177" i="6"/>
  <c r="C177" i="6"/>
  <c r="L176" i="6"/>
  <c r="H176" i="6"/>
  <c r="D176" i="6"/>
  <c r="M175" i="6"/>
  <c r="I175" i="6"/>
  <c r="E175" i="6"/>
  <c r="A175" i="6"/>
  <c r="J174" i="6"/>
  <c r="F174" i="6"/>
  <c r="B174" i="6"/>
  <c r="K173" i="6"/>
  <c r="G173" i="6"/>
  <c r="C173" i="6"/>
  <c r="L172" i="6"/>
  <c r="H172" i="6"/>
  <c r="D172" i="6"/>
  <c r="M171" i="6"/>
  <c r="I171" i="6"/>
  <c r="E171" i="6"/>
  <c r="A171" i="6"/>
  <c r="J170" i="6"/>
  <c r="F170" i="6"/>
  <c r="B170" i="6"/>
  <c r="K169" i="6"/>
  <c r="G169" i="6"/>
  <c r="C169" i="6"/>
  <c r="L168" i="6"/>
  <c r="H168" i="6"/>
  <c r="D168" i="6"/>
  <c r="M167" i="6"/>
  <c r="I167" i="6"/>
  <c r="E167" i="6"/>
  <c r="A167" i="6"/>
  <c r="J166" i="6"/>
  <c r="F166" i="6"/>
  <c r="B166" i="6"/>
  <c r="K165" i="6"/>
  <c r="G165" i="6"/>
  <c r="C165" i="6"/>
  <c r="L164" i="6"/>
  <c r="H164" i="6"/>
  <c r="D164" i="6"/>
  <c r="M163" i="6"/>
  <c r="I163" i="6"/>
  <c r="E163" i="6"/>
  <c r="A163" i="6"/>
  <c r="J162" i="6"/>
  <c r="F162" i="6"/>
  <c r="B162" i="6"/>
  <c r="K161" i="6"/>
  <c r="G161" i="6"/>
  <c r="C161" i="6"/>
  <c r="L160" i="6"/>
  <c r="H160" i="6"/>
  <c r="D160" i="6"/>
  <c r="M159" i="6"/>
  <c r="I159" i="6"/>
  <c r="E159" i="6"/>
  <c r="A159" i="6"/>
  <c r="J158" i="6"/>
  <c r="F158" i="6"/>
  <c r="B158" i="6"/>
  <c r="K157" i="6"/>
  <c r="G157" i="6"/>
  <c r="C157" i="6"/>
  <c r="L156" i="6"/>
  <c r="H156" i="6"/>
  <c r="D156" i="6"/>
  <c r="M155" i="6"/>
  <c r="I155" i="6"/>
  <c r="E155" i="6"/>
  <c r="A155" i="6"/>
  <c r="J154" i="6"/>
  <c r="F154" i="6"/>
  <c r="B154" i="6"/>
  <c r="K153" i="6"/>
  <c r="G153" i="6"/>
  <c r="C153" i="6"/>
  <c r="L152" i="6"/>
  <c r="H152" i="6"/>
  <c r="D152" i="6"/>
  <c r="M151" i="6"/>
  <c r="I151" i="6"/>
  <c r="E151" i="6"/>
  <c r="A151" i="6"/>
  <c r="J150" i="6"/>
  <c r="F150" i="6"/>
  <c r="B150" i="6"/>
  <c r="K149" i="6"/>
  <c r="G149" i="6"/>
  <c r="C149" i="6"/>
  <c r="L148" i="6"/>
  <c r="H148" i="6"/>
  <c r="D148" i="6"/>
  <c r="M147" i="6"/>
  <c r="I147" i="6"/>
  <c r="E147" i="6"/>
  <c r="A147" i="6"/>
  <c r="J146" i="6"/>
  <c r="F146" i="6"/>
  <c r="B146" i="6"/>
  <c r="K145" i="6"/>
  <c r="G145" i="6"/>
  <c r="C145" i="6"/>
  <c r="L144" i="6"/>
  <c r="H144" i="6"/>
  <c r="D144" i="6"/>
  <c r="M143" i="6"/>
  <c r="I143" i="6"/>
  <c r="E143" i="6"/>
  <c r="A143" i="6"/>
  <c r="J142" i="6"/>
  <c r="F142" i="6"/>
  <c r="B142" i="6"/>
  <c r="K141" i="6"/>
  <c r="G141" i="6"/>
  <c r="C141" i="6"/>
  <c r="L140" i="6"/>
  <c r="H140" i="6"/>
  <c r="D140" i="6"/>
  <c r="M139" i="6"/>
  <c r="I139" i="6"/>
  <c r="E139" i="6"/>
  <c r="A139" i="6"/>
  <c r="J138" i="6"/>
  <c r="F138" i="6"/>
  <c r="B138" i="6"/>
  <c r="K137" i="6"/>
  <c r="G137" i="6"/>
  <c r="C137" i="6"/>
  <c r="L136" i="6"/>
  <c r="H136" i="6"/>
  <c r="D136" i="6"/>
  <c r="M135" i="6"/>
  <c r="I135" i="6"/>
  <c r="E135" i="6"/>
  <c r="A135" i="6"/>
  <c r="J134" i="6"/>
  <c r="F134" i="6"/>
  <c r="B134" i="6"/>
  <c r="K133" i="6"/>
  <c r="G133" i="6"/>
  <c r="C133" i="6"/>
  <c r="L132" i="6"/>
  <c r="H132" i="6"/>
  <c r="D132" i="6"/>
  <c r="M131" i="6"/>
  <c r="I131" i="6"/>
  <c r="E131" i="6"/>
  <c r="A131" i="6"/>
  <c r="J130" i="6"/>
  <c r="F130" i="6"/>
  <c r="B130" i="6"/>
  <c r="K129" i="6"/>
  <c r="G129" i="6"/>
  <c r="C129" i="6"/>
  <c r="L128" i="6"/>
  <c r="I128" i="6"/>
  <c r="C128" i="6"/>
  <c r="L127" i="6"/>
  <c r="H127" i="6"/>
  <c r="D127" i="6"/>
  <c r="M126" i="6"/>
  <c r="I126" i="6"/>
  <c r="E126" i="6"/>
  <c r="A126" i="6"/>
  <c r="J125" i="6"/>
  <c r="F125" i="6"/>
  <c r="B125" i="6"/>
  <c r="K124" i="6"/>
  <c r="G124" i="6"/>
  <c r="C124" i="6"/>
  <c r="L123" i="6"/>
  <c r="H123" i="6"/>
  <c r="D123" i="6"/>
  <c r="M122" i="6"/>
  <c r="I122" i="6"/>
  <c r="E122" i="6"/>
  <c r="A122" i="6"/>
  <c r="J121" i="6"/>
  <c r="F121" i="6"/>
  <c r="B121" i="6"/>
  <c r="K120" i="6"/>
  <c r="G120" i="6"/>
  <c r="C120" i="6"/>
  <c r="L119" i="6"/>
  <c r="H119" i="6"/>
  <c r="D119" i="6"/>
  <c r="M118" i="6"/>
  <c r="I118" i="6"/>
  <c r="E118" i="6"/>
  <c r="A118" i="6"/>
  <c r="J117" i="6"/>
  <c r="F117" i="6"/>
  <c r="B117" i="6"/>
  <c r="K116" i="6"/>
  <c r="G116" i="6"/>
  <c r="C116" i="6"/>
  <c r="L115" i="6"/>
  <c r="H115" i="6"/>
  <c r="D115" i="6"/>
  <c r="M114" i="6"/>
  <c r="I114" i="6"/>
  <c r="E114" i="6"/>
  <c r="A114" i="6"/>
  <c r="J113" i="6"/>
  <c r="F113" i="6"/>
  <c r="B113" i="6"/>
  <c r="K112" i="6"/>
  <c r="G112" i="6"/>
  <c r="C112" i="6"/>
  <c r="L111" i="6"/>
  <c r="H111" i="6"/>
  <c r="D111" i="6"/>
  <c r="M110" i="6"/>
  <c r="I110" i="6"/>
  <c r="E110" i="6"/>
  <c r="A110" i="6"/>
  <c r="J109" i="6"/>
  <c r="F109" i="6"/>
  <c r="B109" i="6"/>
  <c r="K108" i="6"/>
  <c r="G108" i="6"/>
  <c r="C108" i="6"/>
  <c r="L107" i="6"/>
  <c r="H107" i="6"/>
  <c r="D107" i="6"/>
  <c r="M106" i="6"/>
  <c r="I106" i="6"/>
  <c r="E106" i="6"/>
  <c r="A106" i="6"/>
  <c r="J105" i="6"/>
  <c r="F105" i="6"/>
  <c r="B105" i="6"/>
  <c r="K104" i="6"/>
  <c r="G104" i="6"/>
  <c r="C104" i="6"/>
  <c r="L103" i="6"/>
  <c r="H103" i="6"/>
  <c r="D103" i="6"/>
  <c r="M102" i="6"/>
  <c r="I102" i="6"/>
  <c r="E102" i="6"/>
  <c r="A102" i="6"/>
  <c r="J101" i="6"/>
  <c r="F101" i="6"/>
  <c r="B101" i="6"/>
  <c r="K100" i="6"/>
  <c r="G100" i="6"/>
  <c r="C100" i="6"/>
  <c r="L99" i="6"/>
  <c r="H99" i="6"/>
  <c r="D99" i="6"/>
  <c r="M98" i="6"/>
  <c r="I98" i="6"/>
  <c r="E98" i="6"/>
  <c r="A98" i="6"/>
  <c r="J97" i="6"/>
  <c r="F97" i="6"/>
  <c r="B97" i="6"/>
  <c r="K96" i="6"/>
  <c r="G96" i="6"/>
  <c r="C96" i="6"/>
  <c r="L95" i="6"/>
  <c r="H95" i="6"/>
  <c r="D95" i="6"/>
  <c r="M94" i="6"/>
  <c r="I94" i="6"/>
  <c r="E94" i="6"/>
  <c r="A94" i="6"/>
  <c r="J93" i="6"/>
  <c r="F93" i="6"/>
  <c r="B93" i="6"/>
  <c r="K92" i="6"/>
  <c r="G92" i="6"/>
  <c r="C92" i="6"/>
  <c r="L91" i="6"/>
  <c r="H91" i="6"/>
  <c r="D91" i="6"/>
  <c r="M90" i="6"/>
  <c r="I90" i="6"/>
  <c r="E90" i="6"/>
  <c r="A90" i="6"/>
  <c r="J89" i="6"/>
  <c r="F89" i="6"/>
  <c r="B89" i="6"/>
  <c r="K88" i="6"/>
  <c r="G88" i="6"/>
  <c r="C88" i="6"/>
  <c r="L87" i="6"/>
  <c r="H87" i="6"/>
  <c r="D87" i="6"/>
  <c r="M86" i="6"/>
  <c r="I86" i="6"/>
  <c r="E86" i="6"/>
  <c r="A86" i="6"/>
  <c r="J85" i="6"/>
  <c r="F85" i="6"/>
  <c r="B85" i="6"/>
  <c r="K84" i="6"/>
  <c r="G84" i="6"/>
  <c r="C84" i="6"/>
  <c r="L83" i="6"/>
  <c r="H83" i="6"/>
  <c r="D83" i="6"/>
  <c r="M82" i="6"/>
  <c r="I82" i="6"/>
  <c r="E82" i="6"/>
  <c r="A82" i="6"/>
  <c r="J81" i="6"/>
  <c r="F81" i="6"/>
  <c r="B81" i="6"/>
  <c r="K80" i="6"/>
  <c r="G80" i="6"/>
  <c r="C80" i="6"/>
  <c r="L79" i="6"/>
  <c r="H79" i="6"/>
  <c r="D79" i="6"/>
  <c r="M78" i="6"/>
  <c r="I78" i="6"/>
  <c r="E78" i="6"/>
  <c r="A78" i="6"/>
  <c r="J77" i="6"/>
  <c r="F77" i="6"/>
  <c r="B77" i="6"/>
  <c r="K76" i="6"/>
  <c r="G76" i="6"/>
  <c r="C76" i="6"/>
  <c r="L75" i="6"/>
  <c r="H75" i="6"/>
  <c r="D75" i="6"/>
  <c r="M74" i="6"/>
  <c r="I74" i="6"/>
  <c r="E74" i="6"/>
  <c r="A74" i="6"/>
  <c r="J73" i="6"/>
  <c r="F73" i="6"/>
  <c r="B73" i="6"/>
  <c r="K72" i="6"/>
  <c r="G72" i="6"/>
  <c r="C72" i="6"/>
  <c r="L71" i="6"/>
  <c r="H71" i="6"/>
  <c r="D71" i="6"/>
  <c r="M70" i="6"/>
  <c r="I70" i="6"/>
  <c r="E70" i="6"/>
  <c r="A70" i="6"/>
  <c r="J69" i="6"/>
  <c r="F69" i="6"/>
  <c r="B69" i="6"/>
  <c r="K68" i="6"/>
  <c r="G68" i="6"/>
  <c r="C68" i="6"/>
  <c r="L67" i="6"/>
  <c r="H67" i="6"/>
  <c r="D67" i="6"/>
  <c r="M66" i="6"/>
  <c r="I66" i="6"/>
  <c r="E66" i="6"/>
  <c r="A66" i="6"/>
  <c r="J65" i="6"/>
  <c r="F65" i="6"/>
  <c r="B65" i="6"/>
  <c r="K64" i="6"/>
  <c r="G64" i="6"/>
  <c r="C64" i="6"/>
  <c r="L63" i="6"/>
  <c r="H63" i="6"/>
  <c r="D63" i="6"/>
  <c r="M62" i="6"/>
  <c r="I62" i="6"/>
  <c r="E62" i="6"/>
  <c r="A62" i="6"/>
  <c r="J61" i="6"/>
  <c r="F61" i="6"/>
  <c r="B61" i="6"/>
  <c r="K60" i="6"/>
  <c r="G60" i="6"/>
  <c r="C60" i="6"/>
  <c r="L59" i="6"/>
  <c r="H59" i="6"/>
  <c r="D59" i="6"/>
  <c r="M58" i="6"/>
  <c r="I58" i="6"/>
  <c r="E58" i="6"/>
  <c r="A58" i="6"/>
  <c r="J57" i="6"/>
  <c r="F57" i="6"/>
  <c r="B57" i="6"/>
  <c r="K56" i="6"/>
  <c r="G56" i="6"/>
  <c r="C56" i="6"/>
  <c r="L55" i="6"/>
  <c r="H55" i="6"/>
  <c r="D55" i="6"/>
  <c r="M54" i="6"/>
  <c r="I54" i="6"/>
  <c r="E54" i="6"/>
  <c r="A54" i="6"/>
  <c r="J53" i="6"/>
  <c r="F53" i="6"/>
  <c r="B53" i="6"/>
  <c r="K52" i="6"/>
  <c r="G52" i="6"/>
  <c r="C52" i="6"/>
  <c r="L51" i="6"/>
  <c r="H51" i="6"/>
  <c r="D51" i="6"/>
  <c r="M50" i="6"/>
  <c r="I50" i="6"/>
  <c r="E50" i="6"/>
  <c r="A50" i="6"/>
  <c r="J49" i="6"/>
  <c r="F49" i="6"/>
  <c r="B49" i="6"/>
  <c r="K48" i="6"/>
  <c r="G48" i="6"/>
  <c r="C48" i="6"/>
  <c r="L47" i="6"/>
  <c r="H47" i="6"/>
  <c r="D47" i="6"/>
  <c r="M46" i="6"/>
  <c r="I46" i="6"/>
  <c r="E46" i="6"/>
  <c r="A46" i="6"/>
  <c r="J45" i="6"/>
  <c r="F45" i="6"/>
  <c r="B45" i="6"/>
  <c r="K44" i="6"/>
  <c r="G44" i="6"/>
  <c r="C44" i="6"/>
  <c r="L43" i="6"/>
  <c r="H43" i="6"/>
  <c r="D43" i="6"/>
  <c r="M42" i="6"/>
  <c r="I42" i="6"/>
  <c r="E42" i="6"/>
  <c r="A42" i="6"/>
  <c r="J41" i="6"/>
  <c r="F41" i="6"/>
  <c r="B41" i="6"/>
  <c r="K40" i="6"/>
  <c r="G40" i="6"/>
  <c r="C40" i="6"/>
  <c r="L39" i="6"/>
  <c r="H39" i="6"/>
  <c r="D39" i="6"/>
  <c r="M38" i="6"/>
  <c r="I38" i="6"/>
  <c r="E38" i="6"/>
  <c r="A38" i="6"/>
  <c r="J37" i="6"/>
  <c r="F37" i="6"/>
  <c r="B37" i="6"/>
  <c r="K36" i="6"/>
  <c r="G36" i="6"/>
  <c r="C36" i="6"/>
  <c r="L35" i="6"/>
  <c r="H35" i="6"/>
  <c r="D35" i="6"/>
  <c r="M34" i="6"/>
  <c r="I34" i="6"/>
  <c r="E34" i="6"/>
  <c r="A34" i="6"/>
  <c r="J33" i="6"/>
  <c r="F33" i="6"/>
  <c r="B33" i="6"/>
  <c r="K32" i="6"/>
  <c r="G32" i="6"/>
  <c r="C32" i="6"/>
  <c r="L31" i="6"/>
  <c r="H31" i="6"/>
  <c r="D31" i="6"/>
  <c r="M30" i="6"/>
  <c r="I30" i="6"/>
  <c r="E30" i="6"/>
  <c r="A30" i="6"/>
  <c r="J29" i="6"/>
  <c r="F29" i="6"/>
  <c r="B29" i="6"/>
  <c r="K28" i="6"/>
  <c r="G28" i="6"/>
  <c r="C28" i="6"/>
  <c r="L27" i="6"/>
  <c r="H27" i="6"/>
  <c r="D27" i="6"/>
  <c r="M26" i="6"/>
  <c r="I26" i="6"/>
  <c r="E26" i="6"/>
  <c r="A26" i="6"/>
  <c r="J25" i="6"/>
  <c r="F25" i="6"/>
  <c r="B25" i="6"/>
  <c r="K24" i="6"/>
  <c r="G24" i="6"/>
  <c r="C24" i="6"/>
  <c r="L23" i="6"/>
  <c r="H23" i="6"/>
  <c r="D23" i="6"/>
  <c r="M22" i="6"/>
  <c r="I22" i="6"/>
  <c r="E22" i="6"/>
  <c r="A22" i="6"/>
  <c r="J21" i="6"/>
  <c r="F21" i="6"/>
  <c r="B21" i="6"/>
  <c r="K20" i="6"/>
  <c r="G20" i="6"/>
  <c r="C20" i="6"/>
  <c r="L19" i="6"/>
  <c r="H19" i="6"/>
  <c r="D19" i="6"/>
  <c r="M18" i="6"/>
  <c r="I18" i="6"/>
  <c r="E18" i="6"/>
  <c r="A18" i="6"/>
  <c r="J17" i="6"/>
  <c r="F17" i="6"/>
  <c r="B17" i="6"/>
  <c r="K16" i="6"/>
  <c r="G16" i="6"/>
  <c r="C16" i="6"/>
  <c r="L15" i="6"/>
  <c r="H15" i="6"/>
  <c r="D15" i="6"/>
  <c r="M14" i="6"/>
  <c r="I14" i="6"/>
  <c r="E14" i="6"/>
  <c r="A14" i="6"/>
  <c r="J13" i="6"/>
  <c r="F13" i="6"/>
  <c r="B13" i="6"/>
  <c r="K12" i="6"/>
  <c r="G12" i="6"/>
  <c r="C12" i="6"/>
  <c r="L11" i="6"/>
  <c r="H11" i="6"/>
  <c r="D11" i="6"/>
  <c r="M10" i="6"/>
  <c r="I10" i="6"/>
  <c r="E10" i="6"/>
  <c r="A10" i="6"/>
  <c r="J9" i="6"/>
  <c r="F9" i="6"/>
  <c r="B9" i="6"/>
  <c r="K8" i="6"/>
  <c r="G8" i="6"/>
  <c r="C8" i="6"/>
  <c r="L7" i="6"/>
  <c r="H7" i="6"/>
  <c r="D7" i="6"/>
  <c r="M6" i="6"/>
  <c r="I6" i="6"/>
  <c r="E6" i="6"/>
  <c r="A6" i="6"/>
  <c r="J5" i="6"/>
  <c r="F5" i="6"/>
  <c r="B5" i="6"/>
  <c r="K4" i="6"/>
  <c r="G4" i="6"/>
  <c r="C4" i="6"/>
  <c r="L3" i="6"/>
  <c r="H3" i="6"/>
  <c r="D3" i="6"/>
  <c r="M2" i="6"/>
  <c r="I2" i="6"/>
  <c r="E2" i="6"/>
  <c r="A2" i="6"/>
  <c r="J1" i="6"/>
  <c r="F1" i="6"/>
  <c r="B1" i="6"/>
  <c r="A114" i="5"/>
  <c r="C112" i="5"/>
  <c r="B111" i="5"/>
  <c r="A110" i="5"/>
  <c r="C108" i="5"/>
  <c r="B107" i="5"/>
  <c r="A106" i="5"/>
  <c r="C104" i="5"/>
  <c r="B103" i="5"/>
  <c r="A102" i="5"/>
  <c r="C100" i="5"/>
  <c r="B99" i="5"/>
  <c r="A98" i="5"/>
  <c r="C96" i="5"/>
  <c r="B95" i="5"/>
  <c r="A94" i="5"/>
  <c r="C92" i="5"/>
  <c r="B91" i="5"/>
  <c r="A90" i="5"/>
  <c r="C88" i="5"/>
  <c r="B87" i="5"/>
  <c r="A86" i="5"/>
  <c r="C84" i="5"/>
  <c r="B83" i="5"/>
  <c r="A82" i="5"/>
  <c r="C80" i="5"/>
  <c r="B79" i="5"/>
  <c r="A78" i="5"/>
  <c r="C76" i="5"/>
  <c r="B75" i="5"/>
  <c r="A74" i="5"/>
  <c r="C72" i="5"/>
  <c r="B71" i="5"/>
  <c r="A70" i="5"/>
  <c r="C68" i="5"/>
  <c r="B67" i="5"/>
  <c r="A66" i="5"/>
  <c r="C64" i="5"/>
  <c r="B63" i="5"/>
  <c r="A62" i="5"/>
  <c r="C60" i="5"/>
  <c r="B59" i="5"/>
  <c r="A58" i="5"/>
  <c r="C56" i="5"/>
  <c r="B55" i="5"/>
  <c r="A54" i="5"/>
  <c r="C52" i="5"/>
  <c r="B51" i="5"/>
  <c r="A50" i="5"/>
  <c r="C48" i="5"/>
  <c r="B47" i="5"/>
  <c r="A46" i="5"/>
  <c r="C44" i="5"/>
  <c r="B43" i="5"/>
  <c r="A42" i="5"/>
  <c r="C40" i="5"/>
  <c r="B39" i="5"/>
  <c r="A38" i="5"/>
  <c r="C36" i="5"/>
  <c r="B35" i="5"/>
  <c r="A34" i="5"/>
  <c r="C32" i="5"/>
  <c r="B31" i="5"/>
  <c r="A30" i="5"/>
  <c r="C28" i="5"/>
  <c r="B27" i="5"/>
  <c r="A26" i="5"/>
  <c r="C24" i="5"/>
  <c r="B23" i="5"/>
  <c r="A22" i="5"/>
  <c r="C20" i="5"/>
  <c r="B19" i="5"/>
  <c r="A18" i="5"/>
  <c r="C16" i="5"/>
  <c r="B15" i="5"/>
  <c r="A14" i="5"/>
  <c r="C12" i="5"/>
  <c r="B11" i="5"/>
  <c r="A10" i="5"/>
  <c r="C8" i="5"/>
  <c r="B7" i="5"/>
  <c r="A6" i="5"/>
  <c r="C4" i="5"/>
  <c r="B3" i="5"/>
  <c r="A2" i="5"/>
  <c r="H128" i="6"/>
  <c r="B128" i="6"/>
  <c r="K127" i="6"/>
  <c r="G127" i="6"/>
  <c r="C127" i="6"/>
  <c r="L126" i="6"/>
  <c r="H126" i="6"/>
  <c r="D126" i="6"/>
  <c r="M125" i="6"/>
  <c r="I125" i="6"/>
  <c r="E125" i="6"/>
  <c r="A125" i="6"/>
  <c r="J124" i="6"/>
  <c r="F124" i="6"/>
  <c r="B124" i="6"/>
  <c r="K123" i="6"/>
  <c r="G123" i="6"/>
  <c r="C123" i="6"/>
  <c r="L122" i="6"/>
  <c r="H122" i="6"/>
  <c r="D122" i="6"/>
  <c r="M121" i="6"/>
  <c r="I121" i="6"/>
  <c r="E121" i="6"/>
  <c r="A121" i="6"/>
  <c r="J120" i="6"/>
  <c r="F120" i="6"/>
  <c r="B120" i="6"/>
  <c r="K119" i="6"/>
  <c r="G119" i="6"/>
  <c r="C119" i="6"/>
  <c r="L118" i="6"/>
  <c r="H118" i="6"/>
  <c r="D118" i="6"/>
  <c r="M117" i="6"/>
  <c r="I117" i="6"/>
  <c r="E117" i="6"/>
  <c r="A117" i="6"/>
  <c r="J116" i="6"/>
  <c r="F116" i="6"/>
  <c r="B116" i="6"/>
  <c r="K115" i="6"/>
  <c r="G115" i="6"/>
  <c r="C115" i="6"/>
  <c r="L114" i="6"/>
  <c r="H114" i="6"/>
  <c r="D114" i="6"/>
  <c r="M113" i="6"/>
  <c r="I113" i="6"/>
  <c r="E113" i="6"/>
  <c r="A113" i="6"/>
  <c r="J112" i="6"/>
  <c r="F112" i="6"/>
  <c r="B112" i="6"/>
  <c r="K111" i="6"/>
  <c r="G111" i="6"/>
  <c r="C111" i="6"/>
  <c r="L110" i="6"/>
  <c r="H110" i="6"/>
  <c r="D110" i="6"/>
  <c r="M109" i="6"/>
  <c r="I109" i="6"/>
  <c r="E109" i="6"/>
  <c r="A109" i="6"/>
  <c r="J108" i="6"/>
  <c r="F108" i="6"/>
  <c r="B108" i="6"/>
  <c r="K107" i="6"/>
  <c r="G107" i="6"/>
  <c r="C107" i="6"/>
  <c r="L106" i="6"/>
  <c r="H106" i="6"/>
  <c r="D106" i="6"/>
  <c r="M105" i="6"/>
  <c r="I105" i="6"/>
  <c r="E105" i="6"/>
  <c r="A105" i="6"/>
  <c r="J104" i="6"/>
  <c r="F104" i="6"/>
  <c r="B104" i="6"/>
  <c r="K103" i="6"/>
  <c r="G103" i="6"/>
  <c r="C103" i="6"/>
  <c r="L102" i="6"/>
  <c r="H102" i="6"/>
  <c r="D102" i="6"/>
  <c r="M101" i="6"/>
  <c r="I101" i="6"/>
  <c r="E101" i="6"/>
  <c r="A101" i="6"/>
  <c r="J100" i="6"/>
  <c r="F100" i="6"/>
  <c r="B100" i="6"/>
  <c r="K99" i="6"/>
  <c r="G99" i="6"/>
  <c r="C99" i="6"/>
  <c r="L98" i="6"/>
  <c r="H98" i="6"/>
  <c r="D98" i="6"/>
  <c r="M97" i="6"/>
  <c r="I97" i="6"/>
  <c r="E97" i="6"/>
  <c r="A97" i="6"/>
  <c r="J96" i="6"/>
  <c r="F96" i="6"/>
  <c r="B96" i="6"/>
  <c r="K95" i="6"/>
  <c r="G95" i="6"/>
  <c r="C95" i="6"/>
  <c r="L94" i="6"/>
  <c r="H94" i="6"/>
  <c r="D94" i="6"/>
  <c r="M93" i="6"/>
  <c r="I93" i="6"/>
  <c r="E93" i="6"/>
  <c r="A93" i="6"/>
  <c r="J92" i="6"/>
  <c r="F92" i="6"/>
  <c r="B92" i="6"/>
  <c r="K91" i="6"/>
  <c r="G91" i="6"/>
  <c r="C91" i="6"/>
  <c r="L90" i="6"/>
  <c r="H90" i="6"/>
  <c r="D90" i="6"/>
  <c r="M89" i="6"/>
  <c r="I89" i="6"/>
  <c r="E89" i="6"/>
  <c r="A89" i="6"/>
  <c r="J88" i="6"/>
  <c r="F88" i="6"/>
  <c r="B88" i="6"/>
  <c r="K87" i="6"/>
  <c r="G87" i="6"/>
  <c r="C87" i="6"/>
  <c r="L86" i="6"/>
  <c r="H86" i="6"/>
  <c r="D86" i="6"/>
  <c r="M85" i="6"/>
  <c r="I85" i="6"/>
  <c r="E85" i="6"/>
  <c r="A85" i="6"/>
  <c r="J84" i="6"/>
  <c r="F84" i="6"/>
  <c r="B84" i="6"/>
  <c r="K83" i="6"/>
  <c r="G83" i="6"/>
  <c r="C83" i="6"/>
  <c r="L82" i="6"/>
  <c r="H82" i="6"/>
  <c r="D82" i="6"/>
  <c r="M81" i="6"/>
  <c r="I81" i="6"/>
  <c r="E81" i="6"/>
  <c r="A81" i="6"/>
  <c r="J80" i="6"/>
  <c r="F80" i="6"/>
  <c r="B80" i="6"/>
  <c r="K79" i="6"/>
  <c r="G79" i="6"/>
  <c r="C79" i="6"/>
  <c r="L78" i="6"/>
  <c r="H78" i="6"/>
  <c r="D78" i="6"/>
  <c r="M77" i="6"/>
  <c r="I77" i="6"/>
  <c r="E77" i="6"/>
  <c r="A77" i="6"/>
  <c r="J76" i="6"/>
  <c r="F76" i="6"/>
  <c r="B76" i="6"/>
  <c r="K75" i="6"/>
  <c r="G75" i="6"/>
  <c r="C75" i="6"/>
  <c r="L74" i="6"/>
  <c r="H74" i="6"/>
  <c r="D74" i="6"/>
  <c r="M73" i="6"/>
  <c r="I73" i="6"/>
  <c r="E73" i="6"/>
  <c r="A73" i="6"/>
  <c r="J72" i="6"/>
  <c r="F72" i="6"/>
  <c r="B72" i="6"/>
  <c r="K71" i="6"/>
  <c r="G71" i="6"/>
  <c r="C71" i="6"/>
  <c r="L70" i="6"/>
  <c r="H70" i="6"/>
  <c r="D70" i="6"/>
  <c r="M69" i="6"/>
  <c r="I69" i="6"/>
  <c r="E69" i="6"/>
  <c r="A69" i="6"/>
  <c r="J68" i="6"/>
  <c r="F68" i="6"/>
  <c r="B68" i="6"/>
  <c r="K67" i="6"/>
  <c r="G67" i="6"/>
  <c r="C67" i="6"/>
  <c r="L66" i="6"/>
  <c r="H66" i="6"/>
  <c r="D66" i="6"/>
  <c r="M65" i="6"/>
  <c r="I65" i="6"/>
  <c r="E65" i="6"/>
  <c r="A65" i="6"/>
  <c r="J64" i="6"/>
  <c r="F64" i="6"/>
  <c r="B64" i="6"/>
  <c r="K63" i="6"/>
  <c r="G63" i="6"/>
  <c r="C63" i="6"/>
  <c r="L62" i="6"/>
  <c r="H62" i="6"/>
  <c r="D62" i="6"/>
  <c r="M61" i="6"/>
  <c r="I61" i="6"/>
  <c r="E61" i="6"/>
  <c r="A61" i="6"/>
  <c r="J60" i="6"/>
  <c r="F60" i="6"/>
  <c r="B60" i="6"/>
  <c r="K59" i="6"/>
  <c r="G59" i="6"/>
  <c r="C59" i="6"/>
  <c r="L58" i="6"/>
  <c r="H58" i="6"/>
  <c r="D58" i="6"/>
  <c r="M57" i="6"/>
  <c r="I57" i="6"/>
  <c r="E57" i="6"/>
  <c r="A57" i="6"/>
  <c r="J56" i="6"/>
  <c r="F56" i="6"/>
  <c r="B56" i="6"/>
  <c r="K55" i="6"/>
  <c r="G55" i="6"/>
  <c r="C55" i="6"/>
  <c r="L54" i="6"/>
  <c r="H54" i="6"/>
  <c r="D54" i="6"/>
  <c r="M53" i="6"/>
  <c r="I53" i="6"/>
  <c r="E53" i="6"/>
  <c r="A53" i="6"/>
  <c r="J52" i="6"/>
  <c r="F52" i="6"/>
  <c r="B52" i="6"/>
  <c r="K51" i="6"/>
  <c r="G51" i="6"/>
  <c r="C51" i="6"/>
  <c r="L50" i="6"/>
  <c r="H50" i="6"/>
  <c r="D50" i="6"/>
  <c r="M49" i="6"/>
  <c r="I49" i="6"/>
  <c r="E49" i="6"/>
  <c r="A49" i="6"/>
  <c r="J48" i="6"/>
  <c r="F48" i="6"/>
  <c r="B48" i="6"/>
  <c r="K47" i="6"/>
  <c r="G47" i="6"/>
  <c r="C47" i="6"/>
  <c r="L46" i="6"/>
  <c r="H46" i="6"/>
  <c r="D46" i="6"/>
  <c r="M45" i="6"/>
  <c r="I45" i="6"/>
  <c r="E45" i="6"/>
  <c r="A45" i="6"/>
  <c r="J44" i="6"/>
  <c r="F44" i="6"/>
  <c r="B44" i="6"/>
  <c r="K43" i="6"/>
  <c r="G43" i="6"/>
  <c r="C43" i="6"/>
  <c r="L42" i="6"/>
  <c r="H42" i="6"/>
  <c r="D42" i="6"/>
  <c r="M41" i="6"/>
  <c r="I41" i="6"/>
  <c r="E41" i="6"/>
  <c r="A41" i="6"/>
  <c r="J40" i="6"/>
  <c r="F40" i="6"/>
  <c r="B40" i="6"/>
  <c r="K39" i="6"/>
  <c r="G39" i="6"/>
  <c r="C39" i="6"/>
  <c r="L38" i="6"/>
  <c r="H38" i="6"/>
  <c r="D38" i="6"/>
  <c r="M37" i="6"/>
  <c r="I37" i="6"/>
  <c r="E37" i="6"/>
  <c r="A37" i="6"/>
  <c r="J36" i="6"/>
  <c r="F36" i="6"/>
  <c r="B36" i="6"/>
  <c r="K35" i="6"/>
  <c r="G35" i="6"/>
  <c r="C35" i="6"/>
  <c r="L34" i="6"/>
  <c r="H34" i="6"/>
  <c r="D34" i="6"/>
  <c r="M33" i="6"/>
  <c r="I33" i="6"/>
  <c r="E33" i="6"/>
  <c r="A33" i="6"/>
  <c r="J32" i="6"/>
  <c r="F32" i="6"/>
  <c r="B32" i="6"/>
  <c r="K31" i="6"/>
  <c r="G31" i="6"/>
  <c r="C31" i="6"/>
  <c r="L30" i="6"/>
  <c r="H30" i="6"/>
  <c r="D30" i="6"/>
  <c r="M29" i="6"/>
  <c r="I29" i="6"/>
  <c r="E29" i="6"/>
  <c r="A29" i="6"/>
  <c r="J28" i="6"/>
  <c r="F28" i="6"/>
  <c r="B28" i="6"/>
  <c r="K27" i="6"/>
  <c r="G27" i="6"/>
  <c r="C27" i="6"/>
  <c r="L26" i="6"/>
  <c r="H26" i="6"/>
  <c r="D26" i="6"/>
  <c r="M25" i="6"/>
  <c r="I25" i="6"/>
  <c r="E25" i="6"/>
  <c r="A25" i="6"/>
  <c r="J24" i="6"/>
  <c r="F24" i="6"/>
  <c r="B24" i="6"/>
  <c r="K23" i="6"/>
  <c r="G23" i="6"/>
  <c r="C23" i="6"/>
  <c r="L22" i="6"/>
  <c r="H22" i="6"/>
  <c r="D22" i="6"/>
  <c r="M21" i="6"/>
  <c r="I21" i="6"/>
  <c r="E21" i="6"/>
  <c r="A21" i="6"/>
  <c r="J20" i="6"/>
  <c r="F20" i="6"/>
  <c r="B20" i="6"/>
  <c r="K19" i="6"/>
  <c r="G19" i="6"/>
  <c r="C19" i="6"/>
  <c r="L18" i="6"/>
  <c r="H18" i="6"/>
  <c r="D18" i="6"/>
  <c r="M17" i="6"/>
  <c r="I17" i="6"/>
  <c r="E17" i="6"/>
  <c r="A17" i="6"/>
  <c r="J16" i="6"/>
  <c r="F16" i="6"/>
  <c r="B16" i="6"/>
  <c r="K15" i="6"/>
  <c r="G15" i="6"/>
  <c r="C15" i="6"/>
  <c r="L14" i="6"/>
  <c r="H14" i="6"/>
  <c r="D14" i="6"/>
  <c r="M13" i="6"/>
  <c r="I13" i="6"/>
  <c r="E13" i="6"/>
  <c r="A13" i="6"/>
  <c r="J12" i="6"/>
  <c r="F12" i="6"/>
  <c r="B12" i="6"/>
  <c r="K11" i="6"/>
  <c r="G11" i="6"/>
  <c r="C11" i="6"/>
  <c r="L10" i="6"/>
  <c r="H10" i="6"/>
  <c r="D10" i="6"/>
  <c r="M9" i="6"/>
  <c r="I9" i="6"/>
  <c r="E9" i="6"/>
  <c r="A9" i="6"/>
  <c r="J8" i="6"/>
  <c r="F8" i="6"/>
  <c r="B8" i="6"/>
  <c r="K7" i="6"/>
  <c r="G7" i="6"/>
  <c r="C7" i="6"/>
  <c r="L6" i="6"/>
  <c r="H6" i="6"/>
  <c r="D6" i="6"/>
  <c r="M5" i="6"/>
  <c r="I5" i="6"/>
  <c r="E5" i="6"/>
  <c r="A5" i="6"/>
  <c r="J4" i="6"/>
  <c r="F4" i="6"/>
  <c r="B4" i="6"/>
  <c r="K3" i="6"/>
  <c r="G3" i="6"/>
  <c r="C3" i="6"/>
  <c r="L2" i="6"/>
  <c r="H2" i="6"/>
  <c r="D2" i="6"/>
  <c r="M1" i="6"/>
  <c r="I1" i="6"/>
  <c r="E1" i="6"/>
  <c r="A1" i="6"/>
  <c r="C113" i="5"/>
  <c r="B112" i="5"/>
  <c r="A111" i="5"/>
  <c r="C109" i="5"/>
  <c r="B108" i="5"/>
  <c r="A107" i="5"/>
  <c r="C105" i="5"/>
  <c r="B104" i="5"/>
  <c r="A103" i="5"/>
  <c r="C101" i="5"/>
  <c r="B100" i="5"/>
  <c r="A99" i="5"/>
  <c r="C97" i="5"/>
  <c r="B96" i="5"/>
  <c r="A95" i="5"/>
  <c r="C93" i="5"/>
  <c r="B92" i="5"/>
  <c r="A91" i="5"/>
  <c r="C89" i="5"/>
  <c r="B88" i="5"/>
  <c r="A87" i="5"/>
  <c r="C85" i="5"/>
  <c r="B84" i="5"/>
  <c r="A83" i="5"/>
  <c r="C81" i="5"/>
  <c r="B80" i="5"/>
  <c r="A79" i="5"/>
  <c r="C77" i="5"/>
  <c r="B76" i="5"/>
  <c r="A75" i="5"/>
  <c r="C73" i="5"/>
  <c r="B72" i="5"/>
  <c r="A71" i="5"/>
  <c r="C69" i="5"/>
  <c r="B68" i="5"/>
  <c r="A67" i="5"/>
  <c r="C65" i="5"/>
  <c r="B64" i="5"/>
  <c r="A63" i="5"/>
  <c r="C61" i="5"/>
  <c r="B60" i="5"/>
  <c r="A59" i="5"/>
  <c r="C57" i="5"/>
  <c r="B56" i="5"/>
  <c r="A55" i="5"/>
  <c r="C53" i="5"/>
  <c r="B52" i="5"/>
  <c r="A51" i="5"/>
  <c r="C49" i="5"/>
  <c r="B48" i="5"/>
  <c r="A47" i="5"/>
  <c r="C45" i="5"/>
  <c r="B44" i="5"/>
  <c r="A43" i="5"/>
  <c r="C41" i="5"/>
  <c r="B40" i="5"/>
  <c r="A39" i="5"/>
  <c r="C37" i="5"/>
  <c r="B36" i="5"/>
  <c r="A35" i="5"/>
  <c r="C33" i="5"/>
  <c r="B32" i="5"/>
  <c r="A31" i="5"/>
  <c r="C29" i="5"/>
  <c r="B28" i="5"/>
  <c r="A27" i="5"/>
  <c r="C25" i="5"/>
  <c r="B24" i="5"/>
  <c r="A23" i="5"/>
  <c r="C21" i="5"/>
  <c r="B20" i="5"/>
  <c r="A19" i="5"/>
  <c r="C17" i="5"/>
  <c r="B16" i="5"/>
  <c r="A15" i="5"/>
  <c r="C13" i="5"/>
  <c r="B12" i="5"/>
  <c r="A11" i="5"/>
  <c r="C9" i="5"/>
  <c r="B8" i="5"/>
  <c r="A7" i="5"/>
  <c r="C5" i="5"/>
  <c r="B4" i="5"/>
  <c r="A3" i="5"/>
  <c r="C1" i="5"/>
  <c r="E128" i="6"/>
  <c r="A128" i="6"/>
  <c r="J127" i="6"/>
  <c r="F127" i="6"/>
  <c r="B127" i="6"/>
  <c r="K126" i="6"/>
  <c r="G126" i="6"/>
  <c r="C126" i="6"/>
  <c r="L125" i="6"/>
  <c r="H125" i="6"/>
  <c r="D125" i="6"/>
  <c r="M124" i="6"/>
  <c r="I124" i="6"/>
  <c r="E124" i="6"/>
  <c r="A124" i="6"/>
  <c r="J123" i="6"/>
  <c r="F123" i="6"/>
  <c r="B123" i="6"/>
  <c r="K122" i="6"/>
  <c r="G122" i="6"/>
  <c r="C122" i="6"/>
  <c r="L121" i="6"/>
  <c r="H121" i="6"/>
  <c r="D121" i="6"/>
  <c r="M120" i="6"/>
  <c r="I120" i="6"/>
  <c r="E120" i="6"/>
  <c r="A120" i="6"/>
  <c r="J119" i="6"/>
  <c r="F119" i="6"/>
  <c r="B119" i="6"/>
  <c r="K118" i="6"/>
  <c r="G118" i="6"/>
  <c r="C118" i="6"/>
  <c r="L117" i="6"/>
  <c r="H117" i="6"/>
  <c r="D117" i="6"/>
  <c r="M116" i="6"/>
  <c r="I116" i="6"/>
  <c r="E116" i="6"/>
  <c r="A116" i="6"/>
  <c r="J115" i="6"/>
  <c r="F115" i="6"/>
  <c r="B115" i="6"/>
  <c r="K114" i="6"/>
  <c r="G114" i="6"/>
  <c r="C114" i="6"/>
  <c r="L113" i="6"/>
  <c r="H113" i="6"/>
  <c r="D113" i="6"/>
  <c r="M112" i="6"/>
  <c r="I112" i="6"/>
  <c r="E112" i="6"/>
  <c r="A112" i="6"/>
  <c r="J111" i="6"/>
  <c r="F111" i="6"/>
  <c r="B111" i="6"/>
  <c r="K110" i="6"/>
  <c r="G110" i="6"/>
  <c r="C110" i="6"/>
  <c r="L109" i="6"/>
  <c r="H109" i="6"/>
  <c r="D109" i="6"/>
  <c r="M108" i="6"/>
  <c r="I108" i="6"/>
  <c r="E108" i="6"/>
  <c r="A108" i="6"/>
  <c r="J107" i="6"/>
  <c r="F107" i="6"/>
  <c r="B107" i="6"/>
  <c r="K106" i="6"/>
  <c r="G106" i="6"/>
  <c r="C106" i="6"/>
  <c r="L105" i="6"/>
  <c r="H105" i="6"/>
  <c r="D105" i="6"/>
  <c r="M104" i="6"/>
  <c r="I104" i="6"/>
  <c r="E104" i="6"/>
  <c r="A104" i="6"/>
  <c r="J103" i="6"/>
  <c r="F103" i="6"/>
  <c r="B103" i="6"/>
  <c r="K102" i="6"/>
  <c r="G102" i="6"/>
  <c r="C102" i="6"/>
  <c r="L101" i="6"/>
  <c r="H101" i="6"/>
  <c r="D101" i="6"/>
  <c r="M100" i="6"/>
  <c r="I100" i="6"/>
  <c r="E100" i="6"/>
  <c r="A100" i="6"/>
  <c r="J99" i="6"/>
  <c r="F99" i="6"/>
  <c r="B99" i="6"/>
  <c r="K98" i="6"/>
  <c r="G98" i="6"/>
  <c r="C98" i="6"/>
  <c r="L97" i="6"/>
  <c r="H97" i="6"/>
  <c r="D97" i="6"/>
  <c r="M96" i="6"/>
  <c r="I96" i="6"/>
  <c r="E96" i="6"/>
  <c r="A96" i="6"/>
  <c r="J95" i="6"/>
  <c r="F95" i="6"/>
  <c r="B95" i="6"/>
  <c r="K94" i="6"/>
  <c r="G94" i="6"/>
  <c r="C94" i="6"/>
  <c r="L93" i="6"/>
  <c r="H93" i="6"/>
  <c r="D93" i="6"/>
  <c r="M92" i="6"/>
  <c r="I92" i="6"/>
  <c r="E92" i="6"/>
  <c r="A92" i="6"/>
  <c r="J91" i="6"/>
  <c r="F91" i="6"/>
  <c r="B91" i="6"/>
  <c r="K90" i="6"/>
  <c r="G90" i="6"/>
  <c r="C90" i="6"/>
  <c r="L89" i="6"/>
  <c r="H89" i="6"/>
  <c r="D89" i="6"/>
  <c r="M88" i="6"/>
  <c r="I88" i="6"/>
  <c r="E88" i="6"/>
  <c r="A88" i="6"/>
  <c r="J87" i="6"/>
  <c r="F87" i="6"/>
  <c r="B87" i="6"/>
  <c r="K86" i="6"/>
  <c r="G86" i="6"/>
  <c r="C86" i="6"/>
  <c r="L85" i="6"/>
  <c r="H85" i="6"/>
  <c r="D85" i="6"/>
  <c r="M84" i="6"/>
  <c r="I84" i="6"/>
  <c r="E84" i="6"/>
  <c r="A84" i="6"/>
  <c r="J83" i="6"/>
  <c r="F83" i="6"/>
  <c r="B83" i="6"/>
  <c r="K82" i="6"/>
  <c r="G82" i="6"/>
  <c r="C82" i="6"/>
  <c r="L81" i="6"/>
  <c r="H81" i="6"/>
  <c r="D81" i="6"/>
  <c r="M80" i="6"/>
  <c r="I80" i="6"/>
  <c r="E80" i="6"/>
  <c r="A80" i="6"/>
  <c r="J79" i="6"/>
  <c r="F79" i="6"/>
  <c r="B79" i="6"/>
  <c r="K78" i="6"/>
  <c r="G78" i="6"/>
  <c r="C78" i="6"/>
  <c r="L77" i="6"/>
  <c r="H77" i="6"/>
  <c r="D77" i="6"/>
  <c r="M76" i="6"/>
  <c r="I76" i="6"/>
  <c r="E76" i="6"/>
  <c r="A76" i="6"/>
  <c r="J75" i="6"/>
  <c r="F75" i="6"/>
  <c r="B75" i="6"/>
  <c r="K74" i="6"/>
  <c r="G74" i="6"/>
  <c r="C74" i="6"/>
  <c r="L73" i="6"/>
  <c r="H73" i="6"/>
  <c r="D73" i="6"/>
  <c r="M72" i="6"/>
  <c r="I72" i="6"/>
  <c r="E72" i="6"/>
  <c r="A72" i="6"/>
  <c r="J71" i="6"/>
  <c r="F71" i="6"/>
  <c r="B71" i="6"/>
  <c r="K70" i="6"/>
  <c r="G70" i="6"/>
  <c r="C70" i="6"/>
  <c r="L69" i="6"/>
  <c r="H69" i="6"/>
  <c r="D69" i="6"/>
  <c r="M68" i="6"/>
  <c r="I68" i="6"/>
  <c r="E68" i="6"/>
  <c r="A68" i="6"/>
  <c r="J67" i="6"/>
  <c r="F67" i="6"/>
  <c r="B67" i="6"/>
  <c r="K66" i="6"/>
  <c r="G66" i="6"/>
  <c r="C66" i="6"/>
  <c r="L65" i="6"/>
  <c r="H65" i="6"/>
  <c r="D65" i="6"/>
  <c r="M64" i="6"/>
  <c r="I64" i="6"/>
  <c r="E64" i="6"/>
  <c r="A64" i="6"/>
  <c r="J63" i="6"/>
  <c r="F63" i="6"/>
  <c r="B63" i="6"/>
  <c r="K62" i="6"/>
  <c r="G62" i="6"/>
  <c r="C62" i="6"/>
  <c r="L61" i="6"/>
  <c r="H61" i="6"/>
  <c r="D61" i="6"/>
  <c r="M60" i="6"/>
  <c r="I60" i="6"/>
  <c r="E60" i="6"/>
  <c r="A60" i="6"/>
  <c r="J59" i="6"/>
  <c r="F59" i="6"/>
  <c r="B59" i="6"/>
  <c r="K58" i="6"/>
  <c r="G58" i="6"/>
  <c r="C58" i="6"/>
  <c r="L57" i="6"/>
  <c r="H57" i="6"/>
  <c r="D57" i="6"/>
  <c r="M56" i="6"/>
  <c r="I56" i="6"/>
  <c r="E56" i="6"/>
  <c r="A56" i="6"/>
  <c r="J55" i="6"/>
  <c r="F55" i="6"/>
  <c r="B55" i="6"/>
  <c r="K54" i="6"/>
  <c r="G54" i="6"/>
  <c r="C54" i="6"/>
  <c r="L53" i="6"/>
  <c r="H53" i="6"/>
  <c r="D53" i="6"/>
  <c r="M52" i="6"/>
  <c r="I52" i="6"/>
  <c r="E52" i="6"/>
  <c r="A52" i="6"/>
  <c r="J51" i="6"/>
  <c r="F51" i="6"/>
  <c r="B51" i="6"/>
  <c r="K50" i="6"/>
  <c r="G50" i="6"/>
  <c r="C50" i="6"/>
  <c r="L49" i="6"/>
  <c r="H49" i="6"/>
  <c r="D49" i="6"/>
  <c r="M48" i="6"/>
  <c r="I48" i="6"/>
  <c r="E48" i="6"/>
  <c r="A48" i="6"/>
  <c r="J47" i="6"/>
  <c r="F47" i="6"/>
  <c r="B47" i="6"/>
  <c r="K46" i="6"/>
  <c r="G46" i="6"/>
  <c r="C46" i="6"/>
  <c r="L45" i="6"/>
  <c r="H45" i="6"/>
  <c r="D45" i="6"/>
  <c r="M44" i="6"/>
  <c r="I44" i="6"/>
  <c r="E44" i="6"/>
  <c r="A44" i="6"/>
  <c r="J43" i="6"/>
  <c r="F43" i="6"/>
  <c r="B43" i="6"/>
  <c r="K42" i="6"/>
  <c r="G42" i="6"/>
  <c r="C42" i="6"/>
  <c r="L41" i="6"/>
  <c r="H41" i="6"/>
  <c r="D41" i="6"/>
  <c r="M40" i="6"/>
  <c r="I40" i="6"/>
  <c r="E40" i="6"/>
  <c r="A40" i="6"/>
  <c r="J39" i="6"/>
  <c r="F39" i="6"/>
  <c r="B39" i="6"/>
  <c r="K38" i="6"/>
  <c r="G38" i="6"/>
  <c r="C38" i="6"/>
  <c r="L37" i="6"/>
  <c r="H37" i="6"/>
  <c r="D37" i="6"/>
  <c r="M36" i="6"/>
  <c r="I36" i="6"/>
  <c r="E36" i="6"/>
  <c r="A36" i="6"/>
  <c r="J35" i="6"/>
  <c r="F35" i="6"/>
  <c r="B35" i="6"/>
  <c r="K34" i="6"/>
  <c r="G34" i="6"/>
  <c r="C34" i="6"/>
  <c r="L33" i="6"/>
  <c r="H33" i="6"/>
  <c r="D33" i="6"/>
  <c r="M32" i="6"/>
  <c r="I32" i="6"/>
  <c r="E32" i="6"/>
  <c r="A32" i="6"/>
  <c r="J31" i="6"/>
  <c r="F31" i="6"/>
  <c r="B31" i="6"/>
  <c r="K30" i="6"/>
  <c r="G30" i="6"/>
  <c r="C30" i="6"/>
  <c r="L29" i="6"/>
  <c r="H29" i="6"/>
  <c r="D29" i="6"/>
  <c r="M28" i="6"/>
  <c r="I28" i="6"/>
  <c r="E28" i="6"/>
  <c r="A28" i="6"/>
  <c r="J27" i="6"/>
  <c r="F27" i="6"/>
  <c r="B27" i="6"/>
  <c r="K26" i="6"/>
  <c r="G26" i="6"/>
  <c r="C26" i="6"/>
  <c r="L25" i="6"/>
  <c r="H25" i="6"/>
  <c r="D25" i="6"/>
  <c r="M24" i="6"/>
  <c r="I24" i="6"/>
  <c r="E24" i="6"/>
  <c r="A24" i="6"/>
  <c r="J23" i="6"/>
  <c r="F23" i="6"/>
  <c r="B23" i="6"/>
  <c r="K22" i="6"/>
  <c r="G22" i="6"/>
  <c r="C22" i="6"/>
  <c r="L21" i="6"/>
  <c r="H21" i="6"/>
  <c r="D21" i="6"/>
  <c r="M20" i="6"/>
  <c r="I20" i="6"/>
  <c r="E20" i="6"/>
  <c r="A20" i="6"/>
  <c r="J19" i="6"/>
  <c r="F19" i="6"/>
  <c r="B19" i="6"/>
  <c r="K18" i="6"/>
  <c r="G18" i="6"/>
  <c r="C18" i="6"/>
  <c r="L17" i="6"/>
  <c r="H17" i="6"/>
  <c r="D17" i="6"/>
  <c r="M16" i="6"/>
  <c r="I16" i="6"/>
  <c r="E16" i="6"/>
  <c r="A16" i="6"/>
  <c r="J15" i="6"/>
  <c r="F15" i="6"/>
  <c r="B15" i="6"/>
  <c r="K14" i="6"/>
  <c r="G14" i="6"/>
  <c r="C14" i="6"/>
  <c r="L13" i="6"/>
  <c r="H13" i="6"/>
  <c r="D13" i="6"/>
  <c r="M12" i="6"/>
  <c r="I12" i="6"/>
  <c r="E12" i="6"/>
  <c r="A12" i="6"/>
  <c r="J11" i="6"/>
  <c r="F11" i="6"/>
  <c r="B11" i="6"/>
  <c r="K10" i="6"/>
  <c r="G10" i="6"/>
  <c r="C10" i="6"/>
  <c r="L9" i="6"/>
  <c r="H9" i="6"/>
  <c r="D9" i="6"/>
  <c r="M8" i="6"/>
  <c r="I8" i="6"/>
  <c r="E8" i="6"/>
  <c r="A8" i="6"/>
  <c r="J7" i="6"/>
  <c r="F7" i="6"/>
  <c r="B7" i="6"/>
  <c r="K6" i="6"/>
  <c r="G6" i="6"/>
  <c r="C6" i="6"/>
  <c r="L5" i="6"/>
  <c r="H5" i="6"/>
  <c r="D5" i="6"/>
  <c r="M4" i="6"/>
  <c r="I4" i="6"/>
  <c r="E4" i="6"/>
  <c r="A4" i="6"/>
  <c r="J3" i="6"/>
  <c r="F3" i="6"/>
  <c r="B3" i="6"/>
  <c r="K2" i="6"/>
  <c r="G2" i="6"/>
  <c r="C2" i="6"/>
  <c r="L1" i="6"/>
  <c r="H1" i="6"/>
  <c r="D1" i="6"/>
  <c r="C114" i="5"/>
  <c r="B113" i="5"/>
  <c r="A112" i="5"/>
  <c r="C110" i="5"/>
  <c r="B109" i="5"/>
  <c r="A108" i="5"/>
  <c r="C106" i="5"/>
  <c r="B105" i="5"/>
  <c r="A104" i="5"/>
  <c r="C102" i="5"/>
  <c r="B101" i="5"/>
  <c r="A100" i="5"/>
  <c r="C98" i="5"/>
  <c r="B97" i="5"/>
  <c r="A96" i="5"/>
  <c r="C94" i="5"/>
  <c r="B93" i="5"/>
  <c r="A92" i="5"/>
  <c r="C90" i="5"/>
  <c r="B89" i="5"/>
  <c r="A88" i="5"/>
  <c r="C86" i="5"/>
  <c r="B85" i="5"/>
  <c r="A84" i="5"/>
  <c r="C82" i="5"/>
  <c r="B81" i="5"/>
  <c r="A80" i="5"/>
  <c r="C78" i="5"/>
  <c r="B77" i="5"/>
  <c r="A76" i="5"/>
  <c r="C74" i="5"/>
  <c r="B73" i="5"/>
  <c r="A72" i="5"/>
  <c r="C70" i="5"/>
  <c r="B69" i="5"/>
  <c r="A68" i="5"/>
  <c r="C66" i="5"/>
  <c r="B65" i="5"/>
  <c r="A64" i="5"/>
  <c r="C62" i="5"/>
  <c r="B61" i="5"/>
  <c r="A60" i="5"/>
  <c r="C58" i="5"/>
  <c r="B57" i="5"/>
  <c r="A56" i="5"/>
  <c r="C54" i="5"/>
  <c r="B53" i="5"/>
  <c r="A52" i="5"/>
  <c r="C50" i="5"/>
  <c r="B49" i="5"/>
  <c r="A48" i="5"/>
  <c r="C46" i="5"/>
  <c r="B45" i="5"/>
  <c r="A44" i="5"/>
  <c r="C42" i="5"/>
  <c r="B41" i="5"/>
  <c r="A40" i="5"/>
  <c r="C38" i="5"/>
  <c r="B37" i="5"/>
  <c r="A36" i="5"/>
  <c r="C34" i="5"/>
  <c r="B33" i="5"/>
  <c r="A32" i="5"/>
  <c r="C30" i="5"/>
  <c r="B29" i="5"/>
  <c r="A28" i="5"/>
  <c r="C26" i="5"/>
  <c r="B25" i="5"/>
  <c r="A24" i="5"/>
  <c r="C22" i="5"/>
  <c r="B21" i="5"/>
  <c r="A20" i="5"/>
  <c r="C18" i="5"/>
  <c r="B17" i="5"/>
  <c r="A16" i="5"/>
  <c r="C14" i="5"/>
  <c r="B13" i="5"/>
  <c r="A12" i="5"/>
  <c r="C10" i="5"/>
  <c r="B9" i="5"/>
  <c r="A8" i="5"/>
  <c r="C6" i="5"/>
  <c r="B5" i="5"/>
  <c r="A4" i="5"/>
  <c r="C2" i="5"/>
  <c r="B1" i="5"/>
  <c r="D128" i="6"/>
  <c r="M127" i="6"/>
  <c r="I127" i="6"/>
  <c r="E127" i="6"/>
  <c r="A127" i="6"/>
  <c r="J126" i="6"/>
  <c r="F126" i="6"/>
  <c r="B126" i="6"/>
  <c r="K125" i="6"/>
  <c r="G125" i="6"/>
  <c r="C125" i="6"/>
  <c r="L124" i="6"/>
  <c r="H124" i="6"/>
  <c r="D124" i="6"/>
  <c r="M123" i="6"/>
  <c r="I123" i="6"/>
  <c r="E123" i="6"/>
  <c r="A123" i="6"/>
  <c r="J122" i="6"/>
  <c r="F122" i="6"/>
  <c r="B122" i="6"/>
  <c r="K121" i="6"/>
  <c r="G121" i="6"/>
  <c r="C121" i="6"/>
  <c r="L120" i="6"/>
  <c r="H120" i="6"/>
  <c r="D120" i="6"/>
  <c r="M119" i="6"/>
  <c r="I119" i="6"/>
  <c r="E119" i="6"/>
  <c r="A119" i="6"/>
  <c r="J118" i="6"/>
  <c r="F118" i="6"/>
  <c r="B118" i="6"/>
  <c r="K117" i="6"/>
  <c r="G117" i="6"/>
  <c r="C117" i="6"/>
  <c r="L116" i="6"/>
  <c r="H116" i="6"/>
  <c r="D116" i="6"/>
  <c r="M115" i="6"/>
  <c r="I115" i="6"/>
  <c r="E115" i="6"/>
  <c r="A115" i="6"/>
  <c r="J114" i="6"/>
  <c r="F114" i="6"/>
  <c r="B114" i="6"/>
  <c r="K113" i="6"/>
  <c r="G113" i="6"/>
  <c r="C113" i="6"/>
  <c r="L112" i="6"/>
  <c r="H112" i="6"/>
  <c r="D112" i="6"/>
  <c r="M111" i="6"/>
  <c r="I111" i="6"/>
  <c r="E111" i="6"/>
  <c r="A111" i="6"/>
  <c r="J110" i="6"/>
  <c r="F110" i="6"/>
  <c r="B110" i="6"/>
  <c r="K109" i="6"/>
  <c r="G109" i="6"/>
  <c r="C109" i="6"/>
  <c r="L108" i="6"/>
  <c r="H108" i="6"/>
  <c r="D108" i="6"/>
  <c r="M107" i="6"/>
  <c r="I107" i="6"/>
  <c r="E107" i="6"/>
  <c r="A107" i="6"/>
  <c r="J106" i="6"/>
  <c r="F106" i="6"/>
  <c r="B106" i="6"/>
  <c r="K105" i="6"/>
  <c r="G105" i="6"/>
  <c r="C105" i="6"/>
  <c r="L104" i="6"/>
  <c r="H104" i="6"/>
  <c r="D104" i="6"/>
  <c r="M103" i="6"/>
  <c r="I103" i="6"/>
  <c r="E103" i="6"/>
  <c r="A103" i="6"/>
  <c r="J102" i="6"/>
  <c r="F102" i="6"/>
  <c r="B102" i="6"/>
  <c r="K101" i="6"/>
  <c r="G101" i="6"/>
  <c r="C101" i="6"/>
  <c r="L100" i="6"/>
  <c r="H100" i="6"/>
  <c r="D100" i="6"/>
  <c r="M99" i="6"/>
  <c r="I99" i="6"/>
  <c r="E99" i="6"/>
  <c r="A99" i="6"/>
  <c r="J98" i="6"/>
  <c r="F98" i="6"/>
  <c r="B98" i="6"/>
  <c r="K97" i="6"/>
  <c r="G97" i="6"/>
  <c r="C97" i="6"/>
  <c r="L96" i="6"/>
  <c r="H96" i="6"/>
  <c r="D96" i="6"/>
  <c r="M95" i="6"/>
  <c r="I95" i="6"/>
  <c r="E95" i="6"/>
  <c r="A95" i="6"/>
  <c r="J94" i="6"/>
  <c r="F94" i="6"/>
  <c r="B94" i="6"/>
  <c r="K93" i="6"/>
  <c r="G93" i="6"/>
  <c r="C93" i="6"/>
  <c r="L92" i="6"/>
  <c r="H92" i="6"/>
  <c r="D92" i="6"/>
  <c r="M91" i="6"/>
  <c r="I91" i="6"/>
  <c r="E91" i="6"/>
  <c r="A91" i="6"/>
  <c r="J90" i="6"/>
  <c r="F90" i="6"/>
  <c r="B90" i="6"/>
  <c r="K89" i="6"/>
  <c r="G89" i="6"/>
  <c r="C89" i="6"/>
  <c r="L88" i="6"/>
  <c r="H88" i="6"/>
  <c r="D88" i="6"/>
  <c r="M87" i="6"/>
  <c r="I87" i="6"/>
  <c r="E87" i="6"/>
  <c r="A87" i="6"/>
  <c r="J86" i="6"/>
  <c r="F86" i="6"/>
  <c r="B86" i="6"/>
  <c r="K85" i="6"/>
  <c r="G85" i="6"/>
  <c r="C85" i="6"/>
  <c r="L84" i="6"/>
  <c r="H84" i="6"/>
  <c r="D84" i="6"/>
  <c r="M83" i="6"/>
  <c r="I83" i="6"/>
  <c r="E83" i="6"/>
  <c r="A83" i="6"/>
  <c r="J82" i="6"/>
  <c r="F82" i="6"/>
  <c r="B82" i="6"/>
  <c r="K81" i="6"/>
  <c r="G81" i="6"/>
  <c r="C81" i="6"/>
  <c r="L80" i="6"/>
  <c r="H80" i="6"/>
  <c r="D80" i="6"/>
  <c r="M79" i="6"/>
  <c r="I79" i="6"/>
  <c r="E79" i="6"/>
  <c r="A79" i="6"/>
  <c r="J78" i="6"/>
  <c r="F78" i="6"/>
  <c r="B78" i="6"/>
  <c r="K77" i="6"/>
  <c r="G77" i="6"/>
  <c r="C77" i="6"/>
  <c r="L76" i="6"/>
  <c r="H76" i="6"/>
  <c r="D76" i="6"/>
  <c r="M75" i="6"/>
  <c r="I75" i="6"/>
  <c r="E75" i="6"/>
  <c r="A75" i="6"/>
  <c r="J74" i="6"/>
  <c r="F74" i="6"/>
  <c r="B74" i="6"/>
  <c r="K73" i="6"/>
  <c r="G73" i="6"/>
  <c r="C73" i="6"/>
  <c r="L72" i="6"/>
  <c r="H72" i="6"/>
  <c r="D72" i="6"/>
  <c r="M71" i="6"/>
  <c r="I71" i="6"/>
  <c r="E71" i="6"/>
  <c r="A71" i="6"/>
  <c r="J70" i="6"/>
  <c r="F70" i="6"/>
  <c r="B70" i="6"/>
  <c r="K69" i="6"/>
  <c r="G69" i="6"/>
  <c r="C69" i="6"/>
  <c r="L68" i="6"/>
  <c r="H68" i="6"/>
  <c r="D68" i="6"/>
  <c r="M67" i="6"/>
  <c r="I67" i="6"/>
  <c r="E67" i="6"/>
  <c r="A67" i="6"/>
  <c r="J66" i="6"/>
  <c r="F66" i="6"/>
  <c r="B66" i="6"/>
  <c r="K65" i="6"/>
  <c r="G65" i="6"/>
  <c r="C65" i="6"/>
  <c r="L64" i="6"/>
  <c r="H64" i="6"/>
  <c r="D64" i="6"/>
  <c r="M63" i="6"/>
  <c r="I63" i="6"/>
  <c r="E63" i="6"/>
  <c r="A63" i="6"/>
  <c r="J62" i="6"/>
  <c r="F62" i="6"/>
  <c r="B62" i="6"/>
  <c r="K61" i="6"/>
  <c r="G61" i="6"/>
  <c r="C61" i="6"/>
  <c r="L60" i="6"/>
  <c r="H60" i="6"/>
  <c r="D60" i="6"/>
  <c r="M59" i="6"/>
  <c r="I59" i="6"/>
  <c r="E59" i="6"/>
  <c r="A59" i="6"/>
  <c r="J58" i="6"/>
  <c r="F58" i="6"/>
  <c r="B58" i="6"/>
  <c r="K57" i="6"/>
  <c r="G57" i="6"/>
  <c r="C57" i="6"/>
  <c r="L56" i="6"/>
  <c r="H56" i="6"/>
  <c r="D56" i="6"/>
  <c r="M55" i="6"/>
  <c r="I55" i="6"/>
  <c r="E55" i="6"/>
  <c r="A55" i="6"/>
  <c r="J54" i="6"/>
  <c r="F54" i="6"/>
  <c r="B54" i="6"/>
  <c r="K53" i="6"/>
  <c r="G53" i="6"/>
  <c r="C53" i="6"/>
  <c r="L52" i="6"/>
  <c r="H52" i="6"/>
  <c r="D52" i="6"/>
  <c r="M51" i="6"/>
  <c r="I51" i="6"/>
  <c r="E51" i="6"/>
  <c r="A51" i="6"/>
  <c r="J50" i="6"/>
  <c r="F50" i="6"/>
  <c r="B50" i="6"/>
  <c r="K49" i="6"/>
  <c r="G49" i="6"/>
  <c r="C49" i="6"/>
  <c r="L48" i="6"/>
  <c r="H48" i="6"/>
  <c r="D48" i="6"/>
  <c r="M47" i="6"/>
  <c r="I47" i="6"/>
  <c r="E47" i="6"/>
  <c r="A47" i="6"/>
  <c r="J46" i="6"/>
  <c r="F46" i="6"/>
  <c r="B46" i="6"/>
  <c r="K45" i="6"/>
  <c r="G45" i="6"/>
  <c r="C45" i="6"/>
  <c r="L44" i="6"/>
  <c r="H44" i="6"/>
  <c r="D44" i="6"/>
  <c r="M43" i="6"/>
  <c r="I43" i="6"/>
  <c r="E43" i="6"/>
  <c r="A43" i="6"/>
  <c r="J42" i="6"/>
  <c r="F42" i="6"/>
  <c r="B42" i="6"/>
  <c r="K41" i="6"/>
  <c r="G41" i="6"/>
  <c r="C41" i="6"/>
  <c r="L40" i="6"/>
  <c r="H40" i="6"/>
  <c r="D40" i="6"/>
  <c r="M39" i="6"/>
  <c r="I39" i="6"/>
  <c r="E39" i="6"/>
  <c r="A39" i="6"/>
  <c r="J38" i="6"/>
  <c r="F38" i="6"/>
  <c r="B38" i="6"/>
  <c r="K37" i="6"/>
  <c r="G37" i="6"/>
  <c r="C37" i="6"/>
  <c r="L36" i="6"/>
  <c r="H36" i="6"/>
  <c r="D36" i="6"/>
  <c r="M35" i="6"/>
  <c r="I35" i="6"/>
  <c r="E35" i="6"/>
  <c r="A35" i="6"/>
  <c r="J34" i="6"/>
  <c r="F34" i="6"/>
  <c r="B34" i="6"/>
  <c r="K33" i="6"/>
  <c r="G33" i="6"/>
  <c r="C33" i="6"/>
  <c r="L32" i="6"/>
  <c r="H32" i="6"/>
  <c r="D32" i="6"/>
  <c r="M31" i="6"/>
  <c r="I31" i="6"/>
  <c r="E31" i="6"/>
  <c r="A31" i="6"/>
  <c r="J30" i="6"/>
  <c r="F30" i="6"/>
  <c r="B30" i="6"/>
  <c r="K29" i="6"/>
  <c r="G29" i="6"/>
  <c r="C29" i="6"/>
  <c r="L28" i="6"/>
  <c r="H28" i="6"/>
  <c r="D28" i="6"/>
  <c r="M27" i="6"/>
  <c r="I27" i="6"/>
  <c r="E27" i="6"/>
  <c r="A27" i="6"/>
  <c r="J26" i="6"/>
  <c r="F26" i="6"/>
  <c r="B26" i="6"/>
  <c r="K25" i="6"/>
  <c r="G25" i="6"/>
  <c r="C25" i="6"/>
  <c r="L24" i="6"/>
  <c r="H24" i="6"/>
  <c r="D24" i="6"/>
  <c r="M23" i="6"/>
  <c r="I23" i="6"/>
  <c r="E23" i="6"/>
  <c r="A23" i="6"/>
  <c r="J22" i="6"/>
  <c r="F22" i="6"/>
  <c r="B22" i="6"/>
  <c r="K21" i="6"/>
  <c r="G21" i="6"/>
  <c r="C21" i="6"/>
  <c r="L20" i="6"/>
  <c r="H20" i="6"/>
  <c r="D20" i="6"/>
  <c r="M19" i="6"/>
  <c r="I19" i="6"/>
  <c r="E19" i="6"/>
  <c r="A19" i="6"/>
  <c r="J18" i="6"/>
  <c r="F18" i="6"/>
  <c r="B18" i="6"/>
  <c r="K17" i="6"/>
  <c r="G17" i="6"/>
  <c r="C17" i="6"/>
  <c r="L16" i="6"/>
  <c r="H16" i="6"/>
  <c r="D16" i="6"/>
  <c r="M15" i="6"/>
  <c r="I15" i="6"/>
  <c r="E15" i="6"/>
  <c r="A15" i="6"/>
  <c r="J14" i="6"/>
  <c r="F14" i="6"/>
  <c r="B14" i="6"/>
  <c r="K13" i="6"/>
  <c r="G13" i="6"/>
  <c r="C13" i="6"/>
  <c r="L12" i="6"/>
  <c r="H12" i="6"/>
  <c r="D12" i="6"/>
  <c r="M11" i="6"/>
  <c r="I11" i="6"/>
  <c r="E11" i="6"/>
  <c r="A11" i="6"/>
  <c r="J10" i="6"/>
  <c r="F10" i="6"/>
  <c r="B10" i="6"/>
  <c r="K9" i="6"/>
  <c r="G9" i="6"/>
  <c r="C9" i="6"/>
  <c r="L8" i="6"/>
  <c r="H8" i="6"/>
  <c r="D8" i="6"/>
  <c r="M7" i="6"/>
  <c r="I7" i="6"/>
  <c r="E7" i="6"/>
  <c r="A7" i="6"/>
  <c r="J6" i="6"/>
  <c r="F6" i="6"/>
  <c r="B6" i="6"/>
  <c r="K5" i="6"/>
  <c r="G5" i="6"/>
  <c r="C5" i="6"/>
  <c r="L4" i="6"/>
  <c r="H4" i="6"/>
  <c r="D4" i="6"/>
  <c r="M3" i="6"/>
  <c r="I3" i="6"/>
  <c r="E3" i="6"/>
  <c r="A3" i="6"/>
  <c r="J2" i="6"/>
  <c r="F2" i="6"/>
  <c r="B2" i="6"/>
  <c r="K1" i="6"/>
  <c r="G1" i="6"/>
  <c r="C1" i="6"/>
  <c r="B114" i="5"/>
  <c r="A113" i="5"/>
  <c r="C111" i="5"/>
  <c r="B110" i="5"/>
  <c r="A109" i="5"/>
  <c r="C107" i="5"/>
  <c r="B106" i="5"/>
  <c r="A105" i="5"/>
  <c r="C103" i="5"/>
  <c r="B102" i="5"/>
  <c r="A101" i="5"/>
  <c r="C99" i="5"/>
  <c r="B98" i="5"/>
  <c r="A97" i="5"/>
  <c r="C95" i="5"/>
  <c r="B94" i="5"/>
  <c r="A93" i="5"/>
  <c r="C91" i="5"/>
  <c r="B90" i="5"/>
  <c r="A89" i="5"/>
  <c r="C87" i="5"/>
  <c r="B86" i="5"/>
  <c r="A85" i="5"/>
  <c r="C83" i="5"/>
  <c r="B82" i="5"/>
  <c r="A81" i="5"/>
  <c r="C79" i="5"/>
  <c r="B78" i="5"/>
  <c r="A77" i="5"/>
  <c r="C75" i="5"/>
  <c r="B74" i="5"/>
  <c r="A73" i="5"/>
  <c r="C71" i="5"/>
  <c r="B70" i="5"/>
  <c r="A69" i="5"/>
  <c r="C67" i="5"/>
  <c r="B66" i="5"/>
  <c r="A65" i="5"/>
  <c r="C63" i="5"/>
  <c r="B62" i="5"/>
  <c r="A61" i="5"/>
  <c r="C59" i="5"/>
  <c r="B58" i="5"/>
  <c r="A57" i="5"/>
  <c r="C55" i="5"/>
  <c r="B54" i="5"/>
  <c r="A53" i="5"/>
  <c r="C51" i="5"/>
  <c r="B50" i="5"/>
  <c r="A49" i="5"/>
  <c r="C47" i="5"/>
  <c r="B46" i="5"/>
  <c r="A45" i="5"/>
  <c r="C43" i="5"/>
  <c r="B42" i="5"/>
  <c r="A41" i="5"/>
  <c r="C39" i="5"/>
  <c r="B38" i="5"/>
  <c r="A37" i="5"/>
  <c r="C35" i="5"/>
  <c r="B34" i="5"/>
  <c r="A33" i="5"/>
  <c r="C31" i="5"/>
  <c r="B30" i="5"/>
  <c r="A29" i="5"/>
  <c r="C27" i="5"/>
  <c r="B26" i="5"/>
  <c r="A25" i="5"/>
  <c r="C23" i="5"/>
  <c r="B22" i="5"/>
  <c r="A21" i="5"/>
  <c r="C19" i="5"/>
  <c r="B18" i="5"/>
  <c r="A17" i="5"/>
  <c r="C15" i="5"/>
  <c r="B14" i="5"/>
  <c r="A13" i="5"/>
  <c r="C11" i="5"/>
  <c r="B10" i="5"/>
  <c r="A9" i="5"/>
  <c r="C7" i="5"/>
  <c r="B6" i="5"/>
  <c r="A5" i="5"/>
  <c r="C3" i="5"/>
  <c r="B2" i="5"/>
  <c r="A1" i="5"/>
</calcChain>
</file>

<file path=xl/sharedStrings.xml><?xml version="1.0" encoding="utf-8"?>
<sst xmlns="http://schemas.openxmlformats.org/spreadsheetml/2006/main" count="811" uniqueCount="718">
  <si>
    <t>Formato de Matriz de Indicadores de Resultados</t>
  </si>
  <si>
    <t>Ejercicio Fiscal 2024</t>
  </si>
  <si>
    <t>Programas Presupuestarios</t>
  </si>
  <si>
    <t>MUNICIPIO</t>
  </si>
  <si>
    <t>GUADALAJARA</t>
  </si>
  <si>
    <t>DENOMINACIÓN DEL PROGRAMA</t>
  </si>
  <si>
    <t>1. Inclusión, Discapacidad, Adultos Mayores y Grupos Vulnerables</t>
  </si>
  <si>
    <t></t>
  </si>
  <si>
    <t>CATEGORÍA PROGRAMÁTICA</t>
  </si>
  <si>
    <t>E. Prestación de Servicios Públicos.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</si>
  <si>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</si>
  <si>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</si>
  <si>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</si>
  <si>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</si>
  <si>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</si>
  <si>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</si>
  <si>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</si>
  <si>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</si>
  <si>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</si>
  <si>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</si>
  <si>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</si>
  <si>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</si>
  <si>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</si>
  <si>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</si>
  <si>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</si>
  <si>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2.4.OS. Consolidar condiciones igualitarias para el acceso a derechos sociales, servicios integrales y oportunidades para la inclusión en la movilidad social ascendente y a una vida digna de los grupos prioritarios en  Jalisco, con dignidad, inclusión, diversidad, igualdad y no discriminación</t>
  </si>
  <si>
    <t>ALINEACIÓN CON OBJETIVOS DE RESULTADO DEL PED</t>
  </si>
  <si>
    <t>2.4 Grupos Prioritarios</t>
  </si>
  <si>
    <t>PLAN MUNICIPAL DE DESARROLLO</t>
  </si>
  <si>
    <t>ALINEACIÓN CON LOS EJES DEL PMDyG</t>
  </si>
  <si>
    <t>1.- I. Guadalajara Próspera e Incluyente</t>
  </si>
  <si>
    <t>ALINEACIÓN CON OBJETIVOS DEL PMDyG</t>
  </si>
  <si>
    <t>O2. Ejecutar programas sociales estatégicos que impulsen la innovación social responsable e incluyente, para garantizar un crecimiento equitativo, equilibrado y sostenible.</t>
  </si>
  <si>
    <t xml:space="preserve">ESTRATEGIA </t>
  </si>
  <si>
    <t>E2.3 Inclusión de personas con discapacidad y grupos vulnerables.</t>
  </si>
  <si>
    <t>LINEA DE ACCIÓN</t>
  </si>
  <si>
    <t>Apoyo a personas cuidadoras con discapacidad y/o cuidadores primarios de los mismos</t>
  </si>
  <si>
    <t xml:space="preserve">EJES ESTRATÉGICOS DEL SISTEMA DIF GUADALAJARA </t>
  </si>
  <si>
    <t xml:space="preserve">Guadalajara Sin Barreras 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</si>
  <si>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</si>
  <si>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</si>
  <si>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</si>
  <si>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</si>
  <si>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</si>
  <si>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</si>
  <si>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</si>
  <si>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</si>
  <si>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</si>
  <si>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</si>
  <si>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</si>
  <si>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</si>
  <si>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</si>
  <si>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</si>
  <si>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</si>
  <si>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FUENTES DE INFORMACIÓN Y MEDIOS DE VERIFICACIÓN</t>
  </si>
  <si>
    <t>SUPUESTOS</t>
  </si>
  <si>
    <t>FIN/PROPÓSITO SUMA</t>
  </si>
  <si>
    <t>FIN</t>
  </si>
  <si>
    <t>Las personas adultas mayores, personas con discapacidad o con alguna condición de vulnerabilidad, reciben atención integral para su desarrollo pleno en el municipio de Guadalajara durante el 2024</t>
  </si>
  <si>
    <t>Porcentaje de personas adultas mayores, con discapacidad y con alguna condición de vulnerabilidad que recibieron atención en los servicios del eje Guadalajara sin Barreras en 2024</t>
  </si>
  <si>
    <t>Mide el porcentaje de personas adultos mayores, con discapacidad y con alguna condición de vulnerabilidad que recibieron atención en los servicios del eje Guadalajara Sin Barreras respecto de la meta planteada para el 2024</t>
  </si>
  <si>
    <t>Eficacia</t>
  </si>
  <si>
    <t xml:space="preserve">Estratégico </t>
  </si>
  <si>
    <t>Número de personas atendidas en los programas de CEAMIVIDA, Cultura para la inclusión, DIPAM, CAIPED y CADI / Número de personas programadas por atender en CEAMIVIDA, Cultura para la Inclusión, DIPAM, CAIPED y CADI*100</t>
  </si>
  <si>
    <t>Número de personas atendidas en los programas de CEAMIVIDA, DIPAM, CAIPED y CADI</t>
  </si>
  <si>
    <t>Número de personas programadas por atender en CEAMIVIDA, DIPAM, CAIPED y CADI</t>
  </si>
  <si>
    <t xml:space="preserve">Anual </t>
  </si>
  <si>
    <t>Porcentaje</t>
  </si>
  <si>
    <t>V1: Padrón de beneficiarios y reportes de avances mensuales de de los programas del eje de Guadalajara sin Barreras del Sistema DIF Guadalajara / V2: Planes de trabajo de los programas del eje de Guadalajara sin Barreras del Sistema DIF Guadalajara</t>
  </si>
  <si>
    <t xml:space="preserve">Las usuarias y usuarios de los programas del eje de Guadalajara sin barreras del Sistema DIF Guadalajara logran mejoras en su bienestar físico y condiciones de inserción social </t>
  </si>
  <si>
    <t>PROPÓSITO</t>
  </si>
  <si>
    <t>Se contribuye a desarrollar el bienestar físico,  integral e inclusión de las personas adultas mayores y personas con algún tipo de discapacidad con al menos una vulnerabilidad social o de ingresos que habitan en el municipio de Guadalajara a través de los programas que integran el eje de Guadalajara sin Barreras del Sistema DIF Guadalajara  durante el 2024</t>
  </si>
  <si>
    <t>Porcentaje de cobertura de servicios de bienestar físico e inclusión para personas adultas mayores o que viven con alguna discapacidad en el municipio de Guadalajara en 2024</t>
  </si>
  <si>
    <t>Mide el porcentaje de cobertura de servicios de bienestar físico e inclusión para personas adultas mayores o que viven con alguna discapacidad en el municipio de Guadalajara respecto de la meta planteada para el 2024</t>
  </si>
  <si>
    <t>Número de servicios brindados en el eje de Guadalajara Sin Barreras/ número de servicios meta del eje Sin Barreras 2024*100</t>
  </si>
  <si>
    <t>Número de servicios brindados en el eje de Guadalajara Sin Barreras</t>
  </si>
  <si>
    <t xml:space="preserve"> número de servicios meta del eje Sin Barreras 2024</t>
  </si>
  <si>
    <t>V1: Padrón de beneficiarios y registro de avances de los programas del eje de Guadalajara sin Barreras del Sistema DIF Guadalajara /V2: Planes de trabajo de los programas del eje de Guadalajara sin Barreras del Sistema DIF Guadalajara</t>
  </si>
  <si>
    <t>La comunidad de Guadalajara pone los medios necesarios para que las personas adultas mayores o con discapacidad asistan a los centros.</t>
  </si>
  <si>
    <t>08. Discapacitados</t>
  </si>
  <si>
    <t>COMPONENTE 1</t>
  </si>
  <si>
    <t>Personas con servicios de atención integral a personas con discapacidad intelectual y sus familias brindados en CEAMIVIDA</t>
  </si>
  <si>
    <t>Promedio de personas atendidas y sus familias en talleres recreativos, formativos, deportivos, consultas médicas y psicológicas impartidas en el programa de CEAMIVIDA en 2024</t>
  </si>
  <si>
    <t>Mide el promedio de personas atendidas y sus familias en talleres recreativos, formativos, deportivos, consultas médicas y psicológicas impartidas en el programa de CEAMIVIDA en 2024</t>
  </si>
  <si>
    <t>(Número de personas atendidas en talleres recreativos, formativos, deportivos, consultas médicas y psicológicas impartidas en el programa de CEAMIVIDA durante el 2024)/ Meses de atención</t>
  </si>
  <si>
    <t>Trimestral</t>
  </si>
  <si>
    <t>Promedio</t>
  </si>
  <si>
    <t>V1: Expediente de beneficiario  V2:Listas de asistencia</t>
  </si>
  <si>
    <t>Los beneficiarios de CEAMIVIDA cuentan con el mínimo estado de salud para poder asistir al CEAMIVIDA.</t>
  </si>
  <si>
    <t>ACTIVIDAD 1.1</t>
  </si>
  <si>
    <t>Atención psicológica o médica para personas con discapacidad intelectual  y sus familias brindadas en CEAMIVIDA</t>
  </si>
  <si>
    <t>Porcentaje de consultas psicológicas o médicas para personas con discapacidad intelectual brindadas en CEAMIVIDA en 2024</t>
  </si>
  <si>
    <t>Mide el porcentaje de consultas psicológicas o médicas para personas con discapacidad intelectual brindadas en CEAMIVIDA en 2024</t>
  </si>
  <si>
    <t>Gestión</t>
  </si>
  <si>
    <t>((Número de consultas psicológicas o médicas para personas con discapacidad intelectual  y sus familias brindadas  en CEAMIVIDA durante el 2024 )/( Número de consultas psicológicas o médicas para personas con discapacidad intelectual  y sus familias programadas en CEAMIVIDA para el 2024))*100</t>
  </si>
  <si>
    <t>Mensual</t>
  </si>
  <si>
    <t>Bitácora</t>
  </si>
  <si>
    <t xml:space="preserve">La población de personas con discapacidad intelectual y sus familias reconocen la importancia de la atención psicológica y médica brindada por el DIF a través de CEAMIVIDA para mejorar su calidad de vida y está dispuesta a participar activamente en el programa. </t>
  </si>
  <si>
    <t>ACTIVIDAD 1.2</t>
  </si>
  <si>
    <t>Talleres especializados para personas con discapacidad  y sus familias intelectual brindados en CEAMIVIDA</t>
  </si>
  <si>
    <t>Porcentaje de sesiones de talleres recreativos, formativos y deportivos para personas con discapacidad intelectual implementados en CEAMIVIDA en 2024</t>
  </si>
  <si>
    <t>Mide el porcentaje de sesiones de talleres recreativos, formativos y deportivos para personas con discapacidad intelectual implementados en CEAMIVIDA en 2024</t>
  </si>
  <si>
    <t>((Número de sesiones de talleres recreativos, formativos y deportivos para personas con discapacidad intelectual  y sus familias implementados en CEAMIVIDA  durante el 2024)/ (Número de sesiones de talleres recreativos, formativos y deportivos para personas con discapacidad intelectual  y sus familias programados en CEAMIVIDA para el 2024))*100</t>
  </si>
  <si>
    <t>Listas de asistencia</t>
  </si>
  <si>
    <t>Las personas con discapacidad intelectual y sus familias en la ciudad de Guadalajara tienen acceso y conocimiento de los servicios y programas que ofrece el DIF, y tienen la disponibilidad y disposición de asistir a los talleres especializados brindados en CEAMIVIDA.</t>
  </si>
  <si>
    <t>COMPONENTE 2</t>
  </si>
  <si>
    <t>Personas con discapacidad intelectual y Trastorno del Espectro Autismo que recibieron servicios de atención integral a en CADI</t>
  </si>
  <si>
    <t>Promedio de personas atendidas en terapia especializada y que reciben terapias complementarias en CADI en el 2024</t>
  </si>
  <si>
    <t>Mide el promedio de personas atendidas en terapia especializada durante el transcurso del año 2024</t>
  </si>
  <si>
    <t>(Número de personas atendidas en terapia especializada para DI, TEA, durante el 2024)/ Meses de atención</t>
  </si>
  <si>
    <t>V1: Padrón de beneficiarios  V2:Listas de asistencia</t>
  </si>
  <si>
    <t>Los pacientes cuentan con los mínimos requisitos de salud para poder asistir a terapias a CADI,</t>
  </si>
  <si>
    <t>ACTIVIDAD 2.1</t>
  </si>
  <si>
    <t>Sesiones especializadas y complementarias para personas con discapacidad intelectual o trastorno del espectro autista en CADI</t>
  </si>
  <si>
    <t>Porcentaje de sesiones de terapia especializada y complementarias para personas con discapacidad intelectual o trastorno del espectro autista, brindadas en el CADI en 2024</t>
  </si>
  <si>
    <t>Mide el porcentaje logrado de sesiones de terapia especializada y complementaria para personas con DI o TEA planteadas como meta anual del 2024</t>
  </si>
  <si>
    <t>Número de sesiones de terapia especializada individual para discapacidad intelectual o trastorno del espectro autista, lenguaje y estimulación cognitiva durante el 2024/ Número de sesiones de terapia especializada individual y discapacidad intelectual o trastorno del espectro autista, lenguaje y estimulación cognitiva programadas para el 2024*100</t>
  </si>
  <si>
    <t>Expedientes de beneficiarios</t>
  </si>
  <si>
    <t xml:space="preserve">Cuidadores de las personas con TEA y de DI acuden a las instalaciones con los pacientes del centro. </t>
  </si>
  <si>
    <t>COMPONENTE 3</t>
  </si>
  <si>
    <t>Número de apoyos, servicios y actividades de promoción dirigidas a la inclusión y garantía de derechos de personas con discapacidad realizadas en 2024</t>
  </si>
  <si>
    <t>Porcentaje de apoyos, servicios y actividades realizadas y dirigidas a personas con discapacidad, en 2024</t>
  </si>
  <si>
    <t>Mide el porcentaje de apoyos, servicios y actividades realizadas y dirigidas a personas con discapacidad en 2024</t>
  </si>
  <si>
    <t>(Número de apoyos, servicios y actividades realizados en 2024 /Número de apoyos, servicios y actividades programados para el 2024)*100</t>
  </si>
  <si>
    <t>Los cuidadores de las personas con discapacidad tienen acceso a la información sobre los servicios y actividades de promoción a través de canales de comunicación accesibles y adecuados a sus necesidades</t>
  </si>
  <si>
    <t>ACTIVIDAD 3.1</t>
  </si>
  <si>
    <t>Personas adultas con discapacidad intelectual institucionalizadas a las que se les otorgó medicamento para la garantía de sus derechos durante el 2024.</t>
  </si>
  <si>
    <t>Promedio de personas adultas con discapacidad intelectual institucionalizadas que reciben de manera oportuna medicamentos para la garantía de sus derechos durante el 2024</t>
  </si>
  <si>
    <t>Mide el Promedio de personas adultas con discapacidad intelectual institucionalizadas que reciben de manera oportuna medicamentos para la garantía de sus derechos durante el 2024</t>
  </si>
  <si>
    <t>(Número de personas con discapacidad institucionalizados que reciben medicamentos durante el 2024/ Meses de atención)</t>
  </si>
  <si>
    <t>Existen y están disponibilidad los medicamentos necesarios, en el mercado farmacéutico local y/o internacional,</t>
  </si>
  <si>
    <t>ACTIVIDAD 3.2</t>
  </si>
  <si>
    <t>Personas con discapacidad intelectual o mental institucionalizados a las que se les otorgó apoyo de vivienda temporal a para la garantía de sus derechos durante el 2024.</t>
  </si>
  <si>
    <t>Porcentaje de personas con discapacidad intelectual o mental institucionalizados que recibieron apoyo de vivienda temporal para la garantía de sus derechos durante el 2024</t>
  </si>
  <si>
    <t>Mide el Porcentaje de personas con discapacidad intelectual o mental institucionalizados que recibieron apoyo de vivienda temporal para la garantía de sus derechos en 2024</t>
  </si>
  <si>
    <t>(Número de personas institucionalizados con discapacidad intelectual o mental que recibieron apoyo de vivienda temporal durante el 2024/ Número de personas  institucionalizados con discapacidad intelectual o mental programadas para el 2024)*100</t>
  </si>
  <si>
    <t>Padrón de beneficiarios</t>
  </si>
  <si>
    <t>Exist eun balance entre el espacio disponible y la demanda a cubrir.</t>
  </si>
  <si>
    <t>ACTIVIDAD 3.3</t>
  </si>
  <si>
    <t>Impartición de talleres de sensibilización a instituciones y centros laborales del sector público y privado, instituciones escolares y público en general de promoción de la cultura de inclusión durante el 2024.</t>
  </si>
  <si>
    <t>Porcentaje de talleres brindados durante el 2024</t>
  </si>
  <si>
    <t>Mide el Porcentaje de talleres brindados durante el 2024</t>
  </si>
  <si>
    <t>(Número de talleres impartidos durante el 2024/Número de talleres establecidos como meta para el 2024)*100</t>
  </si>
  <si>
    <t>V1: Listas de asistencia  V2: Evidencia fotográfica</t>
  </si>
  <si>
    <t>Existe una disposición por parte de las instituciones y centros laborales del sector público y privado, instituciones escolares y público en general para participar en los talleres de sensibilización y promoción de la cultura de inclusión.</t>
  </si>
  <si>
    <t>02. Tercera edad</t>
  </si>
  <si>
    <t>COMPONENTE 4</t>
  </si>
  <si>
    <t>Asistencias de personas adultas mayores a capacitaciones y talleres de envejecimiento activo en 2024</t>
  </si>
  <si>
    <t>Promedio de asistencias de personas adultas mayores a capacitación y taller de envejecimiento activo, durante el 2024</t>
  </si>
  <si>
    <t>Mide el promedio de asistencias de personas adultas mayores a capacitación y taller de envejecimiento activo durante el 2024</t>
  </si>
  <si>
    <t>Número de asistencias a una capacitación o taller durante el 2024/ Meses de atención</t>
  </si>
  <si>
    <t>Lista de asistencia</t>
  </si>
  <si>
    <t>Las personas adultas mayores tienen acceso y disponibilidad para asistir a las capacitaciones y talleres ofrecidos por el DIF, tales como transporte y cuidados necesarios para asistir a dichas actividades</t>
  </si>
  <si>
    <t>ACTIVIDAD 4.1</t>
  </si>
  <si>
    <t>Encuentros intergeneracionales realizados en el Programa DIPAM en 2024</t>
  </si>
  <si>
    <t>Porcentaje de encuentros intergeneracionales llevados a cabo en 2024</t>
  </si>
  <si>
    <t>Mide el porcentaje de encuentros intergeneracionales llevados a cabo en 2024</t>
  </si>
  <si>
    <t>(Número de encuentros intergeneracionales llevados a cabo en 2024/ número de encuentros intergeneracionales programados para el 2024)*100</t>
  </si>
  <si>
    <t>Existe una participación activa y dispuesta por parte de los adultos mayores para asistir a los encuentros intergeneracionales, y cuentan con los recursos materiales y humanos necesarios para llevar a cabo los mismos.</t>
  </si>
  <si>
    <t>ACTIVIDAD 4.2</t>
  </si>
  <si>
    <t>Raciones alimenticias entregadas en el comedor de DIPAM en 2024</t>
  </si>
  <si>
    <t>Porcentaje de cumplimiento en la entrega de raciones alimenticias entregadas en el comedor de DIPAM en 2024</t>
  </si>
  <si>
    <t>Mide el porcentaje de cumplimiento en la entrega de raciones alimenticias en el comedor de DIPAM, durante el 2024</t>
  </si>
  <si>
    <t>(Número de raciones alimentarias entregadas en DIPAM en 2024/ número de raciones alimentarias programadas como meta para el 2024)*100</t>
  </si>
  <si>
    <t xml:space="preserve"> La oferta de alimentos en el mercado local es suficiente y nutritiva para cubrir la demanda de alimentos del programa de asistencia social.</t>
  </si>
  <si>
    <t>COMPONENTE 5</t>
  </si>
  <si>
    <t>Personas a las que se les brindó servicios de terapia física, atención psicológica y consulta médica de rehabilitación y de traumatología y ortopedia brindados en el CAIPED en 2024</t>
  </si>
  <si>
    <t>Porcentaje de personas con discapacidad temporal o permanente y población en general atendidos en servicios de terapia física y de lenguaje, consulta médica en rehabilitación, consulta de podología, consulta en traumatología/ortopedia, y psicología en 2024</t>
  </si>
  <si>
    <t>Mide el porcentaje de personas con discapacidad temporal o permanente y población en general atendidos en servicios de terapia física y de lenguaje, consulta médica en rehabilitación, consulta de podología, consulta en traumatología/ortopedia, y psicología  a las que se les brindó servicios  en 2024</t>
  </si>
  <si>
    <t>(Número de personas atendidas en el Centro CAIPED durante el 2024/ número de personas programadas para el 2024)*100</t>
  </si>
  <si>
    <t>La población objetivo cuenta con acceso y disponibilidad para asistir a las instalaciones del CAIPED y recibir los servicios de terapia física, atención psicológica y consulta médica de rehabilitación y de traumatología y ortopedia.</t>
  </si>
  <si>
    <t>ACTIVIDAD 5.1</t>
  </si>
  <si>
    <t>Sesiones de terapia física brindadas a personas con discapacidad en el Centro CAIPED en 2024</t>
  </si>
  <si>
    <t>Porcentaje de sesiones de terapia física a personas con discapacidad permanente o temporal y población en general en 2024</t>
  </si>
  <si>
    <t>Mide el porcentaje de sesiones de terapia física a personas con discapacidad permanente o temporal y población en general en 2024</t>
  </si>
  <si>
    <t>(Número de sesiones de terapia física brindadas en el centro CAIPED en 2024/ número de sesiones programadas para el  2024)*100</t>
  </si>
  <si>
    <t>Los pacientes que requieren servicios de terapia física en el CAIPED tienen acceso y disponibilidad para asistir regularmente a las sesiones programadas.</t>
  </si>
  <si>
    <t>ACTIVIDAD 5.2</t>
  </si>
  <si>
    <t>Sesiones de consulta médica brindadas en el Centro CAIPED en 2024</t>
  </si>
  <si>
    <t>Porcentaje de sesiones de consulta médica en rehabilitación y traumatología/ortopedia a personas con discapacidad permanente o temporal y población en general en 2024</t>
  </si>
  <si>
    <t>Mide el porcentaje de sesiones de consulta médica en rehabilitación y traumatología/ortopedia a personas con discapacidad permanente o temporal y población en general en 2024</t>
  </si>
  <si>
    <t>(Número de sesiones de consulta médica en rehabilitación y traumatología-ortopedia brindadas en el centro CAIPED, en el 2024/ número de sesiones programadas para el 2024)*100</t>
  </si>
  <si>
    <t>La población objetivo cuenta con acceso a los servicios de salud y transporte público para acudir al centro CAIPED</t>
  </si>
  <si>
    <t xml:space="preserve">Categoría Prográmatica. </t>
  </si>
  <si>
    <t xml:space="preserve">Denominación del Programa. </t>
  </si>
  <si>
    <t>Coordinación Responsable</t>
  </si>
  <si>
    <t>finalidad</t>
  </si>
  <si>
    <t>Función</t>
  </si>
  <si>
    <t>Sub-Función</t>
  </si>
  <si>
    <t>Ejes PND</t>
  </si>
  <si>
    <t>Objetivos Estratégicos del PND</t>
  </si>
  <si>
    <t xml:space="preserve">Eje PED </t>
  </si>
  <si>
    <t>Objetivos Estratégicos</t>
  </si>
  <si>
    <t>EJE PMDYG</t>
  </si>
  <si>
    <t>Objetivos PMDYG</t>
  </si>
  <si>
    <t>Estrategias PMDyG</t>
  </si>
  <si>
    <t xml:space="preserve">Tipo de Gasto </t>
  </si>
  <si>
    <t>Fuente de Financiamiento</t>
  </si>
  <si>
    <t>Género</t>
  </si>
  <si>
    <t>Población Objetivo</t>
  </si>
  <si>
    <t>S. Sujetos a Reglas de Operación.</t>
  </si>
  <si>
    <t>Coordinación General de Combate a la Desigualdad</t>
  </si>
  <si>
    <t>1. Gobierno</t>
  </si>
  <si>
    <t>1.1. Legislación</t>
  </si>
  <si>
    <t>1.1.1 Legislación</t>
  </si>
  <si>
    <t>EJE 1. Justicia y Estado de Derecho</t>
  </si>
  <si>
    <t>1.1 Fortalecer la gobernabilidad democrática</t>
  </si>
  <si>
    <t>1. Territorio y Medio Ambiente Sustentable</t>
  </si>
  <si>
    <t>O1. Incrementar la sostenibilidad del medio ambiente y reducir la vulnerabilidad ante el cambio climático</t>
  </si>
  <si>
    <t>1. Guadalajara próspera e incluyente</t>
  </si>
  <si>
    <t>O1. Impulsar el desarrollo de oportunidades a todas las personas para acceder a un empleo digno o emprender un negocio, sin distinción de raza, sexo, edad, condición económica, sistema de creencias, origen o discapacidad</t>
  </si>
  <si>
    <t>E1.1 Desarrollo económico, social y cultural en el Centro Histórico</t>
  </si>
  <si>
    <t>1. Corriente</t>
  </si>
  <si>
    <t>Recursos Fiscales</t>
  </si>
  <si>
    <t>Femenino</t>
  </si>
  <si>
    <t>01. Indígenas</t>
  </si>
  <si>
    <t>U. Otros Subsidios.</t>
  </si>
  <si>
    <t>2. Junvetudes y Apoyo a la Niñez</t>
  </si>
  <si>
    <t>1.2. Justicia</t>
  </si>
  <si>
    <t>1.1.2 Fiscalización</t>
  </si>
  <si>
    <t>1.2 Fortalecer la cultura democrática, abrir el gobierno a la participación
social y escuchar de manera permanente a la sociedad, dando especial
atención a las mujeres y los grupos históricamente discriminados y
marginados</t>
  </si>
  <si>
    <t>2. Economía Próspera</t>
  </si>
  <si>
    <t>O2. Impulsar el desarrollo sostenible de las regiones del estado</t>
  </si>
  <si>
    <t>2. Guadalajara construyendo comunidad</t>
  </si>
  <si>
    <t>O2. Ejecutar programas sociales estratégicos que impulsen la innovación social responsable e incluyente, para garantizar un crecimiento equitativo, equilibrado y sostenible</t>
  </si>
  <si>
    <t>E1.2 Atracción de talento e inversión al Municipio</t>
  </si>
  <si>
    <t>2. Capital</t>
  </si>
  <si>
    <t>Financiamientos Internos</t>
  </si>
  <si>
    <t>Masculino</t>
  </si>
  <si>
    <t>3. Recursos Federales</t>
  </si>
  <si>
    <t>3. Desarrollo Económico</t>
  </si>
  <si>
    <t>1.3. Coordinación de la política de gobierno</t>
  </si>
  <si>
    <t>1.2.1 Impartición de Justicia</t>
  </si>
  <si>
    <t>EJE 3. Desarrollo Económico</t>
  </si>
  <si>
    <t xml:space="preserve">1.3 Promover, respetar, proteger y garantizar los derechos humanos,
individuales y colectivos
</t>
  </si>
  <si>
    <t>3. Equidad de Oportunidades</t>
  </si>
  <si>
    <t>O3. Promover un desarrollo urbano sostenible, equitativo y ordenado</t>
  </si>
  <si>
    <t>3. Guadalajara segura, justa y en paz</t>
  </si>
  <si>
    <t>O3. Mejorar los niveles de educación y desarrollo de conocimientos de las y los tapatíos</t>
  </si>
  <si>
    <t>E1.3 Promover la competitividad del Municipio</t>
  </si>
  <si>
    <t>3. Amortización de la Deuda y Disminución de Pasivos</t>
  </si>
  <si>
    <t>Financiamientos Externos</t>
  </si>
  <si>
    <t>Indistinto</t>
  </si>
  <si>
    <t>03. Niños</t>
  </si>
  <si>
    <t>B. Provisión de Bienes Públicos.</t>
  </si>
  <si>
    <t>4. Seguridad Ciudadana</t>
  </si>
  <si>
    <t>Comisaría de la Policía de Guadalajara</t>
  </si>
  <si>
    <t>4. Otras No Clasificadas en Funciones Atenriores</t>
  </si>
  <si>
    <t>1.4. Relaciones exteriores</t>
  </si>
  <si>
    <t>1.2.2 Procuración de Justicia</t>
  </si>
  <si>
    <t>1.4 Construir la paz y la seguridad con respeto a los derechos humanos</t>
  </si>
  <si>
    <t>4. Educacion de Calidad</t>
  </si>
  <si>
    <t>O4. Garantizar el suministro sostenible y la calidad del agua para la población y las actividades productivas</t>
  </si>
  <si>
    <t>4. Guadalajara funcional y con servicios de calidad</t>
  </si>
  <si>
    <t>O4. Otorgar servicios de atención prehospitalaria y de urgencias médico quirúrgicas con alta eficiencia, calidad y seguridad a los pacientes, dentro de un esquema de asociación intermunicipal, así como promover las condiciones para la prevención, protección y promoción de la salud</t>
  </si>
  <si>
    <t>E1.4 Gestión de programas estatales y federales</t>
  </si>
  <si>
    <t>4. Pensiones y Jubilaciones</t>
  </si>
  <si>
    <t>Ingresos Propios</t>
  </si>
  <si>
    <t>04. Recien nacidos</t>
  </si>
  <si>
    <t>P. Planeación, seguimiento y evaluación de políticas públicas.</t>
  </si>
  <si>
    <t>5. Justicia Cívica</t>
  </si>
  <si>
    <t>Consejería Juridica</t>
  </si>
  <si>
    <t>1.5. Asuntos financieros y hacendarios</t>
  </si>
  <si>
    <t>1.2.3 Reclusión y Readaptación Social</t>
  </si>
  <si>
    <t>1.5 Preservar la seguridad nacional</t>
  </si>
  <si>
    <t>5. Estado de Derecho</t>
  </si>
  <si>
    <t>O5. Mejorar la calidad, seguridad y sostenibilidad de la movilidad urbana</t>
  </si>
  <si>
    <t>5. Guadalajara ordenada y sustentable</t>
  </si>
  <si>
    <t>O5. Incrementar la práctica del deporte y la actividad física como parte de la vida cotidiana de la sociedad tapatía</t>
  </si>
  <si>
    <t>E2.1 Prevenir la deserción escolar en la niñez y adolescencia</t>
  </si>
  <si>
    <t xml:space="preserve">Recursos Federales </t>
  </si>
  <si>
    <t>05.jefas de familia</t>
  </si>
  <si>
    <t>F. Promoción y fomento.</t>
  </si>
  <si>
    <t>6. Comunicación Institucional</t>
  </si>
  <si>
    <t>Coordinación de análisis estratégico y comunicación institucional</t>
  </si>
  <si>
    <t>1.6. Seguridad nacional</t>
  </si>
  <si>
    <t>1.2.4 Derechos Humanos</t>
  </si>
  <si>
    <t xml:space="preserve">1.6 Conducir la política exterior en apego a los principios constitucionales y
articulada con las prioridades de política interior </t>
  </si>
  <si>
    <t>Transversal</t>
  </si>
  <si>
    <t>O6. Disminuir los factores de riesgo y mejorar la atención ante desastres</t>
  </si>
  <si>
    <t>6. Guadalajara honesta y bien administrada.</t>
  </si>
  <si>
    <t>O6. Garantizar el derecho a la cultura y fortalecer el desarrollo cultural comunitario</t>
  </si>
  <si>
    <t>E2.2 Fomentar el empoderamiento de la juventud y su intención emprendedora</t>
  </si>
  <si>
    <t>Recursos Estatales</t>
  </si>
  <si>
    <t>06. Jóvenes</t>
  </si>
  <si>
    <t>G. Regulación y supervisión.</t>
  </si>
  <si>
    <t>7. Imagen Urbana</t>
  </si>
  <si>
    <t>Coordinación de Servicios Municipales</t>
  </si>
  <si>
    <t>1.7. Asuntos de orden público y de seguridad interior</t>
  </si>
  <si>
    <t>1.3.1 Presidencia / Gubernatura</t>
  </si>
  <si>
    <t>1.7 Implementar una política migratoria integral apegada a los derechos
humanos, reconociendo la contribución de las personas migrantes al
desarrollo de los países</t>
  </si>
  <si>
    <t>O7. Incrementar la formalidad del empleo, la seguridad social y estabilidad laboral</t>
  </si>
  <si>
    <t>O7. Impulsar el bienestar animal en nuestra ciudad</t>
  </si>
  <si>
    <t>E2.3 Inclusión de personas con Discapacidad y Personas Adultas Mayore</t>
  </si>
  <si>
    <t>Otros Recursos de Libre Disposición</t>
  </si>
  <si>
    <t>07. Adultos</t>
  </si>
  <si>
    <t>A. Funciones de las Fuerzas Armadas (Únicamente Gobierno Federal).</t>
  </si>
  <si>
    <t>8. Servicios Públicos Funcionales</t>
  </si>
  <si>
    <t>1.8. Otros servicios generales</t>
  </si>
  <si>
    <t>1.3.2 Política Interior</t>
  </si>
  <si>
    <t>1.8 Mejorar la capacidad de prevenir y combatir de manera efectiva la
corrupción y la impunidad</t>
  </si>
  <si>
    <t>O8. Mejorar la competitividad y el crecimiento inclusivo y sostenible de los sectores económicos</t>
  </si>
  <si>
    <t>O8. Promover la prevención y el combate a las adicciones</t>
  </si>
  <si>
    <t>E2.4 Fomentar el empoderamiento de las mujeres y su intención emprendedora</t>
  </si>
  <si>
    <t>Otros Recursos de Transferencias Federales Etiquetadas</t>
  </si>
  <si>
    <t>R. Específicos.</t>
  </si>
  <si>
    <t>9. Fomento a la inversión, turismo y relaciones internacionales</t>
  </si>
  <si>
    <t xml:space="preserve">Coordinación General de Desarrollo Económico </t>
  </si>
  <si>
    <t>2.1. Protección ambiental</t>
  </si>
  <si>
    <t>1.3.3 Preservación y Cuidado del Patrimonio Público</t>
  </si>
  <si>
    <t>1.9 Construir un país más resiliente, sostenible y seguro</t>
  </si>
  <si>
    <t>O9. Incrementar de forma sostenible la productividad y rentabilidad de las actividades del sector primario</t>
  </si>
  <si>
    <t>O9. Proteger la vida y patrimonio de todas las personas que cohabitan en Guadalajara, garantizando el ejercicio de sus derechos, con perspectiva de igualdad de género, en un ambiente favorable para su desarrollo integral</t>
  </si>
  <si>
    <t>E2.5 Cohesión del tejido social</t>
  </si>
  <si>
    <t>09. Mercado</t>
  </si>
  <si>
    <t>K. Proyectos de Inversión.</t>
  </si>
  <si>
    <t>10. Emprendimiento</t>
  </si>
  <si>
    <t>2.2. Vivienda y servicios a la comunidad</t>
  </si>
  <si>
    <t>1.3.4 Función Pública</t>
  </si>
  <si>
    <t>O10. Incrementar la afuencia y la derrama económica proveniente del turismo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</si>
  <si>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</si>
  <si>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</si>
  <si>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>10. Adultos mayores</t>
  </si>
  <si>
    <t>M. Apoyo al proceso presupuestario y para mejorar la eficiencia institucional.</t>
  </si>
  <si>
    <t>11. Regulación y derrama económica local</t>
  </si>
  <si>
    <t>2.3. Salud</t>
  </si>
  <si>
    <t>1.3.5 Asuntos Jurídicos</t>
  </si>
  <si>
    <t>2.2 Garantizar el derecho a la educación laica, gratuita, incluyente,
pertinente y de calidad en todos los tipos, niveles y modalidades
del Sistema Educativo Nacional y para todas las personas</t>
  </si>
  <si>
    <t>O11. Mejorar la conectividad de Jalisco, sus regiones y municipios</t>
  </si>
  <si>
    <t>O11. Garantizar la justicia y paz social en el territorio aplicando los reglamentos de gobierno y fomentando la mediación, el diálogo y la prevención en favor de los derechos humanos, la inclusión y la perspectiva de género</t>
  </si>
  <si>
    <t>E3.1.Fortalecer la capacitación a docentes de nivel básico</t>
  </si>
  <si>
    <t>11. Turista</t>
  </si>
  <si>
    <t>O. Apoyo a la función pública y al mejoramiento de la gestión.</t>
  </si>
  <si>
    <t xml:space="preserve">12. Desarrollo de la Gestión Pública Eficiente para la Atención a las y los Ciudadanos </t>
  </si>
  <si>
    <t>2.4. Recreación, cultura y otras manifestaciones sociales</t>
  </si>
  <si>
    <t>1.3.6 Organización de Procesos Electorales</t>
  </si>
  <si>
    <t>2.3 Promover y garantizar el derecho a la alimentación nutritiva,
suficiente y de calida</t>
  </si>
  <si>
    <t>O12. Reducir la pobreza y la desigualdad</t>
  </si>
  <si>
    <t>O12. Mejorar la cobertura y eficiencia en la prestación de los servicios públicos a cargo del municipio, conforme a las competencias que marca la legislación, mejorando la calificación y satisfacción de la ciudadanía</t>
  </si>
  <si>
    <t>E3.2.Apoyar el mantenimiento, conservación e incorporación de elementos de accesibilidad universal de escuelas de niveles básicos y municipales</t>
  </si>
  <si>
    <t>12. Sector público</t>
  </si>
  <si>
    <t>W. Operaciones ajenas.</t>
  </si>
  <si>
    <t>13. Desarrollo de la Gestión Pública para la Operación Eficente y Eficaz del Ayuntamiento de Guadalajara</t>
  </si>
  <si>
    <t>2.5. Educación</t>
  </si>
  <si>
    <t>1.3.7 Población</t>
  </si>
  <si>
    <t>2.4 Promover y garantizar el acceso efectivo, universal y gratuito de
la población a los servicios de salud, la asistencia social y los
medicamentos, bajo los principios de participación social,
competencia técnica, calidad médica, pertinencia cultural y trato
no discriminatorio</t>
  </si>
  <si>
    <t>O13. Proteger los derechos y ampliar las oportunidades de desarrollo de los grupos prioritarios</t>
  </si>
  <si>
    <t>O13. Impulsar el repoblamiento ordenado del municipio, particularmente en zonas de alta centralidad y corredores de transporte público</t>
  </si>
  <si>
    <t>E3.3.Impulsar la educación y formación para aprendizaje de oficios y desarrollo personal con perspectiva de derechos humanos, de igualdad de género, y participación ciudadana</t>
  </si>
  <si>
    <t>13. Sector público estatal</t>
  </si>
  <si>
    <t>L. Obligaciones de cumplimiento de resolución jurisdiccional.</t>
  </si>
  <si>
    <t>14. Mejora de la Gestión Gubernamental e Imagen del Centro Histórico.</t>
  </si>
  <si>
    <t xml:space="preserve">Presidencia </t>
  </si>
  <si>
    <t>1.3.8 Territorio</t>
  </si>
  <si>
    <t>2.5 Garantizar el derecho a un medio ambiente sano con enfoque de
sostenibilidad de los ecosistemas, la biodiversidad, el patrimonio y
los paisajes bioculturales</t>
  </si>
  <si>
    <t>O14. Mejorar la salud de la población</t>
  </si>
  <si>
    <t>O14. Fortalecer los instrumentos, programas y acciones de la movilidad, la gestión del transporte, el espacio público y la cultura vial</t>
  </si>
  <si>
    <t>E3.4. Disminuir el analfabetismo en el municipio de Guadalajara de manera accesible e incluyente</t>
  </si>
  <si>
    <t>14. Sector público federal</t>
  </si>
  <si>
    <t>N. Desastres Naturales.</t>
  </si>
  <si>
    <t>15. Protección Civil</t>
  </si>
  <si>
    <t>Protección Civil</t>
  </si>
  <si>
    <t>2.7. Otros asuntos sociales</t>
  </si>
  <si>
    <t>1.3.9 Otros</t>
  </si>
  <si>
    <t>2.6 Promover y garantizar elacceso incluyente al agua
potable en calidad y cantidad y al saneamiento, priorizando a los
grupos históricamente discriminados, procurando la salud de los
ecosistemas y cuencas</t>
  </si>
  <si>
    <t>O15. Aumentar el acceso de la población a una vivienda digna</t>
  </si>
  <si>
    <t>O15. Fortalecer la planeación y gestión de acciones, campañas y estrategias que promuevan la cultura del cuidado del medio ambiente, así como la corresponsabilidad de la ciudadanía con el medio que lo rodea</t>
  </si>
  <si>
    <t>E3.5. Fortalecer la cobertura, para disminuir el rezago educativo</t>
  </si>
  <si>
    <t>15. Sector público municipal</t>
  </si>
  <si>
    <t>J. Pensiones y jubilaciones.</t>
  </si>
  <si>
    <t>16. Participación y Colaboración Ciudadana</t>
  </si>
  <si>
    <t>Secretaría General</t>
  </si>
  <si>
    <t>3.1. Asuntos económicos, comerciales y laborales en general</t>
  </si>
  <si>
    <t>1.4.1 Relaciones Exteriores</t>
  </si>
  <si>
    <t>2.7 Promover y apoyar el acceso a una vivienda adecuada y accesible,
en un entorno ordenado y sostenible</t>
  </si>
  <si>
    <t>O16. Incrementar el acceso, la equidad y la calidad de la educación</t>
  </si>
  <si>
    <t>O16. Gestionar con eficacia y transparencia los recursos financieros del municipio, fortaleciendo la hacienda pública, incrementando el patrimonio y mejorando la calidad del gasto</t>
  </si>
  <si>
    <t>E3.6. Fortalecer la educación cívica y en valores</t>
  </si>
  <si>
    <t>16. Opd´s</t>
  </si>
  <si>
    <t>T. Aportaciones a la seguridad social.</t>
  </si>
  <si>
    <t>17. Servicios Registrales</t>
  </si>
  <si>
    <t>3.2. Agropecuaria, silvicultura, pesca y caza</t>
  </si>
  <si>
    <t>1.5.1 Asuntos Financieros</t>
  </si>
  <si>
    <t xml:space="preserve">2.8 Fortalecer la rectoría y vinculación del ordenamiento territorial y
ecológico de los asentamientos humanos y de la tenencia de la
tierra, mediante el uso racional y equilibrado del territorio,
promoviendo la accesibilidad y la movilidad eficiente </t>
  </si>
  <si>
    <t>O17. Incrementar el desarrollo tecnológico, la investigación científca y la innovación</t>
  </si>
  <si>
    <t>O17. Impulsar el desarrollo de la administración pública municipal mediante metodologías y modelos de gestión para la innovación y mejora de sistemas</t>
  </si>
  <si>
    <t>E4.1 Fortalecer de forma sostenida los procesos de atención, así como las condiciones de infraestructura, equipamiento médico, ambulancias, redes e infraestructura de cómputo de los sistemas de información gerencial</t>
  </si>
  <si>
    <t>17. Opd´s servicios de salud</t>
  </si>
  <si>
    <t>Y. Aportaciones a fondos de estabilización.</t>
  </si>
  <si>
    <t>18. Transparencia y Buenas Prácticas</t>
  </si>
  <si>
    <t>Transparencia y Buenas Prácticas</t>
  </si>
  <si>
    <t>3.3. Combustibles y energía</t>
  </si>
  <si>
    <t>1.5.2 Asuntos Hacendarios</t>
  </si>
  <si>
    <t>2.9 Promover y garantizar el derecho humano de acceso a la cultura
de la población, atendiendo a la diversidad cultural en todas sus
manifestaciones y expresiones con pleno respeto a la libertad
creativa, lingüística, de elección o pertenencia de una identidad
cultural de creencias y de participación</t>
  </si>
  <si>
    <t>O18. Garantizar el acceso de toda la población a la cultura y las diferentes expresiones artísticas</t>
  </si>
  <si>
    <t>O18. Impulsar la cultura de la transparencia como un motor transversal de la gestión municipal, basado en los principios de un Gobierno Abierto</t>
  </si>
  <si>
    <t>E4.2 Desarrollar políticas públicas y mecanismos intra y extra municipales que impulsen de manera gradual acciones de prevención de enfermedades, protección y promoción de la salud</t>
  </si>
  <si>
    <t>18. Opd´s comude</t>
  </si>
  <si>
    <t>Z. Aportaciones a fondos de inversión y reestructura de pensiones.</t>
  </si>
  <si>
    <t>19. Sindicatura</t>
  </si>
  <si>
    <t>Sindicatura</t>
  </si>
  <si>
    <t>3.4. Minería, manufacturas y construcción</t>
  </si>
  <si>
    <t>1.6.1 Defensa</t>
  </si>
  <si>
    <t>2.10 Garantizar la cultura física y la práctica del deporte como medios
para el desarrollo integral de las personas y la integración de las
comunidades</t>
  </si>
  <si>
    <t>O19. Aumentar la práctica del deporte y actividades físicas de la población</t>
  </si>
  <si>
    <t>O19. Combatir la corrupción en la administración pública municipal, mediante acciones coordinadas</t>
  </si>
  <si>
    <t>E5.1. Garantizar el libre acceso y el uso de instalaciones deportivas públicas de calidad</t>
  </si>
  <si>
    <t>19. Opd´s dif</t>
  </si>
  <si>
    <t>I. Gasto Federalizado.</t>
  </si>
  <si>
    <t>20. Desarrollo Administrativo</t>
  </si>
  <si>
    <t>Coordinación General de Administración e Innovación Gubernamental</t>
  </si>
  <si>
    <t>3.5. Transporte</t>
  </si>
  <si>
    <t>1.6.2 Marina</t>
  </si>
  <si>
    <t>2.11 Promover y garantizar el acceso a un trabajo digno, con seguridad
social y sin ningún tipo de discriminación, a través de la
capacitación en el trabajo, el diálogo social, la política de
recuperación de salarios y el cumplimiento de la normatividad
laboral, con énfasis en la población en situación de vulnerabilidad</t>
  </si>
  <si>
    <t>O20. Reducir la incidencia delictiva y mejorar la percepción de seguridad</t>
  </si>
  <si>
    <t>O20. Defender con eficacia y profesionalismo el patrimonio, los intereses y ordenamientos del municipio, así como asegurar la legalidad de los actos y resoluciones de la autoridad</t>
  </si>
  <si>
    <t>E5.2. Fomentar la práctica de actividades físicas y deportivas en todos los segmentos poblacionales, promoviendo un estilo de vida saludable</t>
  </si>
  <si>
    <t>20. Otros organismos</t>
  </si>
  <si>
    <t>C. Participaciones a entidades federativas y municipios.</t>
  </si>
  <si>
    <t>21. Innovación Gubernamental</t>
  </si>
  <si>
    <t>3.6. Comunicaciones</t>
  </si>
  <si>
    <t>1.6.3 Inteligencia para la Preservación de la Seguridad Nacional</t>
  </si>
  <si>
    <t>3.1 Propiciar un desarrollo incluyente del sistema financiero priorizando la
atención al rezago de la población no atendida y la asignación más
eficiente de los recursos a las actividades con mayor beneficio
económico, social y ambiental</t>
  </si>
  <si>
    <t>O21. Mejorar la impartición de justicia con un sistema efcaz, expedito, imparcial y transparente</t>
  </si>
  <si>
    <t>O21. Publicar oportunamente los acuerdos y resoluciones del Ayuntamiento, y dar seguimiento a su debido cumplimiento</t>
  </si>
  <si>
    <t>E6.1. Fomentar la diversidad y desarrollo cultural comunitario</t>
  </si>
  <si>
    <t>21. Empresa</t>
  </si>
  <si>
    <t>D. Costo financiero, deuda o apoyos a deudores y ahorradores de la banca.</t>
  </si>
  <si>
    <t>22. Combate a la corrupción</t>
  </si>
  <si>
    <t>Contraloría Ciudadana</t>
  </si>
  <si>
    <t>3.7. Turismo</t>
  </si>
  <si>
    <t>1.7.1 Policía</t>
  </si>
  <si>
    <t xml:space="preserve">3.2 Propiciar un ambiente que incentive la formalidad y la creación de
empleos y que permita mejorar las condiciones laborales para las
personas trabajadoras </t>
  </si>
  <si>
    <t>O22. Reducir la impunidad mejorando la imparcialidad, transparencia y efciencia en la procuración de justicia</t>
  </si>
  <si>
    <t>E6.2. Conservar y difundir el patrimonio cultural</t>
  </si>
  <si>
    <t>22. Instituciones religiosas</t>
  </si>
  <si>
    <t>H. Adeudos de ejercicios fiscales anteriores.</t>
  </si>
  <si>
    <t>23. Medio Ambiente</t>
  </si>
  <si>
    <t>Coordinación de General de Gestión Integral de la Ciudad</t>
  </si>
  <si>
    <t>3.8. Ciencia, tecnología e innovación</t>
  </si>
  <si>
    <t>1.7.2 Protección Civil</t>
  </si>
  <si>
    <t xml:space="preserve">3.3 Promover la innovación, la competencia, la integración en las cadenas
de valor y la generación de un mayor valor agregado en todos los
sectores productivos bajo un enfoque de sostenibilidad </t>
  </si>
  <si>
    <t>O23. Garantizar el respeto y la protección de los derechos humanos y eliminar la discriminación</t>
  </si>
  <si>
    <t>E6.3. Fomentar las industrias creativas y promocionar las manifestaciones artísticas</t>
  </si>
  <si>
    <t>23. Instituciones deportivas</t>
  </si>
  <si>
    <t>24. Movilidad y Transporte</t>
  </si>
  <si>
    <t>3.9. Otras industrias y otros asuntos económicos</t>
  </si>
  <si>
    <t>1.7.3 Otros Asuntos de Orden Público y Seguridad</t>
  </si>
  <si>
    <t>3.4 Propiciar un ambiente de estabilidad macroeconómica y finanzas
públicas sostenibles que favorezcan la inversión pública y privada</t>
  </si>
  <si>
    <t>O24. Mejorar la estabilidad y funcionalidad del sistema democrático</t>
  </si>
  <si>
    <t>E6.4.Formar públicos para las artes y capacitación cultural</t>
  </si>
  <si>
    <t>24. Delegaciones</t>
  </si>
  <si>
    <t xml:space="preserve">25. Obra Pública y Control de la Edificación </t>
  </si>
  <si>
    <t>4.1. Transacciones de la deuda pública / costo financiero de la deuda</t>
  </si>
  <si>
    <t>1.7.4 Sistema Nacional de Seguridad Pública</t>
  </si>
  <si>
    <t>3.5 Establecer una política energética soberana, sostenible, baja en
emisiones y eficiente para garantizar la accesibilidad, calidad y
seguridad energética</t>
  </si>
  <si>
    <t>O25. Mejorar la efectividad de las instituciones públicas y gubernamentales</t>
  </si>
  <si>
    <t>E7.1. Generar políticas públicas para garantizar la protección y bienestar de la fauna doméstica y silvestre de la ciudad</t>
  </si>
  <si>
    <t>25. Grupos vulnerables</t>
  </si>
  <si>
    <t>26. Ordenamiento del Territorio</t>
  </si>
  <si>
    <t>4.2. Transferencias, participaciones y aportaciones entre diferentes niveles y órdenes de gobierno</t>
  </si>
  <si>
    <t>1.8.1 Servicios Registrales, Administrativos y Patrimoniales</t>
  </si>
  <si>
    <t xml:space="preserve">3.6 Desarrollar de manera transparente, una red de comunicaciones y
transportes accesible, segura, eficiente, sostenible, incluyente y
moderna, con visión de desarrollo regional y de redes logísticas que
conecte a todas las personas, facilite el traslado de bienes y servicios,
y que contribuya a salvaguardar la seguridad nacional </t>
  </si>
  <si>
    <t>O26. Mejorar la igualdad entre los géneros y empoderar a las mujeres</t>
  </si>
  <si>
    <t>E7.2. Promover en la población el cuidado responsable de los animales de compañía</t>
  </si>
  <si>
    <t>26. Colonias</t>
  </si>
  <si>
    <t>27. Centros Colmena</t>
  </si>
  <si>
    <t>Construcción General de Construcción a la comunidad</t>
  </si>
  <si>
    <t>4.3. Saneamiento del sistema financiero</t>
  </si>
  <si>
    <t>1.8.2 Servicios Estadísticos</t>
  </si>
  <si>
    <t>3.7 Facilitar a la población, el acceso y desarrollo transparente y
sostenible a las redes de radiodifusión y telecomunicaciones, con
énfasis en internet y banda ancha, e impulsar el desarrollo integral de
la economía digital</t>
  </si>
  <si>
    <t>O27. Incrementar la capacidad innovadora en los sectores social, privado y público</t>
  </si>
  <si>
    <t>E7.3. Consolidar a Guadalajara como una ciudad amigable con los animales</t>
  </si>
  <si>
    <t>27. Ejidos</t>
  </si>
  <si>
    <t>28. Educación y Cultura</t>
  </si>
  <si>
    <t>4.4. Adeudos de ejercicios fiscales anteriores</t>
  </si>
  <si>
    <t>1.8.3 Servicios de Comunicación y Medios</t>
  </si>
  <si>
    <t>3.8 Desarrollar de manera sostenible e incluyente los sectores
agropecuario y acuícola-pesquero en los territorios rurales, y en los
pueblos y comunidades indígenas y afromexicanas</t>
  </si>
  <si>
    <t>E8.1.Coadyuvar con otras áreas del Ayuntamiento, ONG’s, Asociaciones Civiles y demás instituciones en la prevención y el combate a las adicciones</t>
  </si>
  <si>
    <t>28. Instituciones financieras</t>
  </si>
  <si>
    <t xml:space="preserve">29. Oferta educativa </t>
  </si>
  <si>
    <t>1.8.4 Acceso a la Información Pública Gubernamental</t>
  </si>
  <si>
    <t>3.9 Posicionar a México como un destino turístico competitivo, de
vanguardia, sostenible e incluyente
vanguardia, sostenible e incluyent</t>
  </si>
  <si>
    <t>8.2. Diseñar estrategias de atención a grupos que requieran atención diferenciada</t>
  </si>
  <si>
    <t>29. Fideicomiso</t>
  </si>
  <si>
    <t>30. Manejo de la hacienda pública</t>
  </si>
  <si>
    <t>Tesorería</t>
  </si>
  <si>
    <t>1.8.5 Otros</t>
  </si>
  <si>
    <t>3.10 Fomentar un desarrollo económico que promueva la reducción de
emisiones de gases y compuestos de efecto invernadero y la
adaptación al cambio climático para mejorar la calidad de vida de la
población</t>
  </si>
  <si>
    <t>E9.1. Disminuir la cantidad de detenciones no vinculadas a proceso</t>
  </si>
  <si>
    <t>30. Organismos internacionales</t>
  </si>
  <si>
    <t>2.1.1 Ordenación de Desechos</t>
  </si>
  <si>
    <t>E9.2. Reducir las tasas delictivas</t>
  </si>
  <si>
    <t>31. Asociaciones civiles</t>
  </si>
  <si>
    <t>2.1.2 Administración del Agua</t>
  </si>
  <si>
    <t>E9.3. Mejorar la percepción ciudadana de la seguridad y eficacia de la policía</t>
  </si>
  <si>
    <t>32. Organizaciones no gubernamentales</t>
  </si>
  <si>
    <t>2.1.3 Ordenación de Aguas Residuales, Drenaje y Alcantarillado</t>
  </si>
  <si>
    <t>E9.4 Prevenir la naturalización de conductas indebidas en niños y adolescentes, con enfoque de derechos humanos, igualdad de género y gobernanza</t>
  </si>
  <si>
    <t>33. Instituciones educativas internacionales</t>
  </si>
  <si>
    <t>2.1.4 Reducción de la Contaminación</t>
  </si>
  <si>
    <t>E9.5 Reducir la violencia contra las Mujeres</t>
  </si>
  <si>
    <t>34. Instituciones de educación básica</t>
  </si>
  <si>
    <t>2.1.5 Protección de la Diversidad Biológica y del Paisaje</t>
  </si>
  <si>
    <t>E9.6 Fijar una política de respeto y protección a los derechos humanos a la igualdad de género y a la no discriminación</t>
  </si>
  <si>
    <t>35. Instituciones de educación media+</t>
  </si>
  <si>
    <t>2.1.6 Otros de Protección Ambiental</t>
  </si>
  <si>
    <t>E10.1. Reducir la probabilidad de peligros, riesgo y los daños a la población en general y a las infraestructuras, ocasionados por fenómenos naturales</t>
  </si>
  <si>
    <t>36. Instituciones de educación superior</t>
  </si>
  <si>
    <t>2.2.1 Urbanización</t>
  </si>
  <si>
    <t>E10.2. Reducir los riesgos derivados de fenómenos socio-organizativos</t>
  </si>
  <si>
    <t>37. Instituciones de educación técnica</t>
  </si>
  <si>
    <t>2.2.2 Desarrollo Comunitario</t>
  </si>
  <si>
    <t>E10.3.Crear un Sistema Municipal de Protección Civil</t>
  </si>
  <si>
    <t>38. Instituciones de educación</t>
  </si>
  <si>
    <t>2.2.3 Abastecimiento de Agua</t>
  </si>
  <si>
    <t>E10.4.Fortalecimiento del equipo USAR-GDL para mejorar tiempos de respuesta ante sismos, rescates y estructuras colapsadas</t>
  </si>
  <si>
    <t>39. Asociaciones vecinales</t>
  </si>
  <si>
    <t>2.2.4 Alumbrado Público</t>
  </si>
  <si>
    <t>E11.1. Instaurar en el área de juzgados municipales mecanismos de control y respeto a los derechos humanos, la inclusión y la perspectiva de género</t>
  </si>
  <si>
    <t>40.becarios</t>
  </si>
  <si>
    <t>2.2.5 Vivienda</t>
  </si>
  <si>
    <t>E11.2. Promover la “Cultura de la Paz” en todos los sectores sociales de la población del municipio</t>
  </si>
  <si>
    <t>41. Migrantes</t>
  </si>
  <si>
    <t>2.2.6 Servicios Comunales</t>
  </si>
  <si>
    <t>E11.3. Dar seguimiento a los infractores durante su arresto, generando responsabilidad y evitar reincidencia</t>
  </si>
  <si>
    <t>42. Instituto de pensiones del estado de jalisco</t>
  </si>
  <si>
    <t>2.2.7 Desarrollo Regional</t>
  </si>
  <si>
    <t>E12.1. Reducir los tiempos y ampliar la cobertura en la atención de reportes por fallas en servicios</t>
  </si>
  <si>
    <t>43. Imss</t>
  </si>
  <si>
    <t>2.3.1 Prestación de Servicios de Salud a la Comunidad</t>
  </si>
  <si>
    <t>E12.2. Mejorar los niveles de iluminación en la ciudad</t>
  </si>
  <si>
    <t>44. Cfe</t>
  </si>
  <si>
    <t>2.3.2 Prestación de Servicios de Salud a la Persona</t>
  </si>
  <si>
    <t>E12.3. Impulsar, con las diversas áreas involucradas del Municipio, una política integral y sostenible de gestión de residuos sólidos para reducir su volumen, costo e impacto ambiental</t>
  </si>
  <si>
    <t>45. Siapa</t>
  </si>
  <si>
    <t>2.3.3 Generación de Recursos para la Salud</t>
  </si>
  <si>
    <t>E12.4. Realizar un plan de mejoramiento y mantenimiento de los cementerios municipales para hacerlos más seguros y funcionales</t>
  </si>
  <si>
    <t>46. Instituciones de cultura</t>
  </si>
  <si>
    <t>2.3.4 Rectoría del Sistema de Salud</t>
  </si>
  <si>
    <t>E12.5. Mejorar la imagen, limpieza y conservación del equipamiento y mobiliario urbano</t>
  </si>
  <si>
    <t>47. Docentes</t>
  </si>
  <si>
    <t>2.3.5 Protección Social en Salud</t>
  </si>
  <si>
    <t>E12.6. Renovar la infraestructura de mercados municipales, además de brindarles mejoramiento y mantenimiento</t>
  </si>
  <si>
    <t>48. Sindicatos</t>
  </si>
  <si>
    <t>2.4.1 Deporte y Recreación</t>
  </si>
  <si>
    <t>E12.7. Mejorar la atención, cuidado y conservación de parques, jardines y áreas verdes intra - urbanas</t>
  </si>
  <si>
    <t>49. Colegios de profesionistas</t>
  </si>
  <si>
    <t>2.4.2 Cultura</t>
  </si>
  <si>
    <t>E12.8. Brindar mantenimiento efectivo a las infraestructuras y superficies de rodamiento en las vialidades</t>
  </si>
  <si>
    <t>50. Asociaciones empresariales</t>
  </si>
  <si>
    <t>2.4.3 Radio, Televisión y Editoriales</t>
  </si>
  <si>
    <t>E12.9. Realizar un plan de renovación integral del rastro municipal para mejorar su inocuidad, seguridad y eficiencia</t>
  </si>
  <si>
    <t>51. Camaras empresariales</t>
  </si>
  <si>
    <t>2.4.4 Asuntos Religiosos y Otras Manifestaciones Sociales</t>
  </si>
  <si>
    <t>E12.10. Regular y garantizar el orden en la operación de los tianguis y el comercio en espacios abiertos</t>
  </si>
  <si>
    <t>52. Sector primario</t>
  </si>
  <si>
    <t>2.5.1 Educación Básica</t>
  </si>
  <si>
    <t>E13.1.Renovación ampliación y mejoramiento de los equipamientos y espacios públicos</t>
  </si>
  <si>
    <t>53. Sector secundario</t>
  </si>
  <si>
    <t>2.5.2 Educación Media Superior</t>
  </si>
  <si>
    <t>E13.2. Impulso al desarrollo de vivienda adecuada a la demanda</t>
  </si>
  <si>
    <t>54. Sector de terciario</t>
  </si>
  <si>
    <t>2.5.3 Educación Superior</t>
  </si>
  <si>
    <t>E13.3. Mantener un entorno atractivo para que el sector privado de la vivienda tenga las mejores condiciones para generar la oferta de soluciones habitacionales que requiere el municipio</t>
  </si>
  <si>
    <t>55. Bomberos</t>
  </si>
  <si>
    <t>2.5.4 Posgrado</t>
  </si>
  <si>
    <t>E13.4. Retomar y fortalecer las atribuciones y capacidades de promoción inmobiliaria directa del Ayuntamiento para dirigirlas prioritariamente a la demanda de vivienda que no puede ser atendida por el sector privado</t>
  </si>
  <si>
    <t>56. Policias</t>
  </si>
  <si>
    <t>2.5.5 Educación para Adultos</t>
  </si>
  <si>
    <t>E13.5. Actualizar los instrumentos y normativa de ordenamiento territorial y planeación urbana en el municipio así como la normatividad relativa con criterios de sustentabilidad ambiental, accesibilidad universal y competitividad</t>
  </si>
  <si>
    <t>57. Personal del sector salud</t>
  </si>
  <si>
    <t>2.5.6 Otros Servicios Educativos y Actividades Inherentes</t>
  </si>
  <si>
    <t>E13.6. Mejorar las regulaciones de desarrollo urbano para que sean más simples y supongan una menor carga administrativa y al Ayuntamiento, sin poner en riesgo la salud pública, la seguridad de las edificaciones o la protección al medio ambiente</t>
  </si>
  <si>
    <t>58. Peatones</t>
  </si>
  <si>
    <t>2.6.1 Enfermedad e Incapacidad</t>
  </si>
  <si>
    <t>E14.1: Gestión y planeación de infraestructura para la movilidad no motorizada</t>
  </si>
  <si>
    <t>59. Ciclistas</t>
  </si>
  <si>
    <t>2.6.2 Edad Avanzada</t>
  </si>
  <si>
    <t>E14.2: Gestión, evaluación y planeación del tránsito y transporte</t>
  </si>
  <si>
    <t>60. Automovilistas</t>
  </si>
  <si>
    <t>2.6.3 Familia e Hijos</t>
  </si>
  <si>
    <t>E14.3: Renovación, ampliación y mejoramiento de la infraestructura</t>
  </si>
  <si>
    <t>61.reserva territorial</t>
  </si>
  <si>
    <t>2.6.4 Desempleo</t>
  </si>
  <si>
    <t>E14.4 Difusión y sensibilización de una correcta cultura vial, a través de programas educativos que promuevan la seguridad vial y un cambio de paradigma hacia una movilidad sustentable</t>
  </si>
  <si>
    <t>62. Área protegida</t>
  </si>
  <si>
    <t>2.6.5 Alimentación y Nutrición</t>
  </si>
  <si>
    <t>E14.5: Marco de colaboración normativa e implementación de los instrumentos legales en materia de movilidad</t>
  </si>
  <si>
    <t>63. Áreas de riesgo</t>
  </si>
  <si>
    <t>2.6.6 Apoyo Social para la Vivienda</t>
  </si>
  <si>
    <t>E14.6: Regulación y supervisión del estacionamiento</t>
  </si>
  <si>
    <t>64. Damnificados</t>
  </si>
  <si>
    <t>2.6.7 Indígenas</t>
  </si>
  <si>
    <t>E15.1 Generar y analizar diagnósticos integrales para una gestión con base en el conocimiento</t>
  </si>
  <si>
    <t>65. Especies protegidas</t>
  </si>
  <si>
    <t>E15.2 Fortalecer la gobernanza ambiental y la corresponsabilidad ciudadana con la sustentabilidad</t>
  </si>
  <si>
    <t>66. Fauna</t>
  </si>
  <si>
    <t>2.6.9 Otros de Seguridad Social y Asistencia Social</t>
  </si>
  <si>
    <t>E15.3 Conservar y mejorar la superficie verde intraurbana y la salud del arbolado</t>
  </si>
  <si>
    <t>67. Flora</t>
  </si>
  <si>
    <t>2.7.1 Otros Asuntos Sociales</t>
  </si>
  <si>
    <t>E15.4. Fortalecer la estrategia acción climática municipal</t>
  </si>
  <si>
    <t>68. Semovientes</t>
  </si>
  <si>
    <t>3.1.1 Asuntos Económicos y Comerciales en General</t>
  </si>
  <si>
    <t>E15.5. Consolidar el Programa de Gestión Integral de Residuos Base Cero</t>
  </si>
  <si>
    <t>69. Acuicultura</t>
  </si>
  <si>
    <t>3.1.2 Asuntos Laborales Generales</t>
  </si>
  <si>
    <t>E15.6. Reducir los niveles de contaminación ambiental mediante la aplicación de políticas regulatorias más efectivas</t>
  </si>
  <si>
    <t>70. Auditoria superior</t>
  </si>
  <si>
    <t>3.2.1 Agropecuaria</t>
  </si>
  <si>
    <t>E16.1. Mejorar las normas,
procedimientos y sistemas de
información para el manejo de
La hacienda municipal</t>
  </si>
  <si>
    <t>71. Órganos autónomos</t>
  </si>
  <si>
    <t>3.2.2 Silvicultura</t>
  </si>
  <si>
    <t>E16.2. Fortalecer la
recaudación de ingresos
municipales</t>
  </si>
  <si>
    <t>72. Asociaciones sin fines de lucro</t>
  </si>
  <si>
    <t>3.2.3 Acuacultura, Pesca y Caza</t>
  </si>
  <si>
    <t>E16.3. Propiciar un gasto
público más eficiente,
manteniendo la disciplina y el
equilibrio presupuestal, así
como la transparencia.</t>
  </si>
  <si>
    <t>73. Cooperativas</t>
  </si>
  <si>
    <t>3.2.4 Agroindustrial</t>
  </si>
  <si>
    <t>E17.1. Hacer más eficiente la administración de los recursos, bienes y servicios adquiridos como parte del patrimonio municipal</t>
  </si>
  <si>
    <t>74. Cruz roja</t>
  </si>
  <si>
    <t>3.2.5 Hidroagrícola</t>
  </si>
  <si>
    <t>E17.2. Desarrollar el sistema de capacitación, profesionalización y certificación de aptitudes, así como garantizar la calidad en el servicio público</t>
  </si>
  <si>
    <t>75. Tianguis</t>
  </si>
  <si>
    <t>3.2.6 Apoyo Financiero a la Banca y Seguro Agropecuario</t>
  </si>
  <si>
    <t>E17.3. Impulsar la innovación y mejora tecnológica en la operación de las dependencias públicas</t>
  </si>
  <si>
    <t>76. Indigentes</t>
  </si>
  <si>
    <t>3.3.1 Carbón y Otros Combustibles Minerales Sólidos</t>
  </si>
  <si>
    <t>E17.4. Mejorar la comunicación estratégica del gobierno hacia la ciudadanía</t>
  </si>
  <si>
    <t>77. Inmigrante</t>
  </si>
  <si>
    <t>3.3.2 Petróleo y Gas Natural (Hidrocarburos)</t>
  </si>
  <si>
    <t>E17.5. Impulsar la calidad en el servicio y mejorar la eficiencia administrativa</t>
  </si>
  <si>
    <t>78. Estudiantes</t>
  </si>
  <si>
    <t>3.3.3 Combustibles Nucleares</t>
  </si>
  <si>
    <t>E17.6.Descentralizar y facilitar el acercamiento de los servicios de las distintas dependencias a cada zona del municipio</t>
  </si>
  <si>
    <t>79. Enfermo crónico degenerativo</t>
  </si>
  <si>
    <t>3.3.4 Otros Combustibles</t>
  </si>
  <si>
    <t>E17.7 Vincular y coordinar a las distintas áreas del Gobierno de Guadalajara con la población de la ciudad</t>
  </si>
  <si>
    <t>80. Enfermo ambulatorio</t>
  </si>
  <si>
    <t>3.3.5 Electricidad</t>
  </si>
  <si>
    <t>E17.8. Supervisar el cumplimiento de la normatividad municipal para asegurar el orden y respeto en la ciudad</t>
  </si>
  <si>
    <t>81. Museos</t>
  </si>
  <si>
    <t>3.3.6 Energía no Eléctrica</t>
  </si>
  <si>
    <t>E18.1. Garantizar el acceso a la información, rendición de cuentas y protección de datos personales basado en los criterios que establece la normatividad en la materia y los organismos evaluadores de mayor acreditación en transparencia</t>
  </si>
  <si>
    <t>82. Servidores públicos</t>
  </si>
  <si>
    <t>3.4.1 Extracción de Recursos Minerales excepto los Combustibles Minerales</t>
  </si>
  <si>
    <t>E18.2. Alcanzar los máximos niveles de transparencia a través de seguir publicando de forma continua información más transparente, clara, accesible, utilizando software de acceso libre</t>
  </si>
  <si>
    <t>83. Fuerzas armadas</t>
  </si>
  <si>
    <t>3.4.2 Manufacturas</t>
  </si>
  <si>
    <t>E19.1. Involucrar a la ciudadanía en la instauración de acciones y políticas anticorrupción</t>
  </si>
  <si>
    <t>84. Zona arqueológica</t>
  </si>
  <si>
    <t>3.4.3 Construcción</t>
  </si>
  <si>
    <t>E19.2. Impulsar acciones para armonizar y verificar el cumplimiento del marco normativo y la instrumentación de medidas preventivas que abatan los niveles de corrupción</t>
  </si>
  <si>
    <t>85. Huérfanos</t>
  </si>
  <si>
    <t>3.5.1 Transporte por Carretera</t>
  </si>
  <si>
    <t>E20.1. Fortalecer los mecanismos de coordinación, revisión y validación jurídica de los actos efectuados por la administración</t>
  </si>
  <si>
    <t>86. Desaparecidos</t>
  </si>
  <si>
    <t>3.5.2 Transporte por Agua y Puertos</t>
  </si>
  <si>
    <t>E20.2. Mejorar los procesos de información, trámite y gestión de los actos jurídicos y sus procesos en los que sea parte el Gobierno Municipal</t>
  </si>
  <si>
    <t>87. Víctima</t>
  </si>
  <si>
    <t>3.5.3 Transporte por Ferrocarril</t>
  </si>
  <si>
    <t>E21.1. Publicar y dar puntual seguimiento a los acuerdos del Ayuntamiento</t>
  </si>
  <si>
    <t>88. Infractor</t>
  </si>
  <si>
    <t>3.5.4 Transporte Aéreo</t>
  </si>
  <si>
    <t>E21.2. Atender y canalizar las solicitudes ciudadanas</t>
  </si>
  <si>
    <t>89. Indemnizados por responsabilidad patrimonial</t>
  </si>
  <si>
    <t>3.5.5 Transporte por Oleoductos y Gasoductos y Otros Sistemas de Transporte</t>
  </si>
  <si>
    <t>E21.3. Mejorar las condiciones operativas del archivo histórico del municipio sistematizando sus herramientas de consulta</t>
  </si>
  <si>
    <t>90. Artistas</t>
  </si>
  <si>
    <t>3.5.6 Otros Relacionados con Transporte</t>
  </si>
  <si>
    <t>E21.4.Prestar eficientemente los servicios del registro civil</t>
  </si>
  <si>
    <t>91. Ciudadanos</t>
  </si>
  <si>
    <t>3.6.1 Comunicaciones</t>
  </si>
  <si>
    <t>E21.5. Incrementar los lazos e intercambios del municipio a nivel internacional</t>
  </si>
  <si>
    <t>92. Residentes</t>
  </si>
  <si>
    <t>3.7.1 Turismo</t>
  </si>
  <si>
    <t>93. Madres solteras</t>
  </si>
  <si>
    <t>3.7.2 Hoteles y Restaurantes</t>
  </si>
  <si>
    <t>94. Menores en edad escolar básica</t>
  </si>
  <si>
    <t>3.8.1 Investigación Científica</t>
  </si>
  <si>
    <t>95. Estudiantes en edad escolar media</t>
  </si>
  <si>
    <t>3.8.2 Desarrollo Tecnológico</t>
  </si>
  <si>
    <t>96. Estudiantes en edad escolar superior</t>
  </si>
  <si>
    <t>3.8.3 Servicios Científicos y Tecnológicos</t>
  </si>
  <si>
    <t>97. Indistinto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</si>
  <si>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</si>
  <si>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</si>
  <si>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</si>
  <si>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</si>
  <si>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</si>
  <si>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</si>
  <si>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Órdenes de Gobierno</t>
  </si>
  <si>
    <t>4.2.2 Participaciones entre Diferentes Niveles y Órdenes de Gobierno</t>
  </si>
  <si>
    <t>4.2.3 Aportaciones entre Diferentes Niveles y Órdenes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</si>
  <si>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</si>
  <si>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</si>
  <si>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</si>
  <si>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</si>
  <si>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</si>
  <si>
    <t>244.32%</t>
  </si>
  <si>
    <t>86.96%</t>
  </si>
  <si>
    <t>436</t>
  </si>
  <si>
    <t>104.33%</t>
  </si>
  <si>
    <t>123.73%</t>
  </si>
  <si>
    <t>1146</t>
  </si>
  <si>
    <t>98.61%</t>
  </si>
  <si>
    <t>162.17%</t>
  </si>
  <si>
    <t>105</t>
  </si>
  <si>
    <t>100.00%</t>
  </si>
  <si>
    <t>53.33%</t>
  </si>
  <si>
    <t>7823</t>
  </si>
  <si>
    <t>108.00%</t>
  </si>
  <si>
    <t>99.75%</t>
  </si>
  <si>
    <t>55.44%</t>
  </si>
  <si>
    <t>55.69%</t>
  </si>
  <si>
    <t>54.26%</t>
  </si>
  <si>
    <t>META ALCANZADA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</si>
</sst>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color rgb="FF000000"/>
      <name val="Arial"/>
      <scheme val="minor"/>
    </font>
    <font>
      <sz val="11"/>
      <color theme="1"/>
      <name val="Calibri"/>
    </font>
    <font>
      <b/>
      <sz val="11"/>
      <color theme="1"/>
      <name val="Calibri"/>
    </font>
    <font>
      <sz val="10"/>
      <name val="Arial"/>
    </font>
    <font>
      <sz val="12"/>
      <color theme="1"/>
      <name val="Calibri"/>
    </font>
    <font>
      <b/>
      <sz val="12"/>
      <color theme="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sz val="10"/>
      <color theme="1"/>
      <name val="Arial"/>
      <scheme val="minor"/>
    </font>
    <font>
      <b/>
      <sz val="11"/>
      <color theme="1"/>
      <name val="Arial"/>
    </font>
    <font>
      <sz val="12"/>
      <color theme="1"/>
      <name val="&quot;Noto Sans Symbols&quot;"/>
    </font>
    <font>
      <sz val="10"/>
      <color theme="1"/>
      <name val="Arial"/>
    </font>
    <font>
      <sz val="11"/>
      <color theme="1"/>
      <name val="Arial"/>
    </font>
    <font>
      <b/>
      <sz val="9"/>
      <color theme="1"/>
      <name val="Arial"/>
    </font>
    <font>
      <sz val="10"/>
      <color rgb="FF000000"/>
      <name val="Roboto"/>
    </font>
    <font>
      <sz val="11"/>
      <color rgb="FF000000"/>
      <name val="Roboto"/>
    </font>
    <font>
      <sz val="8"/>
      <color theme="1"/>
      <name val="Arial"/>
    </font>
    <font>
      <sz val="11"/>
      <color theme="1"/>
      <name val="Arial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3" fontId="1" fillId="2" borderId="0" xfId="0" applyNumberFormat="1" applyFont="1" applyFill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3" fontId="6" fillId="5" borderId="13" xfId="0" applyNumberFormat="1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3" fontId="1" fillId="5" borderId="3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3" fontId="7" fillId="4" borderId="0" xfId="0" applyNumberFormat="1" applyFont="1" applyFill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/>
    </xf>
    <xf numFmtId="3" fontId="7" fillId="4" borderId="5" xfId="0" applyNumberFormat="1" applyFont="1" applyFill="1" applyBorder="1" applyAlignment="1">
      <alignment horizontal="center" vertical="center" wrapText="1"/>
    </xf>
    <xf numFmtId="3" fontId="7" fillId="4" borderId="15" xfId="0" applyNumberFormat="1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 wrapText="1"/>
    </xf>
    <xf numFmtId="3" fontId="1" fillId="5" borderId="2" xfId="0" applyNumberFormat="1" applyFont="1" applyFill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3" fontId="13" fillId="0" borderId="14" xfId="0" applyNumberFormat="1" applyFont="1" applyBorder="1" applyAlignment="1">
      <alignment horizontal="center" vertical="center"/>
    </xf>
    <xf numFmtId="3" fontId="12" fillId="5" borderId="3" xfId="0" applyNumberFormat="1" applyFont="1" applyFill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3" fontId="14" fillId="5" borderId="4" xfId="0" applyNumberFormat="1" applyFont="1" applyFill="1" applyBorder="1" applyAlignment="1">
      <alignment horizontal="center" vertical="center" wrapText="1"/>
    </xf>
    <xf numFmtId="3" fontId="14" fillId="0" borderId="17" xfId="0" applyNumberFormat="1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 wrapText="1"/>
    </xf>
    <xf numFmtId="3" fontId="14" fillId="5" borderId="17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13" fillId="5" borderId="4" xfId="0" applyNumberFormat="1" applyFont="1" applyFill="1" applyBorder="1" applyAlignment="1">
      <alignment horizontal="center" vertical="center" wrapText="1"/>
    </xf>
    <xf numFmtId="3" fontId="16" fillId="5" borderId="4" xfId="0" applyNumberFormat="1" applyFont="1" applyFill="1" applyBorder="1" applyAlignment="1">
      <alignment horizontal="center" vertical="center" wrapText="1"/>
    </xf>
    <xf numFmtId="3" fontId="17" fillId="5" borderId="4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/>
    <xf numFmtId="0" fontId="2" fillId="0" borderId="18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3" xfId="0" applyFont="1" applyBorder="1"/>
    <xf numFmtId="0" fontId="1" fillId="0" borderId="19" xfId="0" applyFont="1" applyBorder="1" applyAlignment="1">
      <alignment wrapText="1"/>
    </xf>
    <xf numFmtId="0" fontId="1" fillId="0" borderId="3" xfId="0" applyFont="1" applyBorder="1" applyAlignment="1"/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8" fillId="0" borderId="3" xfId="0" applyFont="1" applyBorder="1" applyAlignment="1">
      <alignment wrapText="1"/>
    </xf>
    <xf numFmtId="0" fontId="1" fillId="0" borderId="19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20" xfId="0" applyFont="1" applyBorder="1"/>
    <xf numFmtId="0" fontId="1" fillId="0" borderId="2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0" xfId="0" applyFont="1" applyBorder="1" applyAlignment="1">
      <alignment wrapText="1"/>
    </xf>
    <xf numFmtId="0" fontId="1" fillId="0" borderId="21" xfId="0" applyFont="1" applyBorder="1"/>
    <xf numFmtId="0" fontId="1" fillId="0" borderId="1" xfId="0" applyFont="1" applyBorder="1" applyAlignment="1"/>
    <xf numFmtId="0" fontId="1" fillId="0" borderId="18" xfId="0" applyFont="1" applyBorder="1"/>
    <xf numFmtId="0" fontId="1" fillId="0" borderId="2" xfId="0" applyFont="1" applyBorder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/>
    <xf numFmtId="0" fontId="10" fillId="0" borderId="0" xfId="0" applyFont="1"/>
    <xf numFmtId="3" fontId="10" fillId="0" borderId="0" xfId="0" applyNumberFormat="1" applyFont="1"/>
    <xf numFmtId="0" fontId="10" fillId="0" borderId="0" xfId="0" applyFont="1"/>
    <xf numFmtId="0" fontId="19" fillId="0" borderId="0" xfId="0" applyFont="1" applyAlignment="1"/>
    <xf numFmtId="0" fontId="3" fillId="0" borderId="2" xfId="0" applyFont="1" applyBorder="1"/>
    <xf numFmtId="0" fontId="3" fillId="0" borderId="1" xfId="0" applyFont="1" applyBorder="1"/>
    <xf numFmtId="0" fontId="3" fillId="0" borderId="3" xfId="0" applyFont="1" applyBorder="1"/>
    <xf numFmtId="3" fontId="5" fillId="2" borderId="7" xfId="0" applyNumberFormat="1" applyFont="1" applyFill="1" applyBorder="1" applyAlignment="1">
      <alignment horizontal="center" vertical="center"/>
    </xf>
    <xf numFmtId="0" fontId="3" fillId="0" borderId="8" xfId="0" applyFont="1" applyBorder="1"/>
    <xf numFmtId="3" fontId="7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5" xfId="0" applyFont="1" applyBorder="1"/>
    <xf numFmtId="3" fontId="6" fillId="0" borderId="9" xfId="0" applyNumberFormat="1" applyFont="1" applyBorder="1" applyAlignment="1">
      <alignment horizontal="center" vertical="center" wrapText="1"/>
    </xf>
    <xf numFmtId="3" fontId="9" fillId="4" borderId="11" xfId="0" applyNumberFormat="1" applyFont="1" applyFill="1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/>
    </xf>
    <xf numFmtId="3" fontId="12" fillId="5" borderId="9" xfId="0" applyNumberFormat="1" applyFont="1" applyFill="1" applyBorder="1" applyAlignment="1">
      <alignment horizontal="center" vertical="center" wrapText="1"/>
    </xf>
    <xf numFmtId="3" fontId="12" fillId="5" borderId="13" xfId="0" applyNumberFormat="1" applyFont="1" applyFill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3" fillId="0" borderId="21" xfId="0" applyFont="1" applyBorder="1"/>
    <xf numFmtId="0" fontId="1" fillId="0" borderId="2" xfId="0" applyFont="1" applyBorder="1" applyAlignment="1">
      <alignment horizontal="center"/>
    </xf>
    <xf numFmtId="49" fontId="20" fillId="0" borderId="4" xfId="0" applyNumberFormat="1" applyFont="1" applyBorder="1" applyAlignment="1">
      <alignment horizontal="center" vertical="center" wrapText="1"/>
    </xf>
    <xf numFmtId="3" fontId="21" fillId="4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36"/>
  <sheetViews>
    <sheetView tabSelected="1" zoomScale="80" zoomScaleNormal="80" workbookViewId="0">
      <pane xSplit="2" topLeftCell="C1" activePane="topRight" state="frozen"/>
      <selection pane="topRight" activeCell="D33" sqref="D33"/>
    </sheetView>
  </sheetViews>
  <sheetFormatPr baseColWidth="10" defaultColWidth="12.5703125" defaultRowHeight="15.75" customHeight="1"/>
  <cols>
    <col min="1" max="1" width="20.85546875" customWidth="1"/>
    <col min="2" max="2" width="44.85546875" customWidth="1"/>
    <col min="3" max="3" width="22" customWidth="1"/>
    <col min="4" max="4" width="23.42578125" customWidth="1"/>
    <col min="5" max="5" width="17" customWidth="1"/>
    <col min="6" max="6" width="19" customWidth="1"/>
    <col min="7" max="7" width="18.42578125" customWidth="1"/>
    <col min="8" max="8" width="22.7109375" customWidth="1"/>
    <col min="9" max="9" width="22.42578125" customWidth="1"/>
    <col min="10" max="10" width="26.140625" customWidth="1"/>
    <col min="11" max="11" width="18.28515625" customWidth="1"/>
    <col min="12" max="12" width="18.5703125" customWidth="1"/>
    <col min="13" max="13" width="17.140625" customWidth="1"/>
    <col min="14" max="14" width="17" customWidth="1"/>
    <col min="15" max="16" width="20.140625" customWidth="1"/>
    <col min="17" max="18" width="16.42578125" customWidth="1"/>
  </cols>
  <sheetData>
    <row r="1" spans="1:18">
      <c r="A1" s="4"/>
      <c r="B1" s="5"/>
      <c r="C1" s="6"/>
      <c r="D1" s="6"/>
      <c r="E1" s="6"/>
      <c r="F1" s="6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4"/>
    </row>
    <row r="2" spans="1:18">
      <c r="A2" s="4"/>
      <c r="B2" s="5"/>
      <c r="C2" s="6"/>
      <c r="D2" s="6"/>
      <c r="E2" s="6"/>
      <c r="F2" s="6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4"/>
    </row>
    <row r="3" spans="1:18">
      <c r="A3" s="4"/>
      <c r="B3" s="5"/>
      <c r="C3" s="6"/>
      <c r="D3" s="6"/>
      <c r="E3" s="6"/>
      <c r="F3" s="6"/>
      <c r="G3" s="6"/>
      <c r="H3" s="5"/>
      <c r="I3" s="5"/>
      <c r="J3" s="5"/>
      <c r="K3" s="5"/>
      <c r="L3" s="5"/>
      <c r="M3" s="5"/>
      <c r="N3" s="5"/>
      <c r="O3" s="5"/>
      <c r="P3" s="5"/>
      <c r="Q3" s="5"/>
      <c r="R3" s="4"/>
    </row>
    <row r="4" spans="1:18">
      <c r="A4" s="4"/>
      <c r="B4" s="5"/>
      <c r="C4" s="86" t="s">
        <v>0</v>
      </c>
      <c r="D4" s="87"/>
      <c r="E4" s="87"/>
      <c r="F4" s="87"/>
      <c r="G4" s="87"/>
      <c r="H4" s="5"/>
      <c r="I4" s="5"/>
      <c r="J4" s="5"/>
      <c r="K4" s="5"/>
      <c r="L4" s="5"/>
      <c r="M4" s="5"/>
      <c r="N4" s="5"/>
      <c r="O4" s="5"/>
      <c r="P4" s="5"/>
      <c r="Q4" s="5"/>
      <c r="R4" s="4"/>
    </row>
    <row r="5" spans="1:18">
      <c r="A5" s="4"/>
      <c r="B5" s="5"/>
      <c r="C5" s="86" t="s">
        <v>1</v>
      </c>
      <c r="D5" s="87"/>
      <c r="E5" s="87"/>
      <c r="F5" s="87"/>
      <c r="G5" s="87"/>
      <c r="H5" s="5"/>
      <c r="I5" s="5"/>
      <c r="J5" s="5"/>
      <c r="K5" s="5"/>
      <c r="L5" s="5"/>
      <c r="M5" s="5"/>
      <c r="N5" s="5"/>
      <c r="O5" s="5"/>
      <c r="P5" s="5"/>
      <c r="Q5" s="5"/>
      <c r="R5" s="4"/>
    </row>
    <row r="6" spans="1:18">
      <c r="A6" s="4"/>
      <c r="B6" s="5"/>
      <c r="C6" s="86" t="s">
        <v>2</v>
      </c>
      <c r="D6" s="87"/>
      <c r="E6" s="87"/>
      <c r="F6" s="87"/>
      <c r="G6" s="87"/>
      <c r="H6" s="5"/>
      <c r="I6" s="5"/>
      <c r="J6" s="5"/>
      <c r="K6" s="5"/>
      <c r="L6" s="5"/>
      <c r="M6" s="5"/>
      <c r="N6" s="5"/>
      <c r="O6" s="5"/>
      <c r="P6" s="5"/>
      <c r="Q6" s="5"/>
      <c r="R6" s="4"/>
    </row>
    <row r="7" spans="1:18">
      <c r="A7" s="4"/>
      <c r="B7" s="5"/>
      <c r="C7" s="86"/>
      <c r="D7" s="87"/>
      <c r="E7" s="87"/>
      <c r="F7" s="87"/>
      <c r="G7" s="87"/>
      <c r="H7" s="5"/>
      <c r="I7" s="5"/>
      <c r="J7" s="5"/>
      <c r="K7" s="5"/>
      <c r="L7" s="5"/>
      <c r="M7" s="5"/>
      <c r="N7" s="5"/>
      <c r="O7" s="5"/>
      <c r="P7" s="5"/>
      <c r="Q7" s="5"/>
      <c r="R7" s="4"/>
    </row>
    <row r="8" spans="1:18">
      <c r="A8" s="4"/>
      <c r="B8" s="5"/>
      <c r="C8" s="7"/>
      <c r="D8" s="7"/>
      <c r="E8" s="7"/>
      <c r="F8" s="7"/>
      <c r="G8" s="7"/>
      <c r="H8" s="5"/>
      <c r="I8" s="5"/>
      <c r="J8" s="5"/>
      <c r="K8" s="5"/>
      <c r="L8" s="5"/>
      <c r="M8" s="5"/>
      <c r="N8" s="5"/>
      <c r="O8" s="5"/>
      <c r="P8" s="5"/>
      <c r="Q8" s="5"/>
      <c r="R8" s="4"/>
    </row>
    <row r="9" spans="1:18">
      <c r="A9" s="4"/>
      <c r="B9" s="5"/>
      <c r="C9" s="6"/>
      <c r="D9" s="6"/>
      <c r="E9" s="6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4"/>
    </row>
    <row r="10" spans="1:18">
      <c r="A10" s="4"/>
      <c r="B10" s="5"/>
      <c r="C10" s="6"/>
      <c r="D10" s="6"/>
      <c r="E10" s="6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4"/>
    </row>
    <row r="11" spans="1:18">
      <c r="A11" s="4"/>
      <c r="B11" s="5"/>
      <c r="C11" s="6"/>
      <c r="D11" s="6"/>
      <c r="E11" s="6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4"/>
    </row>
    <row r="12" spans="1:18" ht="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8"/>
    </row>
    <row r="13" spans="1:18">
      <c r="A13" s="10"/>
      <c r="B13" s="11" t="s">
        <v>3</v>
      </c>
      <c r="C13" s="88" t="s">
        <v>4</v>
      </c>
      <c r="D13" s="89"/>
      <c r="E13" s="89"/>
      <c r="F13" s="89"/>
      <c r="G13" s="90"/>
      <c r="H13" s="9"/>
      <c r="I13" s="9"/>
      <c r="J13" s="9"/>
      <c r="K13" s="9"/>
      <c r="L13" s="9"/>
      <c r="M13" s="9"/>
      <c r="N13" s="9"/>
      <c r="O13" s="9"/>
      <c r="P13" s="9"/>
      <c r="Q13" s="9"/>
      <c r="R13" s="8"/>
    </row>
    <row r="14" spans="1:18">
      <c r="A14" s="10"/>
      <c r="B14" s="11" t="s">
        <v>5</v>
      </c>
      <c r="C14" s="91" t="s">
        <v>6</v>
      </c>
      <c r="D14" s="89"/>
      <c r="E14" s="89"/>
      <c r="F14" s="89"/>
      <c r="G14" s="90"/>
      <c r="H14" s="12" t="s">
        <v>7</v>
      </c>
      <c r="I14" s="9"/>
      <c r="J14" s="9"/>
      <c r="K14" s="9"/>
      <c r="L14" s="9"/>
      <c r="M14" s="9"/>
      <c r="N14" s="9"/>
      <c r="O14" s="9"/>
      <c r="P14" s="9"/>
      <c r="Q14" s="9"/>
      <c r="R14" s="8"/>
    </row>
    <row r="15" spans="1:18">
      <c r="A15" s="10"/>
      <c r="B15" s="11" t="s">
        <v>8</v>
      </c>
      <c r="C15" s="91" t="s">
        <v>9</v>
      </c>
      <c r="D15" s="89"/>
      <c r="E15" s="89"/>
      <c r="F15" s="89"/>
      <c r="G15" s="90"/>
      <c r="H15" s="12" t="s">
        <v>7</v>
      </c>
      <c r="I15" s="9"/>
      <c r="J15" s="9"/>
      <c r="K15" s="9"/>
      <c r="L15" s="9"/>
      <c r="M15" s="9"/>
      <c r="N15" s="9"/>
      <c r="O15" s="9"/>
      <c r="P15" s="9"/>
      <c r="Q15" s="9"/>
      <c r="R15" s="8"/>
    </row>
    <row r="16" spans="1:18">
      <c r="A16" s="10"/>
      <c r="B16" s="11" t="s">
        <v>10</v>
      </c>
      <c r="C16" s="91" t="s">
        <v>11</v>
      </c>
      <c r="D16" s="89"/>
      <c r="E16" s="89"/>
      <c r="F16" s="89"/>
      <c r="G16" s="90"/>
      <c r="H16" s="9"/>
      <c r="I16" s="9"/>
      <c r="J16" s="9"/>
      <c r="K16" s="9"/>
      <c r="L16" s="9"/>
      <c r="M16" s="9"/>
      <c r="N16" s="9"/>
      <c r="O16" s="9"/>
      <c r="P16" s="9"/>
      <c r="Q16" s="9"/>
      <c r="R16" s="8"/>
    </row>
    <row r="17" spans="1:18">
      <c r="A17" s="10"/>
      <c r="B17" s="11" t="s">
        <v>12</v>
      </c>
      <c r="C17" s="91" t="s">
        <v>13</v>
      </c>
      <c r="D17" s="89"/>
      <c r="E17" s="89"/>
      <c r="F17" s="89"/>
      <c r="G17" s="90"/>
      <c r="H17" s="12" t="s">
        <v>7</v>
      </c>
      <c r="I17" s="9"/>
      <c r="J17" s="9"/>
      <c r="K17" s="9"/>
      <c r="L17" s="9"/>
      <c r="M17" s="9"/>
      <c r="N17" s="9"/>
      <c r="O17" s="9"/>
      <c r="P17" s="9"/>
      <c r="Q17" s="9"/>
      <c r="R17" s="8"/>
    </row>
    <row r="18" spans="1:18">
      <c r="A18" s="10"/>
      <c r="B18" s="11" t="s">
        <v>14</v>
      </c>
      <c r="C18" s="91" t="s">
        <v>15</v>
      </c>
      <c r="D18" s="89"/>
      <c r="E18" s="89"/>
      <c r="F18" s="89"/>
      <c r="G18" s="90"/>
      <c r="H18" s="12" t="s">
        <v>7</v>
      </c>
      <c r="I18" s="9"/>
      <c r="J18" s="9"/>
      <c r="K18" s="9"/>
      <c r="L18" s="9"/>
      <c r="M18" s="9"/>
      <c r="N18" s="9"/>
      <c r="O18" s="9"/>
      <c r="P18" s="9"/>
      <c r="Q18" s="9"/>
      <c r="R18" s="8"/>
    </row>
    <row r="19" spans="1:18" hidden="1">
      <c r="A19" s="10"/>
      <c r="B19" s="11" t="s">
        <v>16</v>
      </c>
      <c r="C19" s="91"/>
      <c r="D19" s="89"/>
      <c r="E19" s="89"/>
      <c r="F19" s="89"/>
      <c r="G19" s="90"/>
      <c r="H19" s="9"/>
      <c r="I19" s="9"/>
      <c r="J19" s="9"/>
      <c r="K19" s="9"/>
      <c r="L19" s="9"/>
      <c r="M19" s="9"/>
      <c r="N19" s="9"/>
      <c r="O19" s="9"/>
      <c r="P19" s="9"/>
      <c r="Q19" s="9"/>
      <c r="R19" s="8"/>
    </row>
    <row r="20" spans="1:18">
      <c r="A20" s="10"/>
      <c r="B20" s="11" t="s">
        <v>16</v>
      </c>
      <c r="C20" s="91" t="s">
        <v>17</v>
      </c>
      <c r="D20" s="89"/>
      <c r="E20" s="89"/>
      <c r="F20" s="89"/>
      <c r="G20" s="90"/>
      <c r="H20" s="12" t="s">
        <v>7</v>
      </c>
      <c r="I20" s="9"/>
      <c r="J20" s="9"/>
      <c r="K20" s="9"/>
      <c r="L20" s="9"/>
      <c r="M20" s="9"/>
      <c r="N20" s="9"/>
      <c r="O20" s="9"/>
      <c r="P20" s="9"/>
      <c r="Q20" s="9"/>
      <c r="R20" s="8"/>
    </row>
    <row r="21" spans="1:18" ht="31.5">
      <c r="A21" s="92" t="s">
        <v>18</v>
      </c>
      <c r="B21" s="11" t="s">
        <v>19</v>
      </c>
      <c r="C21" s="91" t="s">
        <v>20</v>
      </c>
      <c r="D21" s="89"/>
      <c r="E21" s="89"/>
      <c r="F21" s="89"/>
      <c r="G21" s="90"/>
      <c r="H21" s="12" t="s">
        <v>7</v>
      </c>
      <c r="I21" s="13"/>
      <c r="J21" s="9"/>
      <c r="K21" s="9"/>
      <c r="L21" s="9"/>
      <c r="M21" s="9"/>
      <c r="N21" s="9"/>
      <c r="O21" s="9"/>
      <c r="P21" s="9"/>
      <c r="Q21" s="9"/>
      <c r="R21" s="8"/>
    </row>
    <row r="22" spans="1:18" ht="31.5">
      <c r="A22" s="85"/>
      <c r="B22" s="11" t="s">
        <v>21</v>
      </c>
      <c r="C22" s="91" t="s">
        <v>22</v>
      </c>
      <c r="D22" s="89"/>
      <c r="E22" s="89"/>
      <c r="F22" s="89"/>
      <c r="G22" s="90"/>
      <c r="H22" s="12" t="s">
        <v>7</v>
      </c>
      <c r="I22" s="9"/>
      <c r="J22" s="9"/>
      <c r="K22" s="9"/>
      <c r="L22" s="9"/>
      <c r="M22" s="9"/>
      <c r="N22" s="9"/>
      <c r="O22" s="9"/>
      <c r="P22" s="9"/>
      <c r="Q22" s="9"/>
      <c r="R22" s="8"/>
    </row>
    <row r="23" spans="1:18" ht="31.5">
      <c r="A23" s="93" t="s">
        <v>23</v>
      </c>
      <c r="B23" s="11" t="s">
        <v>24</v>
      </c>
      <c r="C23" s="95" t="s">
        <v>25</v>
      </c>
      <c r="D23" s="89"/>
      <c r="E23" s="89"/>
      <c r="F23" s="89"/>
      <c r="G23" s="90"/>
      <c r="H23" s="14" t="s">
        <v>7</v>
      </c>
      <c r="I23" s="9"/>
      <c r="J23" s="9"/>
      <c r="K23" s="9"/>
      <c r="L23" s="9"/>
      <c r="M23" s="9"/>
      <c r="N23" s="9"/>
      <c r="O23" s="9"/>
      <c r="P23" s="9"/>
      <c r="Q23" s="9"/>
      <c r="R23" s="8"/>
    </row>
    <row r="24" spans="1:18" ht="31.5">
      <c r="A24" s="85"/>
      <c r="B24" s="11" t="s">
        <v>26</v>
      </c>
      <c r="C24" s="96" t="s">
        <v>27</v>
      </c>
      <c r="D24" s="84"/>
      <c r="E24" s="84"/>
      <c r="F24" s="84"/>
      <c r="G24" s="85"/>
      <c r="H24" s="14" t="s">
        <v>7</v>
      </c>
      <c r="I24" s="9"/>
      <c r="J24" s="9"/>
      <c r="K24" s="9"/>
      <c r="L24" s="9"/>
      <c r="M24" s="9"/>
      <c r="N24" s="9"/>
      <c r="O24" s="9"/>
      <c r="P24" s="9"/>
      <c r="Q24" s="9"/>
      <c r="R24" s="8"/>
    </row>
    <row r="25" spans="1:18" ht="31.5">
      <c r="A25" s="93" t="s">
        <v>28</v>
      </c>
      <c r="B25" s="11" t="s">
        <v>29</v>
      </c>
      <c r="C25" s="96" t="s">
        <v>30</v>
      </c>
      <c r="D25" s="84"/>
      <c r="E25" s="84"/>
      <c r="F25" s="84"/>
      <c r="G25" s="85"/>
      <c r="H25" s="14" t="s">
        <v>7</v>
      </c>
      <c r="I25" s="9"/>
      <c r="J25" s="9"/>
      <c r="K25" s="9"/>
      <c r="L25" s="9"/>
      <c r="M25" s="9"/>
      <c r="N25" s="9"/>
      <c r="O25" s="9"/>
      <c r="P25" s="9"/>
      <c r="Q25" s="9"/>
      <c r="R25" s="8"/>
    </row>
    <row r="26" spans="1:18" ht="31.5">
      <c r="A26" s="83"/>
      <c r="B26" s="11" t="s">
        <v>31</v>
      </c>
      <c r="C26" s="15" t="s">
        <v>32</v>
      </c>
      <c r="D26" s="16"/>
      <c r="E26" s="16"/>
      <c r="F26" s="16"/>
      <c r="G26" s="17"/>
      <c r="H26" s="14" t="s">
        <v>7</v>
      </c>
      <c r="I26" s="9"/>
      <c r="J26" s="9"/>
      <c r="K26" s="9"/>
      <c r="L26" s="9"/>
      <c r="M26" s="9"/>
      <c r="N26" s="9"/>
      <c r="O26" s="9"/>
      <c r="P26" s="9"/>
      <c r="Q26" s="9"/>
      <c r="R26" s="8"/>
    </row>
    <row r="27" spans="1:18">
      <c r="A27" s="83"/>
      <c r="B27" s="11" t="s">
        <v>33</v>
      </c>
      <c r="C27" s="96" t="s">
        <v>34</v>
      </c>
      <c r="D27" s="84"/>
      <c r="E27" s="84"/>
      <c r="F27" s="84"/>
      <c r="G27" s="85"/>
      <c r="H27" s="14" t="s">
        <v>7</v>
      </c>
      <c r="I27" s="9"/>
      <c r="J27" s="9"/>
      <c r="K27" s="9"/>
      <c r="L27" s="9"/>
      <c r="M27" s="9"/>
      <c r="N27" s="9"/>
      <c r="O27" s="9"/>
      <c r="P27" s="9"/>
      <c r="Q27" s="9"/>
      <c r="R27" s="8"/>
    </row>
    <row r="28" spans="1:18">
      <c r="A28" s="85"/>
      <c r="B28" s="11" t="s">
        <v>35</v>
      </c>
      <c r="C28" s="96" t="s">
        <v>36</v>
      </c>
      <c r="D28" s="84"/>
      <c r="E28" s="84"/>
      <c r="F28" s="84"/>
      <c r="G28" s="85"/>
      <c r="H28" s="18"/>
      <c r="I28" s="9"/>
      <c r="J28" s="9"/>
      <c r="K28" s="9"/>
      <c r="L28" s="9"/>
      <c r="M28" s="9"/>
      <c r="N28" s="9"/>
      <c r="O28" s="9"/>
      <c r="P28" s="9"/>
      <c r="Q28" s="9"/>
      <c r="R28" s="8"/>
    </row>
    <row r="29" spans="1:18" ht="31.5">
      <c r="A29" s="10"/>
      <c r="B29" s="11" t="s">
        <v>37</v>
      </c>
      <c r="C29" s="97" t="s">
        <v>38</v>
      </c>
      <c r="D29" s="89"/>
      <c r="E29" s="89"/>
      <c r="F29" s="89"/>
      <c r="G29" s="8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</row>
    <row r="30" spans="1:18">
      <c r="A30" s="19"/>
      <c r="B30" s="20" t="s">
        <v>39</v>
      </c>
      <c r="C30" s="94"/>
      <c r="D30" s="89"/>
      <c r="E30" s="89"/>
      <c r="F30" s="89"/>
      <c r="G30" s="90"/>
      <c r="H30" s="9"/>
      <c r="I30" s="9"/>
      <c r="J30" s="9"/>
      <c r="K30" s="9"/>
      <c r="L30" s="9"/>
      <c r="M30" s="9"/>
      <c r="N30" s="9"/>
      <c r="O30" s="9"/>
      <c r="P30" s="9"/>
      <c r="Q30" s="9"/>
      <c r="R30" s="8"/>
    </row>
    <row r="31" spans="1:18">
      <c r="A31" s="21"/>
      <c r="B31" s="22"/>
      <c r="C31" s="23"/>
      <c r="D31" s="23"/>
      <c r="E31" s="23"/>
      <c r="F31" s="23"/>
      <c r="G31" s="23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5"/>
    </row>
    <row r="32" spans="1:18" ht="63">
      <c r="A32" s="26" t="s">
        <v>40</v>
      </c>
      <c r="B32" s="27" t="s">
        <v>41</v>
      </c>
      <c r="C32" s="20" t="s">
        <v>42</v>
      </c>
      <c r="D32" s="20" t="s">
        <v>43</v>
      </c>
      <c r="E32" s="20" t="s">
        <v>44</v>
      </c>
      <c r="F32" s="20" t="s">
        <v>45</v>
      </c>
      <c r="G32" s="20" t="s">
        <v>46</v>
      </c>
      <c r="H32" s="20" t="s">
        <v>47</v>
      </c>
      <c r="I32" s="20" t="s">
        <v>48</v>
      </c>
      <c r="J32" s="20" t="s">
        <v>49</v>
      </c>
      <c r="K32" s="20" t="s">
        <v>50</v>
      </c>
      <c r="L32" s="20" t="s">
        <v>51</v>
      </c>
      <c r="M32" s="20" t="s">
        <v>52</v>
      </c>
      <c r="N32" s="20" t="s">
        <v>53</v>
      </c>
      <c r="O32" s="102" t="s">
        <v>717</v>
      </c>
      <c r="P32" s="20" t="s">
        <v>54</v>
      </c>
      <c r="Q32" s="20" t="s">
        <v>55</v>
      </c>
      <c r="R32" s="28" t="s">
        <v>56</v>
      </c>
    </row>
    <row r="33" spans="1:18" ht="132.75" customHeight="1">
      <c r="A33" s="29"/>
      <c r="B33" s="11" t="s">
        <v>57</v>
      </c>
      <c r="C33" s="30" t="s">
        <v>58</v>
      </c>
      <c r="D33" s="30" t="s">
        <v>59</v>
      </c>
      <c r="E33" s="30" t="s">
        <v>60</v>
      </c>
      <c r="F33" s="31" t="s">
        <v>61</v>
      </c>
      <c r="G33" s="31" t="s">
        <v>62</v>
      </c>
      <c r="H33" s="30" t="s">
        <v>63</v>
      </c>
      <c r="I33" s="31" t="s">
        <v>64</v>
      </c>
      <c r="J33" s="31" t="s">
        <v>65</v>
      </c>
      <c r="K33" s="31" t="s">
        <v>66</v>
      </c>
      <c r="L33" s="31" t="s">
        <v>67</v>
      </c>
      <c r="M33" s="31">
        <v>13618.5</v>
      </c>
      <c r="N33" s="30">
        <v>19346</v>
      </c>
      <c r="O33" s="101" t="s">
        <v>700</v>
      </c>
      <c r="P33" s="31" t="s">
        <v>68</v>
      </c>
      <c r="Q33" s="30" t="s">
        <v>69</v>
      </c>
      <c r="R33" s="32"/>
    </row>
    <row r="34" spans="1:18" ht="132.75" customHeight="1">
      <c r="A34" s="33" t="s">
        <v>7</v>
      </c>
      <c r="B34" s="11" t="s">
        <v>70</v>
      </c>
      <c r="C34" s="30" t="s">
        <v>71</v>
      </c>
      <c r="D34" s="30" t="s">
        <v>72</v>
      </c>
      <c r="E34" s="30" t="s">
        <v>73</v>
      </c>
      <c r="F34" s="31" t="s">
        <v>61</v>
      </c>
      <c r="G34" s="31" t="s">
        <v>62</v>
      </c>
      <c r="H34" s="30" t="s">
        <v>74</v>
      </c>
      <c r="I34" s="31" t="s">
        <v>75</v>
      </c>
      <c r="J34" s="30" t="s">
        <v>76</v>
      </c>
      <c r="K34" s="31" t="s">
        <v>66</v>
      </c>
      <c r="L34" s="31" t="s">
        <v>67</v>
      </c>
      <c r="M34" s="31">
        <v>44116</v>
      </c>
      <c r="N34" s="31">
        <v>55686</v>
      </c>
      <c r="O34" s="101" t="s">
        <v>701</v>
      </c>
      <c r="P34" s="31" t="s">
        <v>77</v>
      </c>
      <c r="Q34" s="34" t="s">
        <v>78</v>
      </c>
      <c r="R34" s="25"/>
    </row>
    <row r="35" spans="1:18" ht="132.75" customHeight="1">
      <c r="A35" s="36" t="s">
        <v>79</v>
      </c>
      <c r="B35" s="11" t="s">
        <v>80</v>
      </c>
      <c r="C35" s="30" t="s">
        <v>81</v>
      </c>
      <c r="D35" s="30" t="s">
        <v>82</v>
      </c>
      <c r="E35" s="30" t="s">
        <v>83</v>
      </c>
      <c r="F35" s="30" t="s">
        <v>61</v>
      </c>
      <c r="G35" s="30" t="s">
        <v>62</v>
      </c>
      <c r="H35" s="37" t="s">
        <v>84</v>
      </c>
      <c r="I35" s="38">
        <f>N35*4</f>
        <v>1660</v>
      </c>
      <c r="J35" s="38">
        <f t="shared" ref="J35:J49" si="0">IF(L35="Porcentaje",I35,4)</f>
        <v>4</v>
      </c>
      <c r="K35" s="39" t="s">
        <v>85</v>
      </c>
      <c r="L35" s="30" t="s">
        <v>86</v>
      </c>
      <c r="M35" s="31">
        <v>448</v>
      </c>
      <c r="N35" s="31">
        <v>415</v>
      </c>
      <c r="O35" s="101" t="s">
        <v>702</v>
      </c>
      <c r="P35" s="30" t="s">
        <v>87</v>
      </c>
      <c r="Q35" s="30" t="s">
        <v>88</v>
      </c>
      <c r="R35" s="40"/>
    </row>
    <row r="36" spans="1:18" ht="132.75" customHeight="1">
      <c r="A36" s="17"/>
      <c r="B36" s="41" t="s">
        <v>89</v>
      </c>
      <c r="C36" s="30" t="s">
        <v>90</v>
      </c>
      <c r="D36" s="30" t="s">
        <v>91</v>
      </c>
      <c r="E36" s="30" t="s">
        <v>92</v>
      </c>
      <c r="F36" s="30" t="s">
        <v>61</v>
      </c>
      <c r="G36" s="30" t="s">
        <v>93</v>
      </c>
      <c r="H36" s="42" t="s">
        <v>94</v>
      </c>
      <c r="I36" s="38">
        <f t="shared" ref="I36:I37" si="1">N36</f>
        <v>900</v>
      </c>
      <c r="J36" s="38">
        <f t="shared" si="0"/>
        <v>900</v>
      </c>
      <c r="K36" s="39" t="s">
        <v>95</v>
      </c>
      <c r="L36" s="30" t="s">
        <v>67</v>
      </c>
      <c r="M36" s="31">
        <v>1006</v>
      </c>
      <c r="N36" s="31">
        <v>900</v>
      </c>
      <c r="O36" s="101" t="s">
        <v>703</v>
      </c>
      <c r="P36" s="30" t="s">
        <v>96</v>
      </c>
      <c r="Q36" s="30" t="s">
        <v>97</v>
      </c>
      <c r="R36" s="25"/>
    </row>
    <row r="37" spans="1:18" ht="132.75" customHeight="1">
      <c r="A37" s="17"/>
      <c r="B37" s="41" t="s">
        <v>98</v>
      </c>
      <c r="C37" s="30" t="s">
        <v>99</v>
      </c>
      <c r="D37" s="30" t="s">
        <v>100</v>
      </c>
      <c r="E37" s="30" t="s">
        <v>101</v>
      </c>
      <c r="F37" s="30" t="s">
        <v>61</v>
      </c>
      <c r="G37" s="30" t="s">
        <v>93</v>
      </c>
      <c r="H37" s="42" t="s">
        <v>102</v>
      </c>
      <c r="I37" s="38">
        <f t="shared" si="1"/>
        <v>1100</v>
      </c>
      <c r="J37" s="38">
        <f t="shared" si="0"/>
        <v>1100</v>
      </c>
      <c r="K37" s="39" t="s">
        <v>95</v>
      </c>
      <c r="L37" s="30" t="s">
        <v>67</v>
      </c>
      <c r="M37" s="31">
        <v>1245</v>
      </c>
      <c r="N37" s="31">
        <v>1100</v>
      </c>
      <c r="O37" s="101" t="s">
        <v>704</v>
      </c>
      <c r="P37" s="31" t="s">
        <v>103</v>
      </c>
      <c r="Q37" s="30" t="s">
        <v>104</v>
      </c>
      <c r="R37" s="25"/>
    </row>
    <row r="38" spans="1:18" ht="132.75" customHeight="1">
      <c r="A38" s="36" t="s">
        <v>79</v>
      </c>
      <c r="B38" s="41" t="s">
        <v>105</v>
      </c>
      <c r="C38" s="30" t="s">
        <v>106</v>
      </c>
      <c r="D38" s="30" t="s">
        <v>107</v>
      </c>
      <c r="E38" s="30" t="s">
        <v>108</v>
      </c>
      <c r="F38" s="30" t="s">
        <v>61</v>
      </c>
      <c r="G38" s="30" t="s">
        <v>62</v>
      </c>
      <c r="H38" s="38" t="s">
        <v>109</v>
      </c>
      <c r="I38" s="38">
        <f>N38*4</f>
        <v>2400</v>
      </c>
      <c r="J38" s="38">
        <f t="shared" si="0"/>
        <v>4</v>
      </c>
      <c r="K38" s="39" t="s">
        <v>85</v>
      </c>
      <c r="L38" s="30" t="s">
        <v>86</v>
      </c>
      <c r="M38" s="31">
        <v>501</v>
      </c>
      <c r="N38" s="31">
        <v>600</v>
      </c>
      <c r="O38" s="101" t="s">
        <v>705</v>
      </c>
      <c r="P38" s="30" t="s">
        <v>110</v>
      </c>
      <c r="Q38" s="30" t="s">
        <v>111</v>
      </c>
      <c r="R38" s="40"/>
    </row>
    <row r="39" spans="1:18" ht="132.75" customHeight="1">
      <c r="A39" s="17"/>
      <c r="B39" s="41" t="s">
        <v>112</v>
      </c>
      <c r="C39" s="44" t="s">
        <v>113</v>
      </c>
      <c r="D39" s="30" t="s">
        <v>114</v>
      </c>
      <c r="E39" s="30" t="s">
        <v>115</v>
      </c>
      <c r="F39" s="30" t="s">
        <v>61</v>
      </c>
      <c r="G39" s="30" t="s">
        <v>93</v>
      </c>
      <c r="H39" s="38" t="s">
        <v>116</v>
      </c>
      <c r="I39" s="38">
        <f t="shared" ref="I39:I40" si="2">N39</f>
        <v>14000</v>
      </c>
      <c r="J39" s="38">
        <f t="shared" si="0"/>
        <v>14000</v>
      </c>
      <c r="K39" s="39" t="s">
        <v>95</v>
      </c>
      <c r="L39" s="30" t="s">
        <v>67</v>
      </c>
      <c r="M39" s="31">
        <v>7973</v>
      </c>
      <c r="N39" s="31">
        <v>14000</v>
      </c>
      <c r="O39" s="101" t="s">
        <v>706</v>
      </c>
      <c r="P39" s="30" t="s">
        <v>117</v>
      </c>
      <c r="Q39" s="30" t="s">
        <v>118</v>
      </c>
      <c r="R39" s="25"/>
    </row>
    <row r="40" spans="1:18" ht="132.75" customHeight="1">
      <c r="A40" s="36" t="s">
        <v>79</v>
      </c>
      <c r="B40" s="41" t="s">
        <v>119</v>
      </c>
      <c r="C40" s="30" t="s">
        <v>120</v>
      </c>
      <c r="D40" s="30" t="s">
        <v>121</v>
      </c>
      <c r="E40" s="30" t="s">
        <v>122</v>
      </c>
      <c r="F40" s="30" t="s">
        <v>61</v>
      </c>
      <c r="G40" s="30" t="s">
        <v>62</v>
      </c>
      <c r="H40" s="38" t="s">
        <v>123</v>
      </c>
      <c r="I40" s="38">
        <f t="shared" si="2"/>
        <v>600</v>
      </c>
      <c r="J40" s="38">
        <f t="shared" si="0"/>
        <v>600</v>
      </c>
      <c r="K40" s="39" t="s">
        <v>95</v>
      </c>
      <c r="L40" s="30" t="s">
        <v>67</v>
      </c>
      <c r="M40" s="31">
        <v>656</v>
      </c>
      <c r="N40" s="31">
        <v>600</v>
      </c>
      <c r="O40" s="101" t="s">
        <v>707</v>
      </c>
      <c r="P40" s="30" t="s">
        <v>110</v>
      </c>
      <c r="Q40" s="30" t="s">
        <v>124</v>
      </c>
      <c r="R40" s="25"/>
    </row>
    <row r="41" spans="1:18" ht="132.75" customHeight="1">
      <c r="A41" s="29"/>
      <c r="B41" s="11" t="s">
        <v>125</v>
      </c>
      <c r="C41" s="45" t="s">
        <v>126</v>
      </c>
      <c r="D41" s="46" t="s">
        <v>127</v>
      </c>
      <c r="E41" s="30" t="s">
        <v>128</v>
      </c>
      <c r="F41" s="30" t="s">
        <v>61</v>
      </c>
      <c r="G41" s="30" t="s">
        <v>93</v>
      </c>
      <c r="H41" s="38" t="s">
        <v>129</v>
      </c>
      <c r="I41" s="38">
        <f>N41*4</f>
        <v>344</v>
      </c>
      <c r="J41" s="38">
        <f t="shared" si="0"/>
        <v>4</v>
      </c>
      <c r="K41" s="39" t="s">
        <v>85</v>
      </c>
      <c r="L41" s="30" t="s">
        <v>86</v>
      </c>
      <c r="M41" s="31">
        <v>65.5</v>
      </c>
      <c r="N41" s="31">
        <v>86</v>
      </c>
      <c r="O41" s="101" t="s">
        <v>708</v>
      </c>
      <c r="P41" s="30" t="s">
        <v>110</v>
      </c>
      <c r="Q41" s="30" t="s">
        <v>130</v>
      </c>
      <c r="R41" s="40"/>
    </row>
    <row r="42" spans="1:18" ht="132.75" customHeight="1">
      <c r="A42" s="29"/>
      <c r="B42" s="41" t="s">
        <v>131</v>
      </c>
      <c r="C42" s="30" t="s">
        <v>132</v>
      </c>
      <c r="D42" s="39" t="s">
        <v>133</v>
      </c>
      <c r="E42" s="30" t="s">
        <v>134</v>
      </c>
      <c r="F42" s="30" t="s">
        <v>61</v>
      </c>
      <c r="G42" s="39" t="s">
        <v>93</v>
      </c>
      <c r="H42" s="38" t="s">
        <v>135</v>
      </c>
      <c r="I42" s="38">
        <f t="shared" ref="I42:I43" si="3">N42</f>
        <v>36</v>
      </c>
      <c r="J42" s="38">
        <f t="shared" si="0"/>
        <v>36</v>
      </c>
      <c r="K42" s="39" t="s">
        <v>95</v>
      </c>
      <c r="L42" s="39" t="s">
        <v>67</v>
      </c>
      <c r="M42" s="31">
        <v>20</v>
      </c>
      <c r="N42" s="31">
        <v>36</v>
      </c>
      <c r="O42" s="101" t="s">
        <v>709</v>
      </c>
      <c r="P42" s="47" t="s">
        <v>136</v>
      </c>
      <c r="Q42" s="39" t="s">
        <v>137</v>
      </c>
      <c r="R42" s="25"/>
    </row>
    <row r="43" spans="1:18" ht="132.75" customHeight="1">
      <c r="A43" s="17"/>
      <c r="B43" s="41" t="s">
        <v>138</v>
      </c>
      <c r="C43" s="30" t="s">
        <v>139</v>
      </c>
      <c r="D43" s="39" t="s">
        <v>140</v>
      </c>
      <c r="E43" s="30" t="s">
        <v>141</v>
      </c>
      <c r="F43" s="30" t="s">
        <v>61</v>
      </c>
      <c r="G43" s="39" t="s">
        <v>93</v>
      </c>
      <c r="H43" s="38" t="s">
        <v>142</v>
      </c>
      <c r="I43" s="38">
        <f t="shared" si="3"/>
        <v>45</v>
      </c>
      <c r="J43" s="38">
        <f t="shared" si="0"/>
        <v>45</v>
      </c>
      <c r="K43" s="39" t="s">
        <v>95</v>
      </c>
      <c r="L43" s="39" t="s">
        <v>67</v>
      </c>
      <c r="M43" s="31">
        <v>60</v>
      </c>
      <c r="N43" s="31">
        <v>45</v>
      </c>
      <c r="O43" s="101" t="s">
        <v>710</v>
      </c>
      <c r="P43" s="39" t="s">
        <v>143</v>
      </c>
      <c r="Q43" s="39" t="s">
        <v>144</v>
      </c>
      <c r="R43" s="25"/>
    </row>
    <row r="44" spans="1:18" ht="132.75" customHeight="1">
      <c r="A44" s="36" t="s">
        <v>145</v>
      </c>
      <c r="B44" s="41" t="s">
        <v>146</v>
      </c>
      <c r="C44" s="30" t="s">
        <v>147</v>
      </c>
      <c r="D44" s="30" t="s">
        <v>148</v>
      </c>
      <c r="E44" s="30" t="s">
        <v>149</v>
      </c>
      <c r="F44" s="30" t="s">
        <v>61</v>
      </c>
      <c r="G44" s="39" t="s">
        <v>62</v>
      </c>
      <c r="H44" s="38" t="s">
        <v>150</v>
      </c>
      <c r="I44" s="38">
        <f>N44*4</f>
        <v>28000</v>
      </c>
      <c r="J44" s="38">
        <f t="shared" si="0"/>
        <v>4</v>
      </c>
      <c r="K44" s="39" t="s">
        <v>95</v>
      </c>
      <c r="L44" s="30" t="s">
        <v>86</v>
      </c>
      <c r="M44" s="31">
        <v>7000</v>
      </c>
      <c r="N44" s="48">
        <v>7000</v>
      </c>
      <c r="O44" s="101" t="s">
        <v>711</v>
      </c>
      <c r="P44" s="31" t="s">
        <v>151</v>
      </c>
      <c r="Q44" s="30" t="s">
        <v>152</v>
      </c>
      <c r="R44" s="40"/>
    </row>
    <row r="45" spans="1:18" ht="132.75" customHeight="1">
      <c r="A45" s="29"/>
      <c r="B45" s="41" t="s">
        <v>153</v>
      </c>
      <c r="C45" s="30" t="s">
        <v>154</v>
      </c>
      <c r="D45" s="30" t="s">
        <v>155</v>
      </c>
      <c r="E45" s="30" t="s">
        <v>156</v>
      </c>
      <c r="F45" s="30" t="s">
        <v>61</v>
      </c>
      <c r="G45" s="30" t="s">
        <v>93</v>
      </c>
      <c r="H45" s="38" t="s">
        <v>157</v>
      </c>
      <c r="I45" s="38">
        <f t="shared" ref="I45:I49" si="4">N45</f>
        <v>25</v>
      </c>
      <c r="J45" s="38">
        <f t="shared" si="0"/>
        <v>25</v>
      </c>
      <c r="K45" s="39" t="s">
        <v>95</v>
      </c>
      <c r="L45" s="30" t="s">
        <v>67</v>
      </c>
      <c r="M45" s="31">
        <v>25</v>
      </c>
      <c r="N45" s="48">
        <v>25</v>
      </c>
      <c r="O45" s="101" t="s">
        <v>712</v>
      </c>
      <c r="P45" s="31" t="s">
        <v>151</v>
      </c>
      <c r="Q45" s="30" t="s">
        <v>158</v>
      </c>
      <c r="R45" s="25"/>
    </row>
    <row r="46" spans="1:18" ht="132.75" customHeight="1">
      <c r="A46" s="17"/>
      <c r="B46" s="41" t="s">
        <v>159</v>
      </c>
      <c r="C46" s="30" t="s">
        <v>160</v>
      </c>
      <c r="D46" s="30" t="s">
        <v>161</v>
      </c>
      <c r="E46" s="30" t="s">
        <v>162</v>
      </c>
      <c r="F46" s="30" t="s">
        <v>61</v>
      </c>
      <c r="G46" s="30" t="s">
        <v>93</v>
      </c>
      <c r="H46" s="38" t="s">
        <v>163</v>
      </c>
      <c r="I46" s="38">
        <f t="shared" si="4"/>
        <v>23540</v>
      </c>
      <c r="J46" s="38">
        <f t="shared" si="0"/>
        <v>23540</v>
      </c>
      <c r="K46" s="39" t="s">
        <v>95</v>
      </c>
      <c r="L46" s="30" t="s">
        <v>67</v>
      </c>
      <c r="M46" s="47">
        <v>23540</v>
      </c>
      <c r="N46" s="48">
        <v>23540</v>
      </c>
      <c r="O46" s="101" t="s">
        <v>713</v>
      </c>
      <c r="P46" s="31" t="s">
        <v>103</v>
      </c>
      <c r="Q46" s="30" t="s">
        <v>164</v>
      </c>
      <c r="R46" s="25"/>
    </row>
    <row r="47" spans="1:18" ht="132.75" customHeight="1">
      <c r="A47" s="36" t="s">
        <v>79</v>
      </c>
      <c r="B47" s="41" t="s">
        <v>165</v>
      </c>
      <c r="C47" s="30" t="s">
        <v>166</v>
      </c>
      <c r="D47" s="30" t="s">
        <v>167</v>
      </c>
      <c r="E47" s="30" t="s">
        <v>168</v>
      </c>
      <c r="F47" s="30" t="s">
        <v>61</v>
      </c>
      <c r="G47" s="30" t="s">
        <v>62</v>
      </c>
      <c r="H47" s="38" t="s">
        <v>169</v>
      </c>
      <c r="I47" s="38">
        <f t="shared" si="4"/>
        <v>16646</v>
      </c>
      <c r="J47" s="38">
        <f t="shared" si="0"/>
        <v>16646</v>
      </c>
      <c r="K47" s="39" t="s">
        <v>95</v>
      </c>
      <c r="L47" s="30" t="s">
        <v>67</v>
      </c>
      <c r="M47" s="47">
        <v>10961</v>
      </c>
      <c r="N47" s="49">
        <v>16646</v>
      </c>
      <c r="O47" s="101" t="s">
        <v>714</v>
      </c>
      <c r="P47" s="30" t="s">
        <v>110</v>
      </c>
      <c r="Q47" s="30" t="s">
        <v>170</v>
      </c>
      <c r="R47" s="25"/>
    </row>
    <row r="48" spans="1:18" ht="132.75" customHeight="1">
      <c r="A48" s="29"/>
      <c r="B48" s="11" t="s">
        <v>171</v>
      </c>
      <c r="C48" s="45" t="s">
        <v>172</v>
      </c>
      <c r="D48" s="30" t="s">
        <v>173</v>
      </c>
      <c r="E48" s="30" t="s">
        <v>174</v>
      </c>
      <c r="F48" s="30" t="s">
        <v>61</v>
      </c>
      <c r="G48" s="30" t="s">
        <v>93</v>
      </c>
      <c r="H48" s="38" t="s">
        <v>175</v>
      </c>
      <c r="I48" s="38">
        <f t="shared" si="4"/>
        <v>13688</v>
      </c>
      <c r="J48" s="38">
        <f t="shared" si="0"/>
        <v>13688</v>
      </c>
      <c r="K48" s="39" t="s">
        <v>95</v>
      </c>
      <c r="L48" s="30" t="s">
        <v>67</v>
      </c>
      <c r="M48" s="47">
        <v>9376</v>
      </c>
      <c r="N48" s="48">
        <v>13688</v>
      </c>
      <c r="O48" s="101" t="s">
        <v>715</v>
      </c>
      <c r="P48" s="30" t="s">
        <v>110</v>
      </c>
      <c r="Q48" s="30" t="s">
        <v>176</v>
      </c>
      <c r="R48" s="25"/>
    </row>
    <row r="49" spans="1:18" ht="132.75" customHeight="1">
      <c r="A49" s="35"/>
      <c r="B49" s="41" t="s">
        <v>177</v>
      </c>
      <c r="C49" s="45" t="s">
        <v>178</v>
      </c>
      <c r="D49" s="30" t="s">
        <v>179</v>
      </c>
      <c r="E49" s="30" t="s">
        <v>180</v>
      </c>
      <c r="F49" s="30" t="s">
        <v>61</v>
      </c>
      <c r="G49" s="30" t="s">
        <v>93</v>
      </c>
      <c r="H49" s="38" t="s">
        <v>181</v>
      </c>
      <c r="I49" s="38">
        <f t="shared" si="4"/>
        <v>2958</v>
      </c>
      <c r="J49" s="38">
        <f t="shared" si="0"/>
        <v>2958</v>
      </c>
      <c r="K49" s="39" t="s">
        <v>95</v>
      </c>
      <c r="L49" s="30" t="s">
        <v>67</v>
      </c>
      <c r="M49" s="47">
        <v>1565</v>
      </c>
      <c r="N49" s="48">
        <v>2958</v>
      </c>
      <c r="O49" s="101" t="s">
        <v>716</v>
      </c>
      <c r="P49" s="30" t="s">
        <v>110</v>
      </c>
      <c r="Q49" s="30" t="s">
        <v>182</v>
      </c>
      <c r="R49" s="25"/>
    </row>
    <row r="50" spans="1:18">
      <c r="A50" s="13"/>
      <c r="B50" s="9"/>
      <c r="C50" s="50"/>
      <c r="D50" s="50"/>
      <c r="E50" s="50"/>
      <c r="F50" s="50"/>
      <c r="G50" s="50"/>
      <c r="H50" s="50"/>
      <c r="I50" s="51"/>
      <c r="J50" s="43"/>
      <c r="K50" s="43"/>
      <c r="L50" s="43"/>
      <c r="M50" s="43"/>
      <c r="N50" s="43"/>
      <c r="O50" s="43"/>
      <c r="P50" s="43"/>
      <c r="Q50" s="43"/>
      <c r="R50" s="43"/>
    </row>
    <row r="51" spans="1:18">
      <c r="A51" s="13"/>
      <c r="B51" s="43"/>
      <c r="C51" s="51"/>
      <c r="D51" s="51"/>
      <c r="E51" s="51"/>
      <c r="F51" s="51"/>
      <c r="G51" s="51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</row>
    <row r="52" spans="1:18">
      <c r="A52" s="13"/>
      <c r="B52" s="13"/>
      <c r="C52" s="51"/>
      <c r="D52" s="51"/>
      <c r="E52" s="51"/>
      <c r="F52" s="51"/>
      <c r="G52" s="51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>
      <c r="A53" s="13"/>
      <c r="B53" s="13"/>
      <c r="C53" s="51"/>
      <c r="D53" s="51"/>
      <c r="E53" s="51"/>
      <c r="F53" s="51"/>
      <c r="G53" s="51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>
      <c r="A54" s="13"/>
      <c r="B54" s="13"/>
      <c r="C54" s="51"/>
      <c r="D54" s="51"/>
      <c r="E54" s="51"/>
      <c r="F54" s="51"/>
      <c r="G54" s="51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>
      <c r="A55" s="13"/>
      <c r="B55" s="13"/>
      <c r="C55" s="51"/>
      <c r="D55" s="51"/>
      <c r="E55" s="51"/>
      <c r="F55" s="51"/>
      <c r="G55" s="51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>
      <c r="A56" s="13"/>
      <c r="B56" s="13"/>
      <c r="C56" s="51"/>
      <c r="D56" s="51"/>
      <c r="E56" s="51"/>
      <c r="F56" s="51"/>
      <c r="G56" s="51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>
      <c r="A57" s="13"/>
      <c r="B57" s="13"/>
      <c r="C57" s="51"/>
      <c r="D57" s="51"/>
      <c r="E57" s="51"/>
      <c r="F57" s="51"/>
      <c r="G57" s="51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>
      <c r="A58" s="13"/>
      <c r="B58" s="13"/>
      <c r="C58" s="51"/>
      <c r="D58" s="51"/>
      <c r="E58" s="51"/>
      <c r="F58" s="51"/>
      <c r="G58" s="51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>
      <c r="A59" s="13"/>
      <c r="B59" s="13"/>
      <c r="C59" s="51"/>
      <c r="D59" s="51"/>
      <c r="E59" s="51"/>
      <c r="F59" s="51"/>
      <c r="G59" s="51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>
      <c r="A60" s="13"/>
      <c r="B60" s="13"/>
      <c r="C60" s="51"/>
      <c r="D60" s="51"/>
      <c r="E60" s="51"/>
      <c r="F60" s="51"/>
      <c r="G60" s="51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>
      <c r="A61" s="13"/>
      <c r="B61" s="13"/>
      <c r="C61" s="51"/>
      <c r="D61" s="51"/>
      <c r="E61" s="51"/>
      <c r="F61" s="51"/>
      <c r="G61" s="51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>
      <c r="A62" s="13"/>
      <c r="B62" s="13"/>
      <c r="C62" s="51"/>
      <c r="D62" s="51"/>
      <c r="E62" s="51"/>
      <c r="F62" s="51"/>
      <c r="G62" s="51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>
      <c r="A63" s="13"/>
      <c r="B63" s="13"/>
      <c r="C63" s="51"/>
      <c r="D63" s="51"/>
      <c r="E63" s="51"/>
      <c r="F63" s="51"/>
      <c r="G63" s="51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>
      <c r="A64" s="13"/>
      <c r="B64" s="13"/>
      <c r="C64" s="51"/>
      <c r="D64" s="51"/>
      <c r="E64" s="51"/>
      <c r="F64" s="51"/>
      <c r="G64" s="51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>
      <c r="A65" s="13"/>
      <c r="B65" s="13"/>
      <c r="C65" s="51"/>
      <c r="D65" s="51"/>
      <c r="E65" s="51"/>
      <c r="F65" s="51"/>
      <c r="G65" s="51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>
      <c r="A66" s="13"/>
      <c r="B66" s="13"/>
      <c r="C66" s="51"/>
      <c r="D66" s="51"/>
      <c r="E66" s="51"/>
      <c r="F66" s="51"/>
      <c r="G66" s="51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>
      <c r="A67" s="13"/>
      <c r="B67" s="13"/>
      <c r="C67" s="51"/>
      <c r="D67" s="51"/>
      <c r="E67" s="51"/>
      <c r="F67" s="51"/>
      <c r="G67" s="51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1:18">
      <c r="A68" s="13"/>
      <c r="B68" s="13"/>
      <c r="C68" s="51"/>
      <c r="D68" s="51"/>
      <c r="E68" s="51"/>
      <c r="F68" s="51"/>
      <c r="G68" s="51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>
      <c r="A69" s="13"/>
      <c r="B69" s="13"/>
      <c r="C69" s="51"/>
      <c r="D69" s="51"/>
      <c r="E69" s="51"/>
      <c r="F69" s="51"/>
      <c r="G69" s="51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1:18">
      <c r="A70" s="13"/>
      <c r="B70" s="13"/>
      <c r="C70" s="51"/>
      <c r="D70" s="51"/>
      <c r="E70" s="51"/>
      <c r="F70" s="51"/>
      <c r="G70" s="51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1:18">
      <c r="A71" s="13"/>
      <c r="B71" s="13"/>
      <c r="C71" s="51"/>
      <c r="D71" s="51"/>
      <c r="E71" s="51"/>
      <c r="F71" s="51"/>
      <c r="G71" s="51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1:18">
      <c r="A72" s="13"/>
      <c r="B72" s="13"/>
      <c r="C72" s="51"/>
      <c r="D72" s="51"/>
      <c r="E72" s="51"/>
      <c r="F72" s="51"/>
      <c r="G72" s="51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3" spans="1:18">
      <c r="A73" s="13"/>
      <c r="B73" s="13"/>
      <c r="C73" s="51"/>
      <c r="D73" s="51"/>
      <c r="E73" s="51"/>
      <c r="F73" s="51"/>
      <c r="G73" s="51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</row>
    <row r="74" spans="1:18">
      <c r="A74" s="13"/>
      <c r="B74" s="13"/>
      <c r="C74" s="51"/>
      <c r="D74" s="51"/>
      <c r="E74" s="51"/>
      <c r="F74" s="51"/>
      <c r="G74" s="51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>
      <c r="A75" s="13"/>
      <c r="B75" s="13"/>
      <c r="C75" s="51"/>
      <c r="D75" s="51"/>
      <c r="E75" s="51"/>
      <c r="F75" s="51"/>
      <c r="G75" s="51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>
      <c r="A76" s="13"/>
      <c r="B76" s="13"/>
      <c r="C76" s="51"/>
      <c r="D76" s="51"/>
      <c r="E76" s="51"/>
      <c r="F76" s="51"/>
      <c r="G76" s="51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>
      <c r="A77" s="13"/>
      <c r="B77" s="13"/>
      <c r="C77" s="51"/>
      <c r="D77" s="51"/>
      <c r="E77" s="51"/>
      <c r="F77" s="51"/>
      <c r="G77" s="51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>
      <c r="A78" s="13"/>
      <c r="B78" s="13"/>
      <c r="C78" s="51"/>
      <c r="D78" s="51"/>
      <c r="E78" s="51"/>
      <c r="F78" s="51"/>
      <c r="G78" s="51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>
      <c r="A79" s="13"/>
      <c r="B79" s="13"/>
      <c r="C79" s="51"/>
      <c r="D79" s="51"/>
      <c r="E79" s="51"/>
      <c r="F79" s="51"/>
      <c r="G79" s="51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>
      <c r="A80" s="13"/>
      <c r="B80" s="13"/>
      <c r="C80" s="51"/>
      <c r="D80" s="51"/>
      <c r="E80" s="51"/>
      <c r="F80" s="51"/>
      <c r="G80" s="51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>
      <c r="A81" s="13"/>
      <c r="B81" s="13"/>
      <c r="C81" s="51"/>
      <c r="D81" s="51"/>
      <c r="E81" s="51"/>
      <c r="F81" s="51"/>
      <c r="G81" s="51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>
      <c r="A82" s="13"/>
      <c r="B82" s="13"/>
      <c r="C82" s="51"/>
      <c r="D82" s="51"/>
      <c r="E82" s="51"/>
      <c r="F82" s="51"/>
      <c r="G82" s="51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>
      <c r="A83" s="13"/>
      <c r="B83" s="13"/>
      <c r="C83" s="51"/>
      <c r="D83" s="51"/>
      <c r="E83" s="51"/>
      <c r="F83" s="51"/>
      <c r="G83" s="51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>
      <c r="A84" s="13"/>
      <c r="B84" s="13"/>
      <c r="C84" s="51"/>
      <c r="D84" s="51"/>
      <c r="E84" s="51"/>
      <c r="F84" s="51"/>
      <c r="G84" s="51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>
      <c r="A85" s="13"/>
      <c r="B85" s="13"/>
      <c r="C85" s="51"/>
      <c r="D85" s="51"/>
      <c r="E85" s="51"/>
      <c r="F85" s="51"/>
      <c r="G85" s="51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>
      <c r="A86" s="13"/>
      <c r="B86" s="13"/>
      <c r="C86" s="51"/>
      <c r="D86" s="51"/>
      <c r="E86" s="51"/>
      <c r="F86" s="51"/>
      <c r="G86" s="51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>
      <c r="A87" s="13"/>
      <c r="B87" s="13"/>
      <c r="C87" s="51"/>
      <c r="D87" s="51"/>
      <c r="E87" s="51"/>
      <c r="F87" s="51"/>
      <c r="G87" s="51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>
      <c r="A88" s="13"/>
      <c r="B88" s="13"/>
      <c r="C88" s="51"/>
      <c r="D88" s="51"/>
      <c r="E88" s="51"/>
      <c r="F88" s="51"/>
      <c r="G88" s="51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>
      <c r="A89" s="13"/>
      <c r="B89" s="13"/>
      <c r="C89" s="51"/>
      <c r="D89" s="51"/>
      <c r="E89" s="51"/>
      <c r="F89" s="51"/>
      <c r="G89" s="51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>
      <c r="A90" s="13"/>
      <c r="B90" s="13"/>
      <c r="C90" s="51"/>
      <c r="D90" s="51"/>
      <c r="E90" s="51"/>
      <c r="F90" s="51"/>
      <c r="G90" s="51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>
      <c r="A91" s="13"/>
      <c r="B91" s="13"/>
      <c r="C91" s="51"/>
      <c r="D91" s="51"/>
      <c r="E91" s="51"/>
      <c r="F91" s="51"/>
      <c r="G91" s="51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>
      <c r="A92" s="13"/>
      <c r="B92" s="13"/>
      <c r="C92" s="51"/>
      <c r="D92" s="51"/>
      <c r="E92" s="51"/>
      <c r="F92" s="51"/>
      <c r="G92" s="51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>
      <c r="A93" s="13"/>
      <c r="B93" s="13"/>
      <c r="C93" s="51"/>
      <c r="D93" s="51"/>
      <c r="E93" s="51"/>
      <c r="F93" s="51"/>
      <c r="G93" s="51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>
      <c r="A94" s="13"/>
      <c r="B94" s="13"/>
      <c r="C94" s="51"/>
      <c r="D94" s="51"/>
      <c r="E94" s="51"/>
      <c r="F94" s="51"/>
      <c r="G94" s="51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>
      <c r="A95" s="13"/>
      <c r="B95" s="13"/>
      <c r="C95" s="51"/>
      <c r="D95" s="51"/>
      <c r="E95" s="51"/>
      <c r="F95" s="51"/>
      <c r="G95" s="51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>
      <c r="A96" s="13"/>
      <c r="B96" s="13"/>
      <c r="C96" s="51"/>
      <c r="D96" s="51"/>
      <c r="E96" s="51"/>
      <c r="F96" s="51"/>
      <c r="G96" s="51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>
      <c r="A97" s="13"/>
      <c r="B97" s="13"/>
      <c r="C97" s="51"/>
      <c r="D97" s="51"/>
      <c r="E97" s="51"/>
      <c r="F97" s="51"/>
      <c r="G97" s="51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>
      <c r="A98" s="13"/>
      <c r="B98" s="13"/>
      <c r="C98" s="51"/>
      <c r="D98" s="51"/>
      <c r="E98" s="51"/>
      <c r="F98" s="51"/>
      <c r="G98" s="51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>
      <c r="A99" s="13"/>
      <c r="B99" s="13"/>
      <c r="C99" s="51"/>
      <c r="D99" s="51"/>
      <c r="E99" s="51"/>
      <c r="F99" s="51"/>
      <c r="G99" s="51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1:18">
      <c r="A100" s="13"/>
      <c r="B100" s="13"/>
      <c r="C100" s="51"/>
      <c r="D100" s="51"/>
      <c r="E100" s="51"/>
      <c r="F100" s="51"/>
      <c r="G100" s="51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1:18">
      <c r="A101" s="13"/>
      <c r="B101" s="13"/>
      <c r="C101" s="51"/>
      <c r="D101" s="51"/>
      <c r="E101" s="51"/>
      <c r="F101" s="51"/>
      <c r="G101" s="51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>
      <c r="A102" s="13"/>
      <c r="B102" s="13"/>
      <c r="C102" s="51"/>
      <c r="D102" s="51"/>
      <c r="E102" s="51"/>
      <c r="F102" s="51"/>
      <c r="G102" s="51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1:18">
      <c r="A103" s="13"/>
      <c r="B103" s="13"/>
      <c r="C103" s="51"/>
      <c r="D103" s="51"/>
      <c r="E103" s="51"/>
      <c r="F103" s="51"/>
      <c r="G103" s="51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>
      <c r="A104" s="13"/>
      <c r="B104" s="13"/>
      <c r="C104" s="51"/>
      <c r="D104" s="51"/>
      <c r="E104" s="51"/>
      <c r="F104" s="51"/>
      <c r="G104" s="51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>
      <c r="A105" s="13"/>
      <c r="B105" s="13"/>
      <c r="C105" s="51"/>
      <c r="D105" s="51"/>
      <c r="E105" s="51"/>
      <c r="F105" s="51"/>
      <c r="G105" s="51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>
      <c r="A106" s="13"/>
      <c r="B106" s="13"/>
      <c r="C106" s="51"/>
      <c r="D106" s="51"/>
      <c r="E106" s="51"/>
      <c r="F106" s="51"/>
      <c r="G106" s="51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1:18">
      <c r="A107" s="13"/>
      <c r="B107" s="13"/>
      <c r="C107" s="51"/>
      <c r="D107" s="51"/>
      <c r="E107" s="51"/>
      <c r="F107" s="51"/>
      <c r="G107" s="51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1:18">
      <c r="A108" s="13"/>
      <c r="B108" s="13"/>
      <c r="C108" s="51"/>
      <c r="D108" s="51"/>
      <c r="E108" s="51"/>
      <c r="F108" s="51"/>
      <c r="G108" s="51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>
      <c r="A109" s="13"/>
      <c r="B109" s="13"/>
      <c r="C109" s="51"/>
      <c r="D109" s="51"/>
      <c r="E109" s="51"/>
      <c r="F109" s="51"/>
      <c r="G109" s="51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>
      <c r="A110" s="13"/>
      <c r="B110" s="13"/>
      <c r="C110" s="51"/>
      <c r="D110" s="51"/>
      <c r="E110" s="51"/>
      <c r="F110" s="51"/>
      <c r="G110" s="51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1:18">
      <c r="A111" s="13"/>
      <c r="B111" s="13"/>
      <c r="C111" s="51"/>
      <c r="D111" s="51"/>
      <c r="E111" s="51"/>
      <c r="F111" s="51"/>
      <c r="G111" s="51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>
      <c r="A112" s="13"/>
      <c r="B112" s="13"/>
      <c r="C112" s="51"/>
      <c r="D112" s="51"/>
      <c r="E112" s="51"/>
      <c r="F112" s="51"/>
      <c r="G112" s="51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>
      <c r="A113" s="13"/>
      <c r="B113" s="13"/>
      <c r="C113" s="51"/>
      <c r="D113" s="51"/>
      <c r="E113" s="51"/>
      <c r="F113" s="51"/>
      <c r="G113" s="51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>
      <c r="A114" s="13"/>
      <c r="B114" s="13"/>
      <c r="C114" s="51"/>
      <c r="D114" s="51"/>
      <c r="E114" s="51"/>
      <c r="F114" s="51"/>
      <c r="G114" s="51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>
      <c r="A115" s="13"/>
      <c r="B115" s="13"/>
      <c r="C115" s="51"/>
      <c r="D115" s="51"/>
      <c r="E115" s="51"/>
      <c r="F115" s="51"/>
      <c r="G115" s="51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>
      <c r="A116" s="13"/>
      <c r="B116" s="13"/>
      <c r="C116" s="51"/>
      <c r="D116" s="51"/>
      <c r="E116" s="51"/>
      <c r="F116" s="51"/>
      <c r="G116" s="51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>
      <c r="A117" s="13"/>
      <c r="B117" s="13"/>
      <c r="C117" s="51"/>
      <c r="D117" s="51"/>
      <c r="E117" s="51"/>
      <c r="F117" s="51"/>
      <c r="G117" s="51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>
      <c r="A118" s="13"/>
      <c r="B118" s="13"/>
      <c r="C118" s="51"/>
      <c r="D118" s="51"/>
      <c r="E118" s="51"/>
      <c r="F118" s="51"/>
      <c r="G118" s="51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>
      <c r="A119" s="13"/>
      <c r="B119" s="13"/>
      <c r="C119" s="51"/>
      <c r="D119" s="51"/>
      <c r="E119" s="51"/>
      <c r="F119" s="51"/>
      <c r="G119" s="51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>
      <c r="A120" s="13"/>
      <c r="B120" s="13"/>
      <c r="C120" s="51"/>
      <c r="D120" s="51"/>
      <c r="E120" s="51"/>
      <c r="F120" s="51"/>
      <c r="G120" s="51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>
      <c r="A121" s="13"/>
      <c r="B121" s="13"/>
      <c r="C121" s="51"/>
      <c r="D121" s="51"/>
      <c r="E121" s="51"/>
      <c r="F121" s="51"/>
      <c r="G121" s="51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>
      <c r="A122" s="13"/>
      <c r="B122" s="13"/>
      <c r="C122" s="51"/>
      <c r="D122" s="51"/>
      <c r="E122" s="51"/>
      <c r="F122" s="51"/>
      <c r="G122" s="51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>
      <c r="A123" s="13"/>
      <c r="B123" s="13"/>
      <c r="C123" s="51"/>
      <c r="D123" s="51"/>
      <c r="E123" s="51"/>
      <c r="F123" s="51"/>
      <c r="G123" s="51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>
      <c r="A124" s="13"/>
      <c r="B124" s="13"/>
      <c r="C124" s="51"/>
      <c r="D124" s="51"/>
      <c r="E124" s="51"/>
      <c r="F124" s="51"/>
      <c r="G124" s="51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>
      <c r="A125" s="13"/>
      <c r="B125" s="13"/>
      <c r="C125" s="51"/>
      <c r="D125" s="51"/>
      <c r="E125" s="51"/>
      <c r="F125" s="51"/>
      <c r="G125" s="51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>
      <c r="A126" s="13"/>
      <c r="B126" s="13"/>
      <c r="C126" s="51"/>
      <c r="D126" s="51"/>
      <c r="E126" s="51"/>
      <c r="F126" s="51"/>
      <c r="G126" s="51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>
      <c r="A127" s="13"/>
      <c r="B127" s="13"/>
      <c r="C127" s="51"/>
      <c r="D127" s="51"/>
      <c r="E127" s="51"/>
      <c r="F127" s="51"/>
      <c r="G127" s="51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>
      <c r="A128" s="13"/>
      <c r="B128" s="13"/>
      <c r="C128" s="51"/>
      <c r="D128" s="51"/>
      <c r="E128" s="51"/>
      <c r="F128" s="51"/>
      <c r="G128" s="51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>
      <c r="A129" s="13"/>
      <c r="B129" s="13"/>
      <c r="C129" s="51"/>
      <c r="D129" s="51"/>
      <c r="E129" s="51"/>
      <c r="F129" s="51"/>
      <c r="G129" s="51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>
      <c r="A130" s="13"/>
      <c r="B130" s="13"/>
      <c r="C130" s="51"/>
      <c r="D130" s="51"/>
      <c r="E130" s="51"/>
      <c r="F130" s="51"/>
      <c r="G130" s="51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>
      <c r="A131" s="13"/>
      <c r="B131" s="13"/>
      <c r="C131" s="51"/>
      <c r="D131" s="51"/>
      <c r="E131" s="51"/>
      <c r="F131" s="51"/>
      <c r="G131" s="51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>
      <c r="A132" s="13"/>
      <c r="B132" s="13"/>
      <c r="C132" s="51"/>
      <c r="D132" s="51"/>
      <c r="E132" s="51"/>
      <c r="F132" s="51"/>
      <c r="G132" s="51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>
      <c r="A133" s="13"/>
      <c r="B133" s="13"/>
      <c r="C133" s="51"/>
      <c r="D133" s="51"/>
      <c r="E133" s="51"/>
      <c r="F133" s="51"/>
      <c r="G133" s="51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>
      <c r="A134" s="13"/>
      <c r="B134" s="13"/>
      <c r="C134" s="51"/>
      <c r="D134" s="51"/>
      <c r="E134" s="51"/>
      <c r="F134" s="51"/>
      <c r="G134" s="51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>
      <c r="A135" s="13"/>
      <c r="B135" s="13"/>
      <c r="C135" s="51"/>
      <c r="D135" s="51"/>
      <c r="E135" s="51"/>
      <c r="F135" s="51"/>
      <c r="G135" s="51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>
      <c r="A136" s="13"/>
      <c r="B136" s="13"/>
      <c r="C136" s="51"/>
      <c r="D136" s="51"/>
      <c r="E136" s="51"/>
      <c r="F136" s="51"/>
      <c r="G136" s="51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>
      <c r="A137" s="13"/>
      <c r="B137" s="13"/>
      <c r="C137" s="51"/>
      <c r="D137" s="51"/>
      <c r="E137" s="51"/>
      <c r="F137" s="51"/>
      <c r="G137" s="51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>
      <c r="A138" s="13"/>
      <c r="B138" s="13"/>
      <c r="C138" s="51"/>
      <c r="D138" s="51"/>
      <c r="E138" s="51"/>
      <c r="F138" s="51"/>
      <c r="G138" s="51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</row>
    <row r="139" spans="1:18">
      <c r="A139" s="13"/>
      <c r="B139" s="13"/>
      <c r="C139" s="51"/>
      <c r="D139" s="51"/>
      <c r="E139" s="51"/>
      <c r="F139" s="51"/>
      <c r="G139" s="51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</row>
    <row r="140" spans="1:18">
      <c r="A140" s="13"/>
      <c r="B140" s="13"/>
      <c r="C140" s="51"/>
      <c r="D140" s="51"/>
      <c r="E140" s="51"/>
      <c r="F140" s="51"/>
      <c r="G140" s="51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</row>
    <row r="141" spans="1:18">
      <c r="A141" s="13"/>
      <c r="B141" s="13"/>
      <c r="C141" s="51"/>
      <c r="D141" s="51"/>
      <c r="E141" s="51"/>
      <c r="F141" s="51"/>
      <c r="G141" s="51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>
      <c r="A142" s="13"/>
      <c r="B142" s="13"/>
      <c r="C142" s="51"/>
      <c r="D142" s="51"/>
      <c r="E142" s="51"/>
      <c r="F142" s="51"/>
      <c r="G142" s="51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</row>
    <row r="143" spans="1:18">
      <c r="A143" s="13"/>
      <c r="B143" s="13"/>
      <c r="C143" s="51"/>
      <c r="D143" s="51"/>
      <c r="E143" s="51"/>
      <c r="F143" s="51"/>
      <c r="G143" s="51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</row>
    <row r="144" spans="1:18">
      <c r="A144" s="13"/>
      <c r="B144" s="13"/>
      <c r="C144" s="51"/>
      <c r="D144" s="51"/>
      <c r="E144" s="51"/>
      <c r="F144" s="51"/>
      <c r="G144" s="51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</row>
    <row r="145" spans="1:18">
      <c r="A145" s="13"/>
      <c r="B145" s="13"/>
      <c r="C145" s="51"/>
      <c r="D145" s="51"/>
      <c r="E145" s="51"/>
      <c r="F145" s="51"/>
      <c r="G145" s="51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</row>
    <row r="146" spans="1:18">
      <c r="A146" s="13"/>
      <c r="B146" s="13"/>
      <c r="C146" s="51"/>
      <c r="D146" s="51"/>
      <c r="E146" s="51"/>
      <c r="F146" s="51"/>
      <c r="G146" s="51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</row>
    <row r="147" spans="1:18">
      <c r="A147" s="13"/>
      <c r="B147" s="13"/>
      <c r="C147" s="51"/>
      <c r="D147" s="51"/>
      <c r="E147" s="51"/>
      <c r="F147" s="51"/>
      <c r="G147" s="51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1:18">
      <c r="A148" s="13"/>
      <c r="B148" s="13"/>
      <c r="C148" s="51"/>
      <c r="D148" s="51"/>
      <c r="E148" s="51"/>
      <c r="F148" s="51"/>
      <c r="G148" s="51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</row>
    <row r="149" spans="1:18">
      <c r="A149" s="13"/>
      <c r="B149" s="13"/>
      <c r="C149" s="51"/>
      <c r="D149" s="51"/>
      <c r="E149" s="51"/>
      <c r="F149" s="51"/>
      <c r="G149" s="51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</row>
    <row r="150" spans="1:18">
      <c r="A150" s="13"/>
      <c r="B150" s="13"/>
      <c r="C150" s="51"/>
      <c r="D150" s="51"/>
      <c r="E150" s="51"/>
      <c r="F150" s="51"/>
      <c r="G150" s="51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</row>
    <row r="151" spans="1:18">
      <c r="A151" s="13"/>
      <c r="B151" s="13"/>
      <c r="C151" s="51"/>
      <c r="D151" s="51"/>
      <c r="E151" s="51"/>
      <c r="F151" s="51"/>
      <c r="G151" s="51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1:18">
      <c r="A152" s="13"/>
      <c r="B152" s="13"/>
      <c r="C152" s="51"/>
      <c r="D152" s="51"/>
      <c r="E152" s="51"/>
      <c r="F152" s="51"/>
      <c r="G152" s="51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</row>
    <row r="153" spans="1:18">
      <c r="A153" s="13"/>
      <c r="B153" s="13"/>
      <c r="C153" s="51"/>
      <c r="D153" s="51"/>
      <c r="E153" s="51"/>
      <c r="F153" s="51"/>
      <c r="G153" s="51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1:18">
      <c r="A154" s="13"/>
      <c r="B154" s="13"/>
      <c r="C154" s="51"/>
      <c r="D154" s="51"/>
      <c r="E154" s="51"/>
      <c r="F154" s="51"/>
      <c r="G154" s="51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</row>
    <row r="155" spans="1:18">
      <c r="A155" s="13"/>
      <c r="B155" s="13"/>
      <c r="C155" s="51"/>
      <c r="D155" s="51"/>
      <c r="E155" s="51"/>
      <c r="F155" s="51"/>
      <c r="G155" s="51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</row>
    <row r="156" spans="1:18">
      <c r="A156" s="13"/>
      <c r="B156" s="13"/>
      <c r="C156" s="51"/>
      <c r="D156" s="51"/>
      <c r="E156" s="51"/>
      <c r="F156" s="51"/>
      <c r="G156" s="51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</row>
    <row r="157" spans="1:18">
      <c r="A157" s="13"/>
      <c r="B157" s="13"/>
      <c r="C157" s="51"/>
      <c r="D157" s="51"/>
      <c r="E157" s="51"/>
      <c r="F157" s="51"/>
      <c r="G157" s="51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>
      <c r="A158" s="13"/>
      <c r="B158" s="13"/>
      <c r="C158" s="51"/>
      <c r="D158" s="51"/>
      <c r="E158" s="51"/>
      <c r="F158" s="51"/>
      <c r="G158" s="51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</row>
    <row r="159" spans="1:18">
      <c r="A159" s="13"/>
      <c r="B159" s="13"/>
      <c r="C159" s="51"/>
      <c r="D159" s="51"/>
      <c r="E159" s="51"/>
      <c r="F159" s="51"/>
      <c r="G159" s="51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1:18">
      <c r="A160" s="13"/>
      <c r="B160" s="13"/>
      <c r="C160" s="51"/>
      <c r="D160" s="51"/>
      <c r="E160" s="51"/>
      <c r="F160" s="51"/>
      <c r="G160" s="51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</row>
    <row r="161" spans="1:18">
      <c r="A161" s="13"/>
      <c r="B161" s="13"/>
      <c r="C161" s="51"/>
      <c r="D161" s="51"/>
      <c r="E161" s="51"/>
      <c r="F161" s="51"/>
      <c r="G161" s="51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1:18">
      <c r="A162" s="13"/>
      <c r="B162" s="13"/>
      <c r="C162" s="51"/>
      <c r="D162" s="51"/>
      <c r="E162" s="51"/>
      <c r="F162" s="51"/>
      <c r="G162" s="51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</row>
    <row r="163" spans="1:18">
      <c r="A163" s="13"/>
      <c r="B163" s="13"/>
      <c r="C163" s="51"/>
      <c r="D163" s="51"/>
      <c r="E163" s="51"/>
      <c r="F163" s="51"/>
      <c r="G163" s="51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</row>
    <row r="164" spans="1:18">
      <c r="A164" s="13"/>
      <c r="B164" s="13"/>
      <c r="C164" s="51"/>
      <c r="D164" s="51"/>
      <c r="E164" s="51"/>
      <c r="F164" s="51"/>
      <c r="G164" s="51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</row>
    <row r="165" spans="1:18">
      <c r="A165" s="13"/>
      <c r="B165" s="13"/>
      <c r="C165" s="51"/>
      <c r="D165" s="51"/>
      <c r="E165" s="51"/>
      <c r="F165" s="51"/>
      <c r="G165" s="51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</row>
    <row r="166" spans="1:18">
      <c r="A166" s="13"/>
      <c r="B166" s="13"/>
      <c r="C166" s="51"/>
      <c r="D166" s="51"/>
      <c r="E166" s="51"/>
      <c r="F166" s="51"/>
      <c r="G166" s="51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</row>
    <row r="167" spans="1:18">
      <c r="A167" s="13"/>
      <c r="B167" s="13"/>
      <c r="C167" s="51"/>
      <c r="D167" s="51"/>
      <c r="E167" s="51"/>
      <c r="F167" s="51"/>
      <c r="G167" s="51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</row>
    <row r="168" spans="1:18">
      <c r="A168" s="13"/>
      <c r="B168" s="13"/>
      <c r="C168" s="51"/>
      <c r="D168" s="51"/>
      <c r="E168" s="51"/>
      <c r="F168" s="51"/>
      <c r="G168" s="51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</row>
    <row r="169" spans="1:18">
      <c r="A169" s="13"/>
      <c r="B169" s="13"/>
      <c r="C169" s="51"/>
      <c r="D169" s="51"/>
      <c r="E169" s="51"/>
      <c r="F169" s="51"/>
      <c r="G169" s="51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1:18">
      <c r="A170" s="13"/>
      <c r="B170" s="13"/>
      <c r="C170" s="51"/>
      <c r="D170" s="51"/>
      <c r="E170" s="51"/>
      <c r="F170" s="51"/>
      <c r="G170" s="51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1:18">
      <c r="A171" s="13"/>
      <c r="B171" s="13"/>
      <c r="C171" s="51"/>
      <c r="D171" s="51"/>
      <c r="E171" s="51"/>
      <c r="F171" s="51"/>
      <c r="G171" s="51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1:18">
      <c r="A172" s="13"/>
      <c r="B172" s="13"/>
      <c r="C172" s="51"/>
      <c r="D172" s="51"/>
      <c r="E172" s="51"/>
      <c r="F172" s="51"/>
      <c r="G172" s="51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</row>
    <row r="173" spans="1:18">
      <c r="A173" s="13"/>
      <c r="B173" s="13"/>
      <c r="C173" s="51"/>
      <c r="D173" s="51"/>
      <c r="E173" s="51"/>
      <c r="F173" s="51"/>
      <c r="G173" s="51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>
      <c r="A174" s="13"/>
      <c r="B174" s="13"/>
      <c r="C174" s="51"/>
      <c r="D174" s="51"/>
      <c r="E174" s="51"/>
      <c r="F174" s="51"/>
      <c r="G174" s="51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1:18">
      <c r="A175" s="13"/>
      <c r="B175" s="13"/>
      <c r="C175" s="51"/>
      <c r="D175" s="51"/>
      <c r="E175" s="51"/>
      <c r="F175" s="51"/>
      <c r="G175" s="51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</row>
    <row r="176" spans="1:18">
      <c r="A176" s="13"/>
      <c r="B176" s="13"/>
      <c r="C176" s="51"/>
      <c r="D176" s="51"/>
      <c r="E176" s="51"/>
      <c r="F176" s="51"/>
      <c r="G176" s="51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</row>
    <row r="177" spans="1:18">
      <c r="A177" s="13"/>
      <c r="B177" s="13"/>
      <c r="C177" s="51"/>
      <c r="D177" s="51"/>
      <c r="E177" s="51"/>
      <c r="F177" s="51"/>
      <c r="G177" s="51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1:18">
      <c r="A178" s="13"/>
      <c r="B178" s="13"/>
      <c r="C178" s="51"/>
      <c r="D178" s="51"/>
      <c r="E178" s="51"/>
      <c r="F178" s="51"/>
      <c r="G178" s="51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1:18">
      <c r="A179" s="13"/>
      <c r="B179" s="13"/>
      <c r="C179" s="51"/>
      <c r="D179" s="51"/>
      <c r="E179" s="51"/>
      <c r="F179" s="51"/>
      <c r="G179" s="51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</row>
    <row r="180" spans="1:18">
      <c r="A180" s="13"/>
      <c r="B180" s="13"/>
      <c r="C180" s="51"/>
      <c r="D180" s="51"/>
      <c r="E180" s="51"/>
      <c r="F180" s="51"/>
      <c r="G180" s="51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</row>
    <row r="181" spans="1:18">
      <c r="A181" s="13"/>
      <c r="B181" s="13"/>
      <c r="C181" s="51"/>
      <c r="D181" s="51"/>
      <c r="E181" s="51"/>
      <c r="F181" s="51"/>
      <c r="G181" s="51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1:18">
      <c r="A182" s="13"/>
      <c r="B182" s="13"/>
      <c r="C182" s="51"/>
      <c r="D182" s="51"/>
      <c r="E182" s="51"/>
      <c r="F182" s="51"/>
      <c r="G182" s="51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1:18">
      <c r="A183" s="13"/>
      <c r="B183" s="13"/>
      <c r="C183" s="51"/>
      <c r="D183" s="51"/>
      <c r="E183" s="51"/>
      <c r="F183" s="51"/>
      <c r="G183" s="51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</row>
    <row r="184" spans="1:18">
      <c r="A184" s="13"/>
      <c r="B184" s="13"/>
      <c r="C184" s="51"/>
      <c r="D184" s="51"/>
      <c r="E184" s="51"/>
      <c r="F184" s="51"/>
      <c r="G184" s="51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1:18">
      <c r="A185" s="13"/>
      <c r="B185" s="13"/>
      <c r="C185" s="51"/>
      <c r="D185" s="51"/>
      <c r="E185" s="51"/>
      <c r="F185" s="51"/>
      <c r="G185" s="51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</row>
    <row r="186" spans="1:18">
      <c r="A186" s="13"/>
      <c r="B186" s="13"/>
      <c r="C186" s="51"/>
      <c r="D186" s="51"/>
      <c r="E186" s="51"/>
      <c r="F186" s="51"/>
      <c r="G186" s="51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</row>
    <row r="187" spans="1:18">
      <c r="A187" s="13"/>
      <c r="B187" s="13"/>
      <c r="C187" s="51"/>
      <c r="D187" s="51"/>
      <c r="E187" s="51"/>
      <c r="F187" s="51"/>
      <c r="G187" s="51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</row>
    <row r="188" spans="1:18">
      <c r="A188" s="13"/>
      <c r="B188" s="13"/>
      <c r="C188" s="51"/>
      <c r="D188" s="51"/>
      <c r="E188" s="51"/>
      <c r="F188" s="51"/>
      <c r="G188" s="51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1:18">
      <c r="A189" s="13"/>
      <c r="B189" s="13"/>
      <c r="C189" s="51"/>
      <c r="D189" s="51"/>
      <c r="E189" s="51"/>
      <c r="F189" s="51"/>
      <c r="G189" s="51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</row>
    <row r="190" spans="1:18">
      <c r="A190" s="13"/>
      <c r="B190" s="13"/>
      <c r="C190" s="51"/>
      <c r="D190" s="51"/>
      <c r="E190" s="51"/>
      <c r="F190" s="51"/>
      <c r="G190" s="51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</row>
    <row r="191" spans="1:18">
      <c r="A191" s="13"/>
      <c r="B191" s="13"/>
      <c r="C191" s="51"/>
      <c r="D191" s="51"/>
      <c r="E191" s="51"/>
      <c r="F191" s="51"/>
      <c r="G191" s="51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</row>
    <row r="192" spans="1:18">
      <c r="A192" s="13"/>
      <c r="B192" s="13"/>
      <c r="C192" s="51"/>
      <c r="D192" s="51"/>
      <c r="E192" s="51"/>
      <c r="F192" s="51"/>
      <c r="G192" s="51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</row>
    <row r="193" spans="1:18">
      <c r="A193" s="13"/>
      <c r="B193" s="13"/>
      <c r="C193" s="51"/>
      <c r="D193" s="51"/>
      <c r="E193" s="51"/>
      <c r="F193" s="51"/>
      <c r="G193" s="51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</row>
    <row r="194" spans="1:18">
      <c r="A194" s="13"/>
      <c r="B194" s="13"/>
      <c r="C194" s="51"/>
      <c r="D194" s="51"/>
      <c r="E194" s="51"/>
      <c r="F194" s="51"/>
      <c r="G194" s="51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</row>
    <row r="195" spans="1:18">
      <c r="A195" s="13"/>
      <c r="B195" s="13"/>
      <c r="C195" s="51"/>
      <c r="D195" s="51"/>
      <c r="E195" s="51"/>
      <c r="F195" s="51"/>
      <c r="G195" s="51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</row>
    <row r="196" spans="1:18">
      <c r="A196" s="13"/>
      <c r="B196" s="13"/>
      <c r="C196" s="51"/>
      <c r="D196" s="51"/>
      <c r="E196" s="51"/>
      <c r="F196" s="51"/>
      <c r="G196" s="51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</row>
    <row r="197" spans="1:18">
      <c r="A197" s="13"/>
      <c r="B197" s="13"/>
      <c r="C197" s="51"/>
      <c r="D197" s="51"/>
      <c r="E197" s="51"/>
      <c r="F197" s="51"/>
      <c r="G197" s="51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</row>
    <row r="198" spans="1:18">
      <c r="A198" s="13"/>
      <c r="B198" s="13"/>
      <c r="C198" s="51"/>
      <c r="D198" s="51"/>
      <c r="E198" s="51"/>
      <c r="F198" s="51"/>
      <c r="G198" s="51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</row>
    <row r="199" spans="1:18">
      <c r="A199" s="13"/>
      <c r="B199" s="13"/>
      <c r="C199" s="51"/>
      <c r="D199" s="51"/>
      <c r="E199" s="51"/>
      <c r="F199" s="51"/>
      <c r="G199" s="51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</row>
    <row r="200" spans="1:18">
      <c r="A200" s="13"/>
      <c r="B200" s="13"/>
      <c r="C200" s="51"/>
      <c r="D200" s="51"/>
      <c r="E200" s="51"/>
      <c r="F200" s="51"/>
      <c r="G200" s="51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</row>
    <row r="201" spans="1:18">
      <c r="A201" s="13"/>
      <c r="B201" s="13"/>
      <c r="C201" s="51"/>
      <c r="D201" s="51"/>
      <c r="E201" s="51"/>
      <c r="F201" s="51"/>
      <c r="G201" s="51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</row>
    <row r="202" spans="1:18">
      <c r="A202" s="13"/>
      <c r="B202" s="13"/>
      <c r="C202" s="51"/>
      <c r="D202" s="51"/>
      <c r="E202" s="51"/>
      <c r="F202" s="51"/>
      <c r="G202" s="51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</row>
    <row r="203" spans="1:18">
      <c r="A203" s="13"/>
      <c r="B203" s="13"/>
      <c r="C203" s="51"/>
      <c r="D203" s="51"/>
      <c r="E203" s="51"/>
      <c r="F203" s="51"/>
      <c r="G203" s="51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</row>
    <row r="204" spans="1:18">
      <c r="A204" s="13"/>
      <c r="B204" s="13"/>
      <c r="C204" s="51"/>
      <c r="D204" s="51"/>
      <c r="E204" s="51"/>
      <c r="F204" s="51"/>
      <c r="G204" s="51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</row>
    <row r="205" spans="1:18">
      <c r="A205" s="13"/>
      <c r="B205" s="13"/>
      <c r="C205" s="51"/>
      <c r="D205" s="51"/>
      <c r="E205" s="51"/>
      <c r="F205" s="51"/>
      <c r="G205" s="51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</row>
    <row r="206" spans="1:18">
      <c r="A206" s="13"/>
      <c r="B206" s="13"/>
      <c r="C206" s="51"/>
      <c r="D206" s="51"/>
      <c r="E206" s="51"/>
      <c r="F206" s="51"/>
      <c r="G206" s="51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</row>
    <row r="207" spans="1:18">
      <c r="A207" s="13"/>
      <c r="B207" s="13"/>
      <c r="C207" s="51"/>
      <c r="D207" s="51"/>
      <c r="E207" s="51"/>
      <c r="F207" s="51"/>
      <c r="G207" s="51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</row>
    <row r="208" spans="1:18">
      <c r="A208" s="13"/>
      <c r="B208" s="13"/>
      <c r="C208" s="51"/>
      <c r="D208" s="51"/>
      <c r="E208" s="51"/>
      <c r="F208" s="51"/>
      <c r="G208" s="51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</row>
    <row r="209" spans="1:18">
      <c r="A209" s="13"/>
      <c r="B209" s="13"/>
      <c r="C209" s="51"/>
      <c r="D209" s="51"/>
      <c r="E209" s="51"/>
      <c r="F209" s="51"/>
      <c r="G209" s="51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</row>
    <row r="210" spans="1:18">
      <c r="A210" s="13"/>
      <c r="B210" s="13"/>
      <c r="C210" s="51"/>
      <c r="D210" s="51"/>
      <c r="E210" s="51"/>
      <c r="F210" s="51"/>
      <c r="G210" s="51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</row>
    <row r="211" spans="1:18">
      <c r="A211" s="13"/>
      <c r="B211" s="13"/>
      <c r="C211" s="51"/>
      <c r="D211" s="51"/>
      <c r="E211" s="51"/>
      <c r="F211" s="51"/>
      <c r="G211" s="51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</row>
    <row r="212" spans="1:18">
      <c r="A212" s="13"/>
      <c r="B212" s="13"/>
      <c r="C212" s="51"/>
      <c r="D212" s="51"/>
      <c r="E212" s="51"/>
      <c r="F212" s="51"/>
      <c r="G212" s="51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</row>
    <row r="213" spans="1:18">
      <c r="A213" s="13"/>
      <c r="B213" s="13"/>
      <c r="C213" s="51"/>
      <c r="D213" s="51"/>
      <c r="E213" s="51"/>
      <c r="F213" s="51"/>
      <c r="G213" s="51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</row>
    <row r="214" spans="1:18">
      <c r="A214" s="13"/>
      <c r="B214" s="13"/>
      <c r="C214" s="51"/>
      <c r="D214" s="51"/>
      <c r="E214" s="51"/>
      <c r="F214" s="51"/>
      <c r="G214" s="51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</row>
    <row r="215" spans="1:18">
      <c r="A215" s="13"/>
      <c r="B215" s="13"/>
      <c r="C215" s="51"/>
      <c r="D215" s="51"/>
      <c r="E215" s="51"/>
      <c r="F215" s="51"/>
      <c r="G215" s="51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</row>
    <row r="216" spans="1:18">
      <c r="A216" s="13"/>
      <c r="B216" s="13"/>
      <c r="C216" s="51"/>
      <c r="D216" s="51"/>
      <c r="E216" s="51"/>
      <c r="F216" s="51"/>
      <c r="G216" s="51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</row>
    <row r="217" spans="1:18">
      <c r="A217" s="13"/>
      <c r="B217" s="13"/>
      <c r="C217" s="51"/>
      <c r="D217" s="51"/>
      <c r="E217" s="51"/>
      <c r="F217" s="51"/>
      <c r="G217" s="51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</row>
    <row r="218" spans="1:18">
      <c r="A218" s="13"/>
      <c r="B218" s="13"/>
      <c r="C218" s="51"/>
      <c r="D218" s="51"/>
      <c r="E218" s="51"/>
      <c r="F218" s="51"/>
      <c r="G218" s="51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</row>
    <row r="219" spans="1:18">
      <c r="A219" s="13"/>
      <c r="B219" s="13"/>
      <c r="C219" s="51"/>
      <c r="D219" s="51"/>
      <c r="E219" s="51"/>
      <c r="F219" s="51"/>
      <c r="G219" s="51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</row>
    <row r="220" spans="1:18">
      <c r="A220" s="13"/>
      <c r="B220" s="13"/>
      <c r="C220" s="51"/>
      <c r="D220" s="51"/>
      <c r="E220" s="51"/>
      <c r="F220" s="51"/>
      <c r="G220" s="51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</row>
    <row r="221" spans="1:18">
      <c r="A221" s="13"/>
      <c r="B221" s="13"/>
      <c r="C221" s="51"/>
      <c r="D221" s="51"/>
      <c r="E221" s="51"/>
      <c r="F221" s="51"/>
      <c r="G221" s="51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</row>
    <row r="222" spans="1:18">
      <c r="A222" s="13"/>
      <c r="B222" s="13"/>
      <c r="C222" s="51"/>
      <c r="D222" s="51"/>
      <c r="E222" s="51"/>
      <c r="F222" s="51"/>
      <c r="G222" s="51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</row>
    <row r="223" spans="1:18">
      <c r="A223" s="13"/>
      <c r="B223" s="13"/>
      <c r="C223" s="51"/>
      <c r="D223" s="51"/>
      <c r="E223" s="51"/>
      <c r="F223" s="51"/>
      <c r="G223" s="51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</row>
    <row r="224" spans="1:18">
      <c r="A224" s="13"/>
      <c r="B224" s="13"/>
      <c r="C224" s="51"/>
      <c r="D224" s="51"/>
      <c r="E224" s="51"/>
      <c r="F224" s="51"/>
      <c r="G224" s="51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</row>
    <row r="225" spans="1:18">
      <c r="A225" s="13"/>
      <c r="B225" s="13"/>
      <c r="C225" s="51"/>
      <c r="D225" s="51"/>
      <c r="E225" s="51"/>
      <c r="F225" s="51"/>
      <c r="G225" s="51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</row>
    <row r="226" spans="1:18">
      <c r="A226" s="13"/>
      <c r="B226" s="13"/>
      <c r="C226" s="51"/>
      <c r="D226" s="51"/>
      <c r="E226" s="51"/>
      <c r="F226" s="51"/>
      <c r="G226" s="51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</row>
    <row r="227" spans="1:18">
      <c r="A227" s="13"/>
      <c r="B227" s="13"/>
      <c r="C227" s="51"/>
      <c r="D227" s="51"/>
      <c r="E227" s="51"/>
      <c r="F227" s="51"/>
      <c r="G227" s="51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1:18">
      <c r="A228" s="13"/>
      <c r="B228" s="13"/>
      <c r="C228" s="51"/>
      <c r="D228" s="51"/>
      <c r="E228" s="51"/>
      <c r="F228" s="51"/>
      <c r="G228" s="51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</row>
    <row r="229" spans="1:18">
      <c r="A229" s="13"/>
      <c r="B229" s="13"/>
      <c r="C229" s="51"/>
      <c r="D229" s="51"/>
      <c r="E229" s="51"/>
      <c r="F229" s="51"/>
      <c r="G229" s="51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</row>
    <row r="230" spans="1:18">
      <c r="A230" s="13"/>
      <c r="B230" s="13"/>
      <c r="C230" s="51"/>
      <c r="D230" s="51"/>
      <c r="E230" s="51"/>
      <c r="F230" s="51"/>
      <c r="G230" s="51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</row>
    <row r="231" spans="1:18">
      <c r="A231" s="13"/>
      <c r="B231" s="13"/>
      <c r="C231" s="51"/>
      <c r="D231" s="51"/>
      <c r="E231" s="51"/>
      <c r="F231" s="51"/>
      <c r="G231" s="51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</row>
    <row r="232" spans="1:18">
      <c r="A232" s="13"/>
      <c r="B232" s="13"/>
      <c r="C232" s="51"/>
      <c r="D232" s="51"/>
      <c r="E232" s="51"/>
      <c r="F232" s="51"/>
      <c r="G232" s="51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</row>
    <row r="233" spans="1:18">
      <c r="A233" s="13"/>
      <c r="B233" s="13"/>
      <c r="C233" s="51"/>
      <c r="D233" s="51"/>
      <c r="E233" s="51"/>
      <c r="F233" s="51"/>
      <c r="G233" s="51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</row>
    <row r="234" spans="1:18">
      <c r="A234" s="13"/>
      <c r="B234" s="13"/>
      <c r="C234" s="51"/>
      <c r="D234" s="51"/>
      <c r="E234" s="51"/>
      <c r="F234" s="51"/>
      <c r="G234" s="51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</row>
    <row r="235" spans="1:18">
      <c r="A235" s="13"/>
      <c r="B235" s="13"/>
      <c r="C235" s="51"/>
      <c r="D235" s="51"/>
      <c r="E235" s="51"/>
      <c r="F235" s="51"/>
      <c r="G235" s="51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</row>
    <row r="236" spans="1:18">
      <c r="A236" s="13"/>
      <c r="B236" s="13"/>
      <c r="C236" s="51"/>
      <c r="D236" s="51"/>
      <c r="E236" s="51"/>
      <c r="F236" s="51"/>
      <c r="G236" s="51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</row>
    <row r="237" spans="1:18">
      <c r="A237" s="13"/>
      <c r="B237" s="13"/>
      <c r="C237" s="51"/>
      <c r="D237" s="51"/>
      <c r="E237" s="51"/>
      <c r="F237" s="51"/>
      <c r="G237" s="51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</row>
    <row r="238" spans="1:18">
      <c r="A238" s="13"/>
      <c r="B238" s="13"/>
      <c r="C238" s="51"/>
      <c r="D238" s="51"/>
      <c r="E238" s="51"/>
      <c r="F238" s="51"/>
      <c r="G238" s="51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</row>
    <row r="239" spans="1:18">
      <c r="A239" s="13"/>
      <c r="B239" s="13"/>
      <c r="C239" s="51"/>
      <c r="D239" s="51"/>
      <c r="E239" s="51"/>
      <c r="F239" s="51"/>
      <c r="G239" s="51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</row>
    <row r="240" spans="1:18">
      <c r="A240" s="13"/>
      <c r="B240" s="13"/>
      <c r="C240" s="51"/>
      <c r="D240" s="51"/>
      <c r="E240" s="51"/>
      <c r="F240" s="51"/>
      <c r="G240" s="51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</row>
    <row r="241" spans="1:18">
      <c r="A241" s="13"/>
      <c r="B241" s="13"/>
      <c r="C241" s="51"/>
      <c r="D241" s="51"/>
      <c r="E241" s="51"/>
      <c r="F241" s="51"/>
      <c r="G241" s="51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</row>
    <row r="242" spans="1:18">
      <c r="A242" s="13"/>
      <c r="B242" s="13"/>
      <c r="C242" s="51"/>
      <c r="D242" s="51"/>
      <c r="E242" s="51"/>
      <c r="F242" s="51"/>
      <c r="G242" s="51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</row>
    <row r="243" spans="1:18">
      <c r="A243" s="13"/>
      <c r="B243" s="13"/>
      <c r="C243" s="51"/>
      <c r="D243" s="51"/>
      <c r="E243" s="51"/>
      <c r="F243" s="51"/>
      <c r="G243" s="51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</row>
    <row r="244" spans="1:18">
      <c r="A244" s="13"/>
      <c r="B244" s="13"/>
      <c r="C244" s="51"/>
      <c r="D244" s="51"/>
      <c r="E244" s="51"/>
      <c r="F244" s="51"/>
      <c r="G244" s="51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</row>
    <row r="245" spans="1:18">
      <c r="A245" s="13"/>
      <c r="B245" s="13"/>
      <c r="C245" s="51"/>
      <c r="D245" s="51"/>
      <c r="E245" s="51"/>
      <c r="F245" s="51"/>
      <c r="G245" s="51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</row>
    <row r="246" spans="1:18">
      <c r="A246" s="13"/>
      <c r="B246" s="13"/>
      <c r="C246" s="51"/>
      <c r="D246" s="51"/>
      <c r="E246" s="51"/>
      <c r="F246" s="51"/>
      <c r="G246" s="51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</row>
    <row r="247" spans="1:18">
      <c r="A247" s="13"/>
      <c r="B247" s="13"/>
      <c r="C247" s="51"/>
      <c r="D247" s="51"/>
      <c r="E247" s="51"/>
      <c r="F247" s="51"/>
      <c r="G247" s="51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</row>
    <row r="248" spans="1:18">
      <c r="A248" s="13"/>
      <c r="B248" s="13"/>
      <c r="C248" s="51"/>
      <c r="D248" s="51"/>
      <c r="E248" s="51"/>
      <c r="F248" s="51"/>
      <c r="G248" s="51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</row>
    <row r="249" spans="1:18">
      <c r="A249" s="13"/>
      <c r="B249" s="13"/>
      <c r="C249" s="51"/>
      <c r="D249" s="51"/>
      <c r="E249" s="51"/>
      <c r="F249" s="51"/>
      <c r="G249" s="51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</row>
    <row r="250" spans="1:18">
      <c r="A250" s="13"/>
      <c r="B250" s="13"/>
      <c r="C250" s="51"/>
      <c r="D250" s="51"/>
      <c r="E250" s="51"/>
      <c r="F250" s="51"/>
      <c r="G250" s="51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</row>
    <row r="251" spans="1:18">
      <c r="A251" s="13"/>
      <c r="B251" s="13"/>
      <c r="C251" s="51"/>
      <c r="D251" s="51"/>
      <c r="E251" s="51"/>
      <c r="F251" s="51"/>
      <c r="G251" s="51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</row>
    <row r="252" spans="1:18">
      <c r="A252" s="13"/>
      <c r="B252" s="13"/>
      <c r="C252" s="51"/>
      <c r="D252" s="51"/>
      <c r="E252" s="51"/>
      <c r="F252" s="51"/>
      <c r="G252" s="51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</row>
    <row r="253" spans="1:18">
      <c r="A253" s="13"/>
      <c r="B253" s="13"/>
      <c r="C253" s="51"/>
      <c r="D253" s="51"/>
      <c r="E253" s="51"/>
      <c r="F253" s="51"/>
      <c r="G253" s="51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</row>
    <row r="254" spans="1:18">
      <c r="A254" s="13"/>
      <c r="B254" s="13"/>
      <c r="C254" s="51"/>
      <c r="D254" s="51"/>
      <c r="E254" s="51"/>
      <c r="F254" s="51"/>
      <c r="G254" s="51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</row>
    <row r="255" spans="1:18">
      <c r="A255" s="13"/>
      <c r="B255" s="13"/>
      <c r="C255" s="51"/>
      <c r="D255" s="51"/>
      <c r="E255" s="51"/>
      <c r="F255" s="51"/>
      <c r="G255" s="51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</row>
    <row r="256" spans="1:18">
      <c r="A256" s="13"/>
      <c r="B256" s="13"/>
      <c r="C256" s="51"/>
      <c r="D256" s="51"/>
      <c r="E256" s="51"/>
      <c r="F256" s="51"/>
      <c r="G256" s="51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</row>
    <row r="257" spans="1:18">
      <c r="A257" s="13"/>
      <c r="B257" s="13"/>
      <c r="C257" s="51"/>
      <c r="D257" s="51"/>
      <c r="E257" s="51"/>
      <c r="F257" s="51"/>
      <c r="G257" s="51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</row>
    <row r="258" spans="1:18">
      <c r="A258" s="13"/>
      <c r="B258" s="13"/>
      <c r="C258" s="51"/>
      <c r="D258" s="51"/>
      <c r="E258" s="51"/>
      <c r="F258" s="51"/>
      <c r="G258" s="51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</row>
    <row r="259" spans="1:18">
      <c r="A259" s="13"/>
      <c r="B259" s="13"/>
      <c r="C259" s="51"/>
      <c r="D259" s="51"/>
      <c r="E259" s="51"/>
      <c r="F259" s="51"/>
      <c r="G259" s="51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</row>
    <row r="260" spans="1:18">
      <c r="A260" s="13"/>
      <c r="B260" s="13"/>
      <c r="C260" s="51"/>
      <c r="D260" s="51"/>
      <c r="E260" s="51"/>
      <c r="F260" s="51"/>
      <c r="G260" s="51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</row>
    <row r="261" spans="1:18">
      <c r="A261" s="13"/>
      <c r="B261" s="13"/>
      <c r="C261" s="51"/>
      <c r="D261" s="51"/>
      <c r="E261" s="51"/>
      <c r="F261" s="51"/>
      <c r="G261" s="51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</row>
    <row r="262" spans="1:18">
      <c r="A262" s="13"/>
      <c r="B262" s="13"/>
      <c r="C262" s="51"/>
      <c r="D262" s="51"/>
      <c r="E262" s="51"/>
      <c r="F262" s="51"/>
      <c r="G262" s="51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</row>
    <row r="263" spans="1:18">
      <c r="A263" s="13"/>
      <c r="B263" s="13"/>
      <c r="C263" s="51"/>
      <c r="D263" s="51"/>
      <c r="E263" s="51"/>
      <c r="F263" s="51"/>
      <c r="G263" s="51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</row>
    <row r="264" spans="1:18">
      <c r="A264" s="13"/>
      <c r="B264" s="13"/>
      <c r="C264" s="51"/>
      <c r="D264" s="51"/>
      <c r="E264" s="51"/>
      <c r="F264" s="51"/>
      <c r="G264" s="51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</row>
    <row r="265" spans="1:18">
      <c r="A265" s="13"/>
      <c r="B265" s="13"/>
      <c r="C265" s="51"/>
      <c r="D265" s="51"/>
      <c r="E265" s="51"/>
      <c r="F265" s="51"/>
      <c r="G265" s="51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</row>
    <row r="266" spans="1:18">
      <c r="A266" s="13"/>
      <c r="B266" s="13"/>
      <c r="C266" s="51"/>
      <c r="D266" s="51"/>
      <c r="E266" s="51"/>
      <c r="F266" s="51"/>
      <c r="G266" s="51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</row>
    <row r="267" spans="1:18">
      <c r="A267" s="13"/>
      <c r="B267" s="13"/>
      <c r="C267" s="51"/>
      <c r="D267" s="51"/>
      <c r="E267" s="51"/>
      <c r="F267" s="51"/>
      <c r="G267" s="51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</row>
    <row r="268" spans="1:18">
      <c r="A268" s="13"/>
      <c r="B268" s="13"/>
      <c r="C268" s="51"/>
      <c r="D268" s="51"/>
      <c r="E268" s="51"/>
      <c r="F268" s="51"/>
      <c r="G268" s="51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</row>
    <row r="269" spans="1:18">
      <c r="A269" s="13"/>
      <c r="B269" s="13"/>
      <c r="C269" s="51"/>
      <c r="D269" s="51"/>
      <c r="E269" s="51"/>
      <c r="F269" s="51"/>
      <c r="G269" s="51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</row>
    <row r="270" spans="1:18">
      <c r="A270" s="13"/>
      <c r="B270" s="13"/>
      <c r="C270" s="51"/>
      <c r="D270" s="51"/>
      <c r="E270" s="51"/>
      <c r="F270" s="51"/>
      <c r="G270" s="51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</row>
    <row r="271" spans="1:18">
      <c r="A271" s="13"/>
      <c r="B271" s="13"/>
      <c r="C271" s="51"/>
      <c r="D271" s="51"/>
      <c r="E271" s="51"/>
      <c r="F271" s="51"/>
      <c r="G271" s="51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</row>
    <row r="272" spans="1:18">
      <c r="A272" s="13"/>
      <c r="B272" s="13"/>
      <c r="C272" s="51"/>
      <c r="D272" s="51"/>
      <c r="E272" s="51"/>
      <c r="F272" s="51"/>
      <c r="G272" s="51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</row>
    <row r="273" spans="1:18">
      <c r="A273" s="13"/>
      <c r="B273" s="13"/>
      <c r="C273" s="51"/>
      <c r="D273" s="51"/>
      <c r="E273" s="51"/>
      <c r="F273" s="51"/>
      <c r="G273" s="51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</row>
    <row r="274" spans="1:18">
      <c r="A274" s="13"/>
      <c r="B274" s="13"/>
      <c r="C274" s="51"/>
      <c r="D274" s="51"/>
      <c r="E274" s="51"/>
      <c r="F274" s="51"/>
      <c r="G274" s="51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</row>
    <row r="275" spans="1:18">
      <c r="A275" s="13"/>
      <c r="B275" s="13"/>
      <c r="C275" s="51"/>
      <c r="D275" s="51"/>
      <c r="E275" s="51"/>
      <c r="F275" s="51"/>
      <c r="G275" s="51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</row>
    <row r="276" spans="1:18">
      <c r="A276" s="13"/>
      <c r="B276" s="13"/>
      <c r="C276" s="51"/>
      <c r="D276" s="51"/>
      <c r="E276" s="51"/>
      <c r="F276" s="51"/>
      <c r="G276" s="51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</row>
    <row r="277" spans="1:18">
      <c r="A277" s="13"/>
      <c r="B277" s="13"/>
      <c r="C277" s="51"/>
      <c r="D277" s="51"/>
      <c r="E277" s="51"/>
      <c r="F277" s="51"/>
      <c r="G277" s="51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</row>
    <row r="278" spans="1:18">
      <c r="A278" s="13"/>
      <c r="B278" s="13"/>
      <c r="C278" s="51"/>
      <c r="D278" s="51"/>
      <c r="E278" s="51"/>
      <c r="F278" s="51"/>
      <c r="G278" s="51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</row>
    <row r="279" spans="1:18">
      <c r="A279" s="13"/>
      <c r="B279" s="13"/>
      <c r="C279" s="51"/>
      <c r="D279" s="51"/>
      <c r="E279" s="51"/>
      <c r="F279" s="51"/>
      <c r="G279" s="51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</row>
    <row r="280" spans="1:18">
      <c r="A280" s="13"/>
      <c r="B280" s="13"/>
      <c r="C280" s="51"/>
      <c r="D280" s="51"/>
      <c r="E280" s="51"/>
      <c r="F280" s="51"/>
      <c r="G280" s="51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</row>
    <row r="281" spans="1:18">
      <c r="A281" s="13"/>
      <c r="B281" s="13"/>
      <c r="C281" s="51"/>
      <c r="D281" s="51"/>
      <c r="E281" s="51"/>
      <c r="F281" s="51"/>
      <c r="G281" s="51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</row>
    <row r="282" spans="1:18">
      <c r="A282" s="13"/>
      <c r="B282" s="13"/>
      <c r="C282" s="51"/>
      <c r="D282" s="51"/>
      <c r="E282" s="51"/>
      <c r="F282" s="51"/>
      <c r="G282" s="51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</row>
    <row r="283" spans="1:18">
      <c r="A283" s="13"/>
      <c r="B283" s="13"/>
      <c r="C283" s="51"/>
      <c r="D283" s="51"/>
      <c r="E283" s="51"/>
      <c r="F283" s="51"/>
      <c r="G283" s="51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</row>
    <row r="284" spans="1:18">
      <c r="A284" s="13"/>
      <c r="B284" s="13"/>
      <c r="C284" s="51"/>
      <c r="D284" s="51"/>
      <c r="E284" s="51"/>
      <c r="F284" s="51"/>
      <c r="G284" s="51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</row>
    <row r="285" spans="1:18">
      <c r="A285" s="13"/>
      <c r="B285" s="13"/>
      <c r="C285" s="51"/>
      <c r="D285" s="51"/>
      <c r="E285" s="51"/>
      <c r="F285" s="51"/>
      <c r="G285" s="51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</row>
    <row r="286" spans="1:18">
      <c r="A286" s="13"/>
      <c r="B286" s="13"/>
      <c r="C286" s="51"/>
      <c r="D286" s="51"/>
      <c r="E286" s="51"/>
      <c r="F286" s="51"/>
      <c r="G286" s="51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</row>
    <row r="287" spans="1:18">
      <c r="A287" s="13"/>
      <c r="B287" s="13"/>
      <c r="C287" s="51"/>
      <c r="D287" s="51"/>
      <c r="E287" s="51"/>
      <c r="F287" s="51"/>
      <c r="G287" s="51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</row>
    <row r="288" spans="1:18">
      <c r="A288" s="13"/>
      <c r="B288" s="13"/>
      <c r="C288" s="51"/>
      <c r="D288" s="51"/>
      <c r="E288" s="51"/>
      <c r="F288" s="51"/>
      <c r="G288" s="51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</row>
    <row r="289" spans="1:18">
      <c r="A289" s="13"/>
      <c r="B289" s="13"/>
      <c r="C289" s="51"/>
      <c r="D289" s="51"/>
      <c r="E289" s="51"/>
      <c r="F289" s="51"/>
      <c r="G289" s="51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</row>
    <row r="290" spans="1:18">
      <c r="A290" s="13"/>
      <c r="B290" s="13"/>
      <c r="C290" s="51"/>
      <c r="D290" s="51"/>
      <c r="E290" s="51"/>
      <c r="F290" s="51"/>
      <c r="G290" s="51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</row>
    <row r="291" spans="1:18">
      <c r="A291" s="13"/>
      <c r="B291" s="13"/>
      <c r="C291" s="51"/>
      <c r="D291" s="51"/>
      <c r="E291" s="51"/>
      <c r="F291" s="51"/>
      <c r="G291" s="51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</row>
    <row r="292" spans="1:18">
      <c r="A292" s="13"/>
      <c r="B292" s="13"/>
      <c r="C292" s="51"/>
      <c r="D292" s="51"/>
      <c r="E292" s="51"/>
      <c r="F292" s="51"/>
      <c r="G292" s="51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</row>
    <row r="293" spans="1:18">
      <c r="A293" s="13"/>
      <c r="B293" s="13"/>
      <c r="C293" s="51"/>
      <c r="D293" s="51"/>
      <c r="E293" s="51"/>
      <c r="F293" s="51"/>
      <c r="G293" s="51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</row>
    <row r="294" spans="1:18">
      <c r="A294" s="13"/>
      <c r="B294" s="13"/>
      <c r="C294" s="51"/>
      <c r="D294" s="51"/>
      <c r="E294" s="51"/>
      <c r="F294" s="51"/>
      <c r="G294" s="51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</row>
    <row r="295" spans="1:18">
      <c r="A295" s="13"/>
      <c r="B295" s="13"/>
      <c r="C295" s="51"/>
      <c r="D295" s="51"/>
      <c r="E295" s="51"/>
      <c r="F295" s="51"/>
      <c r="G295" s="51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</row>
    <row r="296" spans="1:18">
      <c r="A296" s="13"/>
      <c r="B296" s="13"/>
      <c r="C296" s="51"/>
      <c r="D296" s="51"/>
      <c r="E296" s="51"/>
      <c r="F296" s="51"/>
      <c r="G296" s="51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</row>
    <row r="297" spans="1:18">
      <c r="A297" s="13"/>
      <c r="B297" s="13"/>
      <c r="C297" s="51"/>
      <c r="D297" s="51"/>
      <c r="E297" s="51"/>
      <c r="F297" s="51"/>
      <c r="G297" s="51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</row>
    <row r="298" spans="1:18">
      <c r="A298" s="13"/>
      <c r="B298" s="13"/>
      <c r="C298" s="51"/>
      <c r="D298" s="51"/>
      <c r="E298" s="51"/>
      <c r="F298" s="51"/>
      <c r="G298" s="51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</row>
    <row r="299" spans="1:18">
      <c r="A299" s="13"/>
      <c r="B299" s="13"/>
      <c r="C299" s="51"/>
      <c r="D299" s="51"/>
      <c r="E299" s="51"/>
      <c r="F299" s="51"/>
      <c r="G299" s="51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</row>
    <row r="300" spans="1:18">
      <c r="A300" s="13"/>
      <c r="B300" s="13"/>
      <c r="C300" s="51"/>
      <c r="D300" s="51"/>
      <c r="E300" s="51"/>
      <c r="F300" s="51"/>
      <c r="G300" s="51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</row>
    <row r="301" spans="1:18">
      <c r="A301" s="13"/>
      <c r="B301" s="13"/>
      <c r="C301" s="51"/>
      <c r="D301" s="51"/>
      <c r="E301" s="51"/>
      <c r="F301" s="51"/>
      <c r="G301" s="51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</row>
    <row r="302" spans="1:18">
      <c r="A302" s="13"/>
      <c r="B302" s="13"/>
      <c r="C302" s="51"/>
      <c r="D302" s="51"/>
      <c r="E302" s="51"/>
      <c r="F302" s="51"/>
      <c r="G302" s="51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</row>
    <row r="303" spans="1:18">
      <c r="A303" s="13"/>
      <c r="B303" s="13"/>
      <c r="C303" s="51"/>
      <c r="D303" s="51"/>
      <c r="E303" s="51"/>
      <c r="F303" s="51"/>
      <c r="G303" s="51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</row>
    <row r="304" spans="1:18">
      <c r="A304" s="13"/>
      <c r="B304" s="13"/>
      <c r="C304" s="51"/>
      <c r="D304" s="51"/>
      <c r="E304" s="51"/>
      <c r="F304" s="51"/>
      <c r="G304" s="51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</row>
    <row r="305" spans="1:18">
      <c r="A305" s="13"/>
      <c r="B305" s="13"/>
      <c r="C305" s="51"/>
      <c r="D305" s="51"/>
      <c r="E305" s="51"/>
      <c r="F305" s="51"/>
      <c r="G305" s="51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</row>
    <row r="306" spans="1:18">
      <c r="A306" s="13"/>
      <c r="B306" s="13"/>
      <c r="C306" s="51"/>
      <c r="D306" s="51"/>
      <c r="E306" s="51"/>
      <c r="F306" s="51"/>
      <c r="G306" s="51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</row>
    <row r="307" spans="1:18">
      <c r="A307" s="13"/>
      <c r="B307" s="13"/>
      <c r="C307" s="51"/>
      <c r="D307" s="51"/>
      <c r="E307" s="51"/>
      <c r="F307" s="51"/>
      <c r="G307" s="51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</row>
    <row r="308" spans="1:18">
      <c r="A308" s="13"/>
      <c r="B308" s="13"/>
      <c r="C308" s="51"/>
      <c r="D308" s="51"/>
      <c r="E308" s="51"/>
      <c r="F308" s="51"/>
      <c r="G308" s="51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</row>
    <row r="309" spans="1:18">
      <c r="A309" s="13"/>
      <c r="B309" s="13"/>
      <c r="C309" s="51"/>
      <c r="D309" s="51"/>
      <c r="E309" s="51"/>
      <c r="F309" s="51"/>
      <c r="G309" s="51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</row>
    <row r="310" spans="1:18">
      <c r="A310" s="13"/>
      <c r="B310" s="13"/>
      <c r="C310" s="51"/>
      <c r="D310" s="51"/>
      <c r="E310" s="51"/>
      <c r="F310" s="51"/>
      <c r="G310" s="51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</row>
    <row r="311" spans="1:18">
      <c r="A311" s="13"/>
      <c r="B311" s="13"/>
      <c r="C311" s="51"/>
      <c r="D311" s="51"/>
      <c r="E311" s="51"/>
      <c r="F311" s="51"/>
      <c r="G311" s="51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</row>
    <row r="312" spans="1:18">
      <c r="A312" s="13"/>
      <c r="B312" s="13"/>
      <c r="C312" s="51"/>
      <c r="D312" s="51"/>
      <c r="E312" s="51"/>
      <c r="F312" s="51"/>
      <c r="G312" s="51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</row>
    <row r="313" spans="1:18">
      <c r="A313" s="13"/>
      <c r="B313" s="13"/>
      <c r="C313" s="51"/>
      <c r="D313" s="51"/>
      <c r="E313" s="51"/>
      <c r="F313" s="51"/>
      <c r="G313" s="51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</row>
    <row r="314" spans="1:18">
      <c r="A314" s="13"/>
      <c r="B314" s="13"/>
      <c r="C314" s="51"/>
      <c r="D314" s="51"/>
      <c r="E314" s="51"/>
      <c r="F314" s="51"/>
      <c r="G314" s="51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</row>
    <row r="315" spans="1:18">
      <c r="A315" s="13"/>
      <c r="B315" s="13"/>
      <c r="C315" s="51"/>
      <c r="D315" s="51"/>
      <c r="E315" s="51"/>
      <c r="F315" s="51"/>
      <c r="G315" s="51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</row>
    <row r="316" spans="1:18">
      <c r="A316" s="13"/>
      <c r="B316" s="13"/>
      <c r="C316" s="51"/>
      <c r="D316" s="51"/>
      <c r="E316" s="51"/>
      <c r="F316" s="51"/>
      <c r="G316" s="51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</row>
    <row r="317" spans="1:18">
      <c r="A317" s="13"/>
      <c r="B317" s="13"/>
      <c r="C317" s="51"/>
      <c r="D317" s="51"/>
      <c r="E317" s="51"/>
      <c r="F317" s="51"/>
      <c r="G317" s="51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</row>
    <row r="318" spans="1:18">
      <c r="A318" s="13"/>
      <c r="B318" s="13"/>
      <c r="C318" s="51"/>
      <c r="D318" s="51"/>
      <c r="E318" s="51"/>
      <c r="F318" s="51"/>
      <c r="G318" s="51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</row>
    <row r="319" spans="1:18">
      <c r="A319" s="13"/>
      <c r="B319" s="13"/>
      <c r="C319" s="51"/>
      <c r="D319" s="51"/>
      <c r="E319" s="51"/>
      <c r="F319" s="51"/>
      <c r="G319" s="51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</row>
    <row r="320" spans="1:18">
      <c r="A320" s="13"/>
      <c r="B320" s="13"/>
      <c r="C320" s="51"/>
      <c r="D320" s="51"/>
      <c r="E320" s="51"/>
      <c r="F320" s="51"/>
      <c r="G320" s="51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</row>
    <row r="321" spans="1:18">
      <c r="A321" s="13"/>
      <c r="B321" s="13"/>
      <c r="C321" s="51"/>
      <c r="D321" s="51"/>
      <c r="E321" s="51"/>
      <c r="F321" s="51"/>
      <c r="G321" s="51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</row>
    <row r="322" spans="1:18">
      <c r="A322" s="13"/>
      <c r="B322" s="13"/>
      <c r="C322" s="51"/>
      <c r="D322" s="51"/>
      <c r="E322" s="51"/>
      <c r="F322" s="51"/>
      <c r="G322" s="51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</row>
    <row r="323" spans="1:18">
      <c r="A323" s="13"/>
      <c r="B323" s="13"/>
      <c r="C323" s="51"/>
      <c r="D323" s="51"/>
      <c r="E323" s="51"/>
      <c r="F323" s="51"/>
      <c r="G323" s="51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</row>
    <row r="324" spans="1:18">
      <c r="A324" s="13"/>
      <c r="B324" s="13"/>
      <c r="C324" s="51"/>
      <c r="D324" s="51"/>
      <c r="E324" s="51"/>
      <c r="F324" s="51"/>
      <c r="G324" s="51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</row>
    <row r="325" spans="1:18">
      <c r="A325" s="13"/>
      <c r="B325" s="13"/>
      <c r="C325" s="51"/>
      <c r="D325" s="51"/>
      <c r="E325" s="51"/>
      <c r="F325" s="51"/>
      <c r="G325" s="51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</row>
    <row r="326" spans="1:18">
      <c r="A326" s="13"/>
      <c r="B326" s="13"/>
      <c r="C326" s="51"/>
      <c r="D326" s="51"/>
      <c r="E326" s="51"/>
      <c r="F326" s="51"/>
      <c r="G326" s="51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</row>
    <row r="327" spans="1:18">
      <c r="A327" s="13"/>
      <c r="B327" s="13"/>
      <c r="C327" s="51"/>
      <c r="D327" s="51"/>
      <c r="E327" s="51"/>
      <c r="F327" s="51"/>
      <c r="G327" s="51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</row>
    <row r="328" spans="1:18">
      <c r="A328" s="13"/>
      <c r="B328" s="13"/>
      <c r="C328" s="51"/>
      <c r="D328" s="51"/>
      <c r="E328" s="51"/>
      <c r="F328" s="51"/>
      <c r="G328" s="51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</row>
    <row r="329" spans="1:18">
      <c r="A329" s="13"/>
      <c r="B329" s="13"/>
      <c r="C329" s="51"/>
      <c r="D329" s="51"/>
      <c r="E329" s="51"/>
      <c r="F329" s="51"/>
      <c r="G329" s="51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</row>
    <row r="330" spans="1:18">
      <c r="A330" s="13"/>
      <c r="B330" s="13"/>
      <c r="C330" s="51"/>
      <c r="D330" s="51"/>
      <c r="E330" s="51"/>
      <c r="F330" s="51"/>
      <c r="G330" s="51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</row>
    <row r="331" spans="1:18">
      <c r="A331" s="13"/>
      <c r="B331" s="13"/>
      <c r="C331" s="51"/>
      <c r="D331" s="51"/>
      <c r="E331" s="51"/>
      <c r="F331" s="51"/>
      <c r="G331" s="51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</row>
    <row r="332" spans="1:18">
      <c r="A332" s="13"/>
      <c r="B332" s="13"/>
      <c r="C332" s="51"/>
      <c r="D332" s="51"/>
      <c r="E332" s="51"/>
      <c r="F332" s="51"/>
      <c r="G332" s="51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</row>
    <row r="333" spans="1:18">
      <c r="A333" s="13"/>
      <c r="B333" s="13"/>
      <c r="C333" s="51"/>
      <c r="D333" s="51"/>
      <c r="E333" s="51"/>
      <c r="F333" s="51"/>
      <c r="G333" s="51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</row>
    <row r="334" spans="1:18">
      <c r="A334" s="13"/>
      <c r="B334" s="13"/>
      <c r="C334" s="51"/>
      <c r="D334" s="51"/>
      <c r="E334" s="51"/>
      <c r="F334" s="51"/>
      <c r="G334" s="51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</row>
    <row r="335" spans="1:18">
      <c r="A335" s="13"/>
      <c r="B335" s="13"/>
      <c r="C335" s="51"/>
      <c r="D335" s="51"/>
      <c r="E335" s="51"/>
      <c r="F335" s="51"/>
      <c r="G335" s="51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</row>
    <row r="336" spans="1:18">
      <c r="A336" s="13"/>
      <c r="B336" s="13"/>
      <c r="C336" s="51"/>
      <c r="D336" s="51"/>
      <c r="E336" s="51"/>
      <c r="F336" s="51"/>
      <c r="G336" s="51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</row>
    <row r="337" spans="1:18">
      <c r="A337" s="13"/>
      <c r="B337" s="13"/>
      <c r="C337" s="51"/>
      <c r="D337" s="51"/>
      <c r="E337" s="51"/>
      <c r="F337" s="51"/>
      <c r="G337" s="51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</row>
    <row r="338" spans="1:18">
      <c r="A338" s="13"/>
      <c r="B338" s="13"/>
      <c r="C338" s="51"/>
      <c r="D338" s="51"/>
      <c r="E338" s="51"/>
      <c r="F338" s="51"/>
      <c r="G338" s="51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</row>
    <row r="339" spans="1:18">
      <c r="A339" s="13"/>
      <c r="B339" s="13"/>
      <c r="C339" s="51"/>
      <c r="D339" s="51"/>
      <c r="E339" s="51"/>
      <c r="F339" s="51"/>
      <c r="G339" s="51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</row>
    <row r="340" spans="1:18">
      <c r="A340" s="13"/>
      <c r="B340" s="13"/>
      <c r="C340" s="51"/>
      <c r="D340" s="51"/>
      <c r="E340" s="51"/>
      <c r="F340" s="51"/>
      <c r="G340" s="51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</row>
    <row r="341" spans="1:18">
      <c r="A341" s="13"/>
      <c r="B341" s="13"/>
      <c r="C341" s="51"/>
      <c r="D341" s="51"/>
      <c r="E341" s="51"/>
      <c r="F341" s="51"/>
      <c r="G341" s="51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</row>
    <row r="342" spans="1:18">
      <c r="A342" s="13"/>
      <c r="B342" s="13"/>
      <c r="C342" s="51"/>
      <c r="D342" s="51"/>
      <c r="E342" s="51"/>
      <c r="F342" s="51"/>
      <c r="G342" s="51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</row>
    <row r="343" spans="1:18">
      <c r="A343" s="13"/>
      <c r="B343" s="13"/>
      <c r="C343" s="51"/>
      <c r="D343" s="51"/>
      <c r="E343" s="51"/>
      <c r="F343" s="51"/>
      <c r="G343" s="51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</row>
    <row r="344" spans="1:18">
      <c r="A344" s="13"/>
      <c r="B344" s="13"/>
      <c r="C344" s="51"/>
      <c r="D344" s="51"/>
      <c r="E344" s="51"/>
      <c r="F344" s="51"/>
      <c r="G344" s="51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</row>
    <row r="345" spans="1:18">
      <c r="A345" s="13"/>
      <c r="B345" s="13"/>
      <c r="C345" s="51"/>
      <c r="D345" s="51"/>
      <c r="E345" s="51"/>
      <c r="F345" s="51"/>
      <c r="G345" s="51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</row>
    <row r="346" spans="1:18">
      <c r="A346" s="13"/>
      <c r="B346" s="13"/>
      <c r="C346" s="51"/>
      <c r="D346" s="51"/>
      <c r="E346" s="51"/>
      <c r="F346" s="51"/>
      <c r="G346" s="51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</row>
    <row r="347" spans="1:18">
      <c r="A347" s="13"/>
      <c r="B347" s="13"/>
      <c r="C347" s="51"/>
      <c r="D347" s="51"/>
      <c r="E347" s="51"/>
      <c r="F347" s="51"/>
      <c r="G347" s="51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</row>
    <row r="348" spans="1:18">
      <c r="A348" s="13"/>
      <c r="B348" s="13"/>
      <c r="C348" s="51"/>
      <c r="D348" s="51"/>
      <c r="E348" s="51"/>
      <c r="F348" s="51"/>
      <c r="G348" s="51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</row>
    <row r="349" spans="1:18">
      <c r="A349" s="13"/>
      <c r="B349" s="13"/>
      <c r="C349" s="51"/>
      <c r="D349" s="51"/>
      <c r="E349" s="51"/>
      <c r="F349" s="51"/>
      <c r="G349" s="51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</row>
    <row r="350" spans="1:18">
      <c r="A350" s="13"/>
      <c r="B350" s="13"/>
      <c r="C350" s="51"/>
      <c r="D350" s="51"/>
      <c r="E350" s="51"/>
      <c r="F350" s="51"/>
      <c r="G350" s="51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</row>
    <row r="351" spans="1:18">
      <c r="A351" s="13"/>
      <c r="B351" s="13"/>
      <c r="C351" s="51"/>
      <c r="D351" s="51"/>
      <c r="E351" s="51"/>
      <c r="F351" s="51"/>
      <c r="G351" s="51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</row>
    <row r="352" spans="1:18">
      <c r="A352" s="13"/>
      <c r="B352" s="13"/>
      <c r="C352" s="51"/>
      <c r="D352" s="51"/>
      <c r="E352" s="51"/>
      <c r="F352" s="51"/>
      <c r="G352" s="51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</row>
    <row r="353" spans="1:18">
      <c r="A353" s="13"/>
      <c r="B353" s="13"/>
      <c r="C353" s="51"/>
      <c r="D353" s="51"/>
      <c r="E353" s="51"/>
      <c r="F353" s="51"/>
      <c r="G353" s="51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</row>
    <row r="354" spans="1:18">
      <c r="A354" s="13"/>
      <c r="B354" s="13"/>
      <c r="C354" s="51"/>
      <c r="D354" s="51"/>
      <c r="E354" s="51"/>
      <c r="F354" s="51"/>
      <c r="G354" s="51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</row>
    <row r="355" spans="1:18">
      <c r="A355" s="13"/>
      <c r="B355" s="13"/>
      <c r="C355" s="51"/>
      <c r="D355" s="51"/>
      <c r="E355" s="51"/>
      <c r="F355" s="51"/>
      <c r="G355" s="51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</row>
    <row r="356" spans="1:18">
      <c r="A356" s="13"/>
      <c r="B356" s="13"/>
      <c r="C356" s="51"/>
      <c r="D356" s="51"/>
      <c r="E356" s="51"/>
      <c r="F356" s="51"/>
      <c r="G356" s="51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</row>
    <row r="357" spans="1:18">
      <c r="A357" s="13"/>
      <c r="B357" s="13"/>
      <c r="C357" s="51"/>
      <c r="D357" s="51"/>
      <c r="E357" s="51"/>
      <c r="F357" s="51"/>
      <c r="G357" s="51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</row>
    <row r="358" spans="1:18">
      <c r="A358" s="13"/>
      <c r="B358" s="13"/>
      <c r="C358" s="51"/>
      <c r="D358" s="51"/>
      <c r="E358" s="51"/>
      <c r="F358" s="51"/>
      <c r="G358" s="51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</row>
    <row r="359" spans="1:18">
      <c r="A359" s="13"/>
      <c r="B359" s="13"/>
      <c r="C359" s="51"/>
      <c r="D359" s="51"/>
      <c r="E359" s="51"/>
      <c r="F359" s="51"/>
      <c r="G359" s="51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</row>
    <row r="360" spans="1:18">
      <c r="A360" s="13"/>
      <c r="B360" s="13"/>
      <c r="C360" s="51"/>
      <c r="D360" s="51"/>
      <c r="E360" s="51"/>
      <c r="F360" s="51"/>
      <c r="G360" s="51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</row>
    <row r="361" spans="1:18">
      <c r="A361" s="13"/>
      <c r="B361" s="13"/>
      <c r="C361" s="51"/>
      <c r="D361" s="51"/>
      <c r="E361" s="51"/>
      <c r="F361" s="51"/>
      <c r="G361" s="51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</row>
    <row r="362" spans="1:18">
      <c r="A362" s="13"/>
      <c r="B362" s="13"/>
      <c r="C362" s="51"/>
      <c r="D362" s="51"/>
      <c r="E362" s="51"/>
      <c r="F362" s="51"/>
      <c r="G362" s="51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</row>
    <row r="363" spans="1:18">
      <c r="A363" s="13"/>
      <c r="B363" s="13"/>
      <c r="C363" s="51"/>
      <c r="D363" s="51"/>
      <c r="E363" s="51"/>
      <c r="F363" s="51"/>
      <c r="G363" s="51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</row>
    <row r="364" spans="1:18">
      <c r="A364" s="13"/>
      <c r="B364" s="13"/>
      <c r="C364" s="51"/>
      <c r="D364" s="51"/>
      <c r="E364" s="51"/>
      <c r="F364" s="51"/>
      <c r="G364" s="51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</row>
    <row r="365" spans="1:18">
      <c r="A365" s="13"/>
      <c r="B365" s="13"/>
      <c r="C365" s="51"/>
      <c r="D365" s="51"/>
      <c r="E365" s="51"/>
      <c r="F365" s="51"/>
      <c r="G365" s="51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</row>
    <row r="366" spans="1:18">
      <c r="A366" s="13"/>
      <c r="B366" s="13"/>
      <c r="C366" s="51"/>
      <c r="D366" s="51"/>
      <c r="E366" s="51"/>
      <c r="F366" s="51"/>
      <c r="G366" s="51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</row>
    <row r="367" spans="1:18">
      <c r="A367" s="13"/>
      <c r="B367" s="13"/>
      <c r="C367" s="51"/>
      <c r="D367" s="51"/>
      <c r="E367" s="51"/>
      <c r="F367" s="51"/>
      <c r="G367" s="51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</row>
    <row r="368" spans="1:18">
      <c r="A368" s="13"/>
      <c r="B368" s="13"/>
      <c r="C368" s="51"/>
      <c r="D368" s="51"/>
      <c r="E368" s="51"/>
      <c r="F368" s="51"/>
      <c r="G368" s="51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</row>
    <row r="369" spans="1:18">
      <c r="A369" s="13"/>
      <c r="B369" s="13"/>
      <c r="C369" s="51"/>
      <c r="D369" s="51"/>
      <c r="E369" s="51"/>
      <c r="F369" s="51"/>
      <c r="G369" s="51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</row>
    <row r="370" spans="1:18">
      <c r="A370" s="13"/>
      <c r="B370" s="13"/>
      <c r="C370" s="51"/>
      <c r="D370" s="51"/>
      <c r="E370" s="51"/>
      <c r="F370" s="51"/>
      <c r="G370" s="51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</row>
    <row r="371" spans="1:18">
      <c r="A371" s="13"/>
      <c r="B371" s="13"/>
      <c r="C371" s="51"/>
      <c r="D371" s="51"/>
      <c r="E371" s="51"/>
      <c r="F371" s="51"/>
      <c r="G371" s="51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</row>
    <row r="372" spans="1:18">
      <c r="A372" s="13"/>
      <c r="B372" s="13"/>
      <c r="C372" s="51"/>
      <c r="D372" s="51"/>
      <c r="E372" s="51"/>
      <c r="F372" s="51"/>
      <c r="G372" s="51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</row>
    <row r="373" spans="1:18">
      <c r="A373" s="13"/>
      <c r="B373" s="13"/>
      <c r="C373" s="51"/>
      <c r="D373" s="51"/>
      <c r="E373" s="51"/>
      <c r="F373" s="51"/>
      <c r="G373" s="51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</row>
    <row r="374" spans="1:18">
      <c r="A374" s="13"/>
      <c r="B374" s="13"/>
      <c r="C374" s="51"/>
      <c r="D374" s="51"/>
      <c r="E374" s="51"/>
      <c r="F374" s="51"/>
      <c r="G374" s="51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</row>
    <row r="375" spans="1:18">
      <c r="A375" s="13"/>
      <c r="B375" s="13"/>
      <c r="C375" s="51"/>
      <c r="D375" s="51"/>
      <c r="E375" s="51"/>
      <c r="F375" s="51"/>
      <c r="G375" s="51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</row>
    <row r="376" spans="1:18">
      <c r="A376" s="13"/>
      <c r="B376" s="13"/>
      <c r="C376" s="51"/>
      <c r="D376" s="51"/>
      <c r="E376" s="51"/>
      <c r="F376" s="51"/>
      <c r="G376" s="51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</row>
    <row r="377" spans="1:18">
      <c r="A377" s="13"/>
      <c r="B377" s="13"/>
      <c r="C377" s="51"/>
      <c r="D377" s="51"/>
      <c r="E377" s="51"/>
      <c r="F377" s="51"/>
      <c r="G377" s="51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</row>
    <row r="378" spans="1:18">
      <c r="A378" s="13"/>
      <c r="B378" s="13"/>
      <c r="C378" s="51"/>
      <c r="D378" s="51"/>
      <c r="E378" s="51"/>
      <c r="F378" s="51"/>
      <c r="G378" s="51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</row>
    <row r="379" spans="1:18">
      <c r="A379" s="13"/>
      <c r="B379" s="13"/>
      <c r="C379" s="51"/>
      <c r="D379" s="51"/>
      <c r="E379" s="51"/>
      <c r="F379" s="51"/>
      <c r="G379" s="51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</row>
    <row r="380" spans="1:18">
      <c r="A380" s="13"/>
      <c r="B380" s="13"/>
      <c r="C380" s="51"/>
      <c r="D380" s="51"/>
      <c r="E380" s="51"/>
      <c r="F380" s="51"/>
      <c r="G380" s="51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</row>
    <row r="381" spans="1:18">
      <c r="A381" s="13"/>
      <c r="B381" s="13"/>
      <c r="C381" s="51"/>
      <c r="D381" s="51"/>
      <c r="E381" s="51"/>
      <c r="F381" s="51"/>
      <c r="G381" s="51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</row>
    <row r="382" spans="1:18">
      <c r="A382" s="13"/>
      <c r="B382" s="13"/>
      <c r="C382" s="51"/>
      <c r="D382" s="51"/>
      <c r="E382" s="51"/>
      <c r="F382" s="51"/>
      <c r="G382" s="51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</row>
    <row r="383" spans="1:18">
      <c r="A383" s="13"/>
      <c r="B383" s="13"/>
      <c r="C383" s="51"/>
      <c r="D383" s="51"/>
      <c r="E383" s="51"/>
      <c r="F383" s="51"/>
      <c r="G383" s="51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</row>
    <row r="384" spans="1:18">
      <c r="A384" s="13"/>
      <c r="B384" s="13"/>
      <c r="C384" s="51"/>
      <c r="D384" s="51"/>
      <c r="E384" s="51"/>
      <c r="F384" s="51"/>
      <c r="G384" s="51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</row>
    <row r="385" spans="1:18">
      <c r="A385" s="13"/>
      <c r="B385" s="13"/>
      <c r="C385" s="51"/>
      <c r="D385" s="51"/>
      <c r="E385" s="51"/>
      <c r="F385" s="51"/>
      <c r="G385" s="51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</row>
    <row r="386" spans="1:18">
      <c r="A386" s="13"/>
      <c r="B386" s="13"/>
      <c r="C386" s="51"/>
      <c r="D386" s="51"/>
      <c r="E386" s="51"/>
      <c r="F386" s="51"/>
      <c r="G386" s="51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</row>
    <row r="387" spans="1:18">
      <c r="A387" s="13"/>
      <c r="B387" s="13"/>
      <c r="C387" s="51"/>
      <c r="D387" s="51"/>
      <c r="E387" s="51"/>
      <c r="F387" s="51"/>
      <c r="G387" s="51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</row>
    <row r="388" spans="1:18">
      <c r="A388" s="13"/>
      <c r="B388" s="13"/>
      <c r="C388" s="51"/>
      <c r="D388" s="51"/>
      <c r="E388" s="51"/>
      <c r="F388" s="51"/>
      <c r="G388" s="51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</row>
    <row r="389" spans="1:18">
      <c r="A389" s="13"/>
      <c r="B389" s="13"/>
      <c r="C389" s="51"/>
      <c r="D389" s="51"/>
      <c r="E389" s="51"/>
      <c r="F389" s="51"/>
      <c r="G389" s="51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</row>
    <row r="390" spans="1:18">
      <c r="A390" s="13"/>
      <c r="B390" s="13"/>
      <c r="C390" s="51"/>
      <c r="D390" s="51"/>
      <c r="E390" s="51"/>
      <c r="F390" s="51"/>
      <c r="G390" s="51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</row>
    <row r="391" spans="1:18">
      <c r="A391" s="13"/>
      <c r="B391" s="13"/>
      <c r="C391" s="51"/>
      <c r="D391" s="51"/>
      <c r="E391" s="51"/>
      <c r="F391" s="51"/>
      <c r="G391" s="51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</row>
    <row r="392" spans="1:18">
      <c r="A392" s="13"/>
      <c r="B392" s="13"/>
      <c r="C392" s="51"/>
      <c r="D392" s="51"/>
      <c r="E392" s="51"/>
      <c r="F392" s="51"/>
      <c r="G392" s="51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</row>
    <row r="393" spans="1:18">
      <c r="A393" s="13"/>
      <c r="B393" s="13"/>
      <c r="C393" s="51"/>
      <c r="D393" s="51"/>
      <c r="E393" s="51"/>
      <c r="F393" s="51"/>
      <c r="G393" s="51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</row>
    <row r="394" spans="1:18">
      <c r="A394" s="13"/>
      <c r="B394" s="13"/>
      <c r="C394" s="51"/>
      <c r="D394" s="51"/>
      <c r="E394" s="51"/>
      <c r="F394" s="51"/>
      <c r="G394" s="51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</row>
    <row r="395" spans="1:18">
      <c r="A395" s="13"/>
      <c r="B395" s="13"/>
      <c r="C395" s="51"/>
      <c r="D395" s="51"/>
      <c r="E395" s="51"/>
      <c r="F395" s="51"/>
      <c r="G395" s="51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</row>
    <row r="396" spans="1:18">
      <c r="A396" s="13"/>
      <c r="B396" s="13"/>
      <c r="C396" s="51"/>
      <c r="D396" s="51"/>
      <c r="E396" s="51"/>
      <c r="F396" s="51"/>
      <c r="G396" s="51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</row>
    <row r="397" spans="1:18">
      <c r="A397" s="13"/>
      <c r="B397" s="13"/>
      <c r="C397" s="51"/>
      <c r="D397" s="51"/>
      <c r="E397" s="51"/>
      <c r="F397" s="51"/>
      <c r="G397" s="51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</row>
    <row r="398" spans="1:18">
      <c r="A398" s="13"/>
      <c r="B398" s="13"/>
      <c r="C398" s="51"/>
      <c r="D398" s="51"/>
      <c r="E398" s="51"/>
      <c r="F398" s="51"/>
      <c r="G398" s="51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</row>
    <row r="399" spans="1:18">
      <c r="A399" s="13"/>
      <c r="B399" s="13"/>
      <c r="C399" s="51"/>
      <c r="D399" s="51"/>
      <c r="E399" s="51"/>
      <c r="F399" s="51"/>
      <c r="G399" s="51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</row>
    <row r="400" spans="1:18">
      <c r="A400" s="13"/>
      <c r="B400" s="13"/>
      <c r="C400" s="51"/>
      <c r="D400" s="51"/>
      <c r="E400" s="51"/>
      <c r="F400" s="51"/>
      <c r="G400" s="51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</row>
    <row r="401" spans="1:18">
      <c r="A401" s="13"/>
      <c r="B401" s="13"/>
      <c r="C401" s="51"/>
      <c r="D401" s="51"/>
      <c r="E401" s="51"/>
      <c r="F401" s="51"/>
      <c r="G401" s="51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</row>
    <row r="402" spans="1:18">
      <c r="A402" s="13"/>
      <c r="B402" s="13"/>
      <c r="C402" s="51"/>
      <c r="D402" s="51"/>
      <c r="E402" s="51"/>
      <c r="F402" s="51"/>
      <c r="G402" s="51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</row>
    <row r="403" spans="1:18">
      <c r="A403" s="13"/>
      <c r="B403" s="13"/>
      <c r="C403" s="51"/>
      <c r="D403" s="51"/>
      <c r="E403" s="51"/>
      <c r="F403" s="51"/>
      <c r="G403" s="51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</row>
    <row r="404" spans="1:18">
      <c r="A404" s="13"/>
      <c r="B404" s="13"/>
      <c r="C404" s="51"/>
      <c r="D404" s="51"/>
      <c r="E404" s="51"/>
      <c r="F404" s="51"/>
      <c r="G404" s="51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</row>
    <row r="405" spans="1:18">
      <c r="A405" s="13"/>
      <c r="B405" s="13"/>
      <c r="C405" s="51"/>
      <c r="D405" s="51"/>
      <c r="E405" s="51"/>
      <c r="F405" s="51"/>
      <c r="G405" s="51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</row>
    <row r="406" spans="1:18">
      <c r="A406" s="13"/>
      <c r="B406" s="13"/>
      <c r="C406" s="51"/>
      <c r="D406" s="51"/>
      <c r="E406" s="51"/>
      <c r="F406" s="51"/>
      <c r="G406" s="51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</row>
    <row r="407" spans="1:18">
      <c r="A407" s="13"/>
      <c r="B407" s="13"/>
      <c r="C407" s="51"/>
      <c r="D407" s="51"/>
      <c r="E407" s="51"/>
      <c r="F407" s="51"/>
      <c r="G407" s="51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</row>
    <row r="408" spans="1:18">
      <c r="A408" s="13"/>
      <c r="B408" s="13"/>
      <c r="C408" s="51"/>
      <c r="D408" s="51"/>
      <c r="E408" s="51"/>
      <c r="F408" s="51"/>
      <c r="G408" s="51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</row>
    <row r="409" spans="1:18">
      <c r="A409" s="13"/>
      <c r="B409" s="13"/>
      <c r="C409" s="51"/>
      <c r="D409" s="51"/>
      <c r="E409" s="51"/>
      <c r="F409" s="51"/>
      <c r="G409" s="51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</row>
    <row r="410" spans="1:18">
      <c r="A410" s="13"/>
      <c r="B410" s="13"/>
      <c r="C410" s="51"/>
      <c r="D410" s="51"/>
      <c r="E410" s="51"/>
      <c r="F410" s="51"/>
      <c r="G410" s="51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</row>
    <row r="411" spans="1:18">
      <c r="A411" s="13"/>
      <c r="B411" s="13"/>
      <c r="C411" s="51"/>
      <c r="D411" s="51"/>
      <c r="E411" s="51"/>
      <c r="F411" s="51"/>
      <c r="G411" s="51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</row>
    <row r="412" spans="1:18">
      <c r="A412" s="13"/>
      <c r="B412" s="13"/>
      <c r="C412" s="51"/>
      <c r="D412" s="51"/>
      <c r="E412" s="51"/>
      <c r="F412" s="51"/>
      <c r="G412" s="51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</row>
    <row r="413" spans="1:18">
      <c r="A413" s="13"/>
      <c r="B413" s="13"/>
      <c r="C413" s="51"/>
      <c r="D413" s="51"/>
      <c r="E413" s="51"/>
      <c r="F413" s="51"/>
      <c r="G413" s="51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</row>
    <row r="414" spans="1:18">
      <c r="A414" s="13"/>
      <c r="B414" s="13"/>
      <c r="C414" s="51"/>
      <c r="D414" s="51"/>
      <c r="E414" s="51"/>
      <c r="F414" s="51"/>
      <c r="G414" s="51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</row>
    <row r="415" spans="1:18">
      <c r="A415" s="13"/>
      <c r="B415" s="13"/>
      <c r="C415" s="51"/>
      <c r="D415" s="51"/>
      <c r="E415" s="51"/>
      <c r="F415" s="51"/>
      <c r="G415" s="51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</row>
    <row r="416" spans="1:18">
      <c r="A416" s="13"/>
      <c r="B416" s="13"/>
      <c r="C416" s="51"/>
      <c r="D416" s="51"/>
      <c r="E416" s="51"/>
      <c r="F416" s="51"/>
      <c r="G416" s="51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</row>
    <row r="417" spans="1:18">
      <c r="A417" s="13"/>
      <c r="B417" s="13"/>
      <c r="C417" s="51"/>
      <c r="D417" s="51"/>
      <c r="E417" s="51"/>
      <c r="F417" s="51"/>
      <c r="G417" s="51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</row>
    <row r="418" spans="1:18">
      <c r="A418" s="13"/>
      <c r="B418" s="13"/>
      <c r="C418" s="51"/>
      <c r="D418" s="51"/>
      <c r="E418" s="51"/>
      <c r="F418" s="51"/>
      <c r="G418" s="51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</row>
    <row r="419" spans="1:18">
      <c r="A419" s="13"/>
      <c r="B419" s="13"/>
      <c r="C419" s="51"/>
      <c r="D419" s="51"/>
      <c r="E419" s="51"/>
      <c r="F419" s="51"/>
      <c r="G419" s="51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</row>
    <row r="420" spans="1:18">
      <c r="A420" s="13"/>
      <c r="B420" s="13"/>
      <c r="C420" s="51"/>
      <c r="D420" s="51"/>
      <c r="E420" s="51"/>
      <c r="F420" s="51"/>
      <c r="G420" s="51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</row>
    <row r="421" spans="1:18">
      <c r="A421" s="13"/>
      <c r="B421" s="13"/>
      <c r="C421" s="51"/>
      <c r="D421" s="51"/>
      <c r="E421" s="51"/>
      <c r="F421" s="51"/>
      <c r="G421" s="51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</row>
    <row r="422" spans="1:18">
      <c r="A422" s="13"/>
      <c r="B422" s="13"/>
      <c r="C422" s="51"/>
      <c r="D422" s="51"/>
      <c r="E422" s="51"/>
      <c r="F422" s="51"/>
      <c r="G422" s="51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</row>
    <row r="423" spans="1:18">
      <c r="A423" s="13"/>
      <c r="B423" s="13"/>
      <c r="C423" s="51"/>
      <c r="D423" s="51"/>
      <c r="E423" s="51"/>
      <c r="F423" s="51"/>
      <c r="G423" s="51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</row>
    <row r="424" spans="1:18">
      <c r="A424" s="13"/>
      <c r="B424" s="13"/>
      <c r="C424" s="51"/>
      <c r="D424" s="51"/>
      <c r="E424" s="51"/>
      <c r="F424" s="51"/>
      <c r="G424" s="51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</row>
    <row r="425" spans="1:18">
      <c r="A425" s="13"/>
      <c r="B425" s="13"/>
      <c r="C425" s="51"/>
      <c r="D425" s="51"/>
      <c r="E425" s="51"/>
      <c r="F425" s="51"/>
      <c r="G425" s="51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</row>
    <row r="426" spans="1:18">
      <c r="A426" s="13"/>
      <c r="B426" s="13"/>
      <c r="C426" s="51"/>
      <c r="D426" s="51"/>
      <c r="E426" s="51"/>
      <c r="F426" s="51"/>
      <c r="G426" s="51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</row>
    <row r="427" spans="1:18">
      <c r="A427" s="13"/>
      <c r="B427" s="13"/>
      <c r="C427" s="51"/>
      <c r="D427" s="51"/>
      <c r="E427" s="51"/>
      <c r="F427" s="51"/>
      <c r="G427" s="51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</row>
    <row r="428" spans="1:18">
      <c r="A428" s="13"/>
      <c r="B428" s="13"/>
      <c r="C428" s="51"/>
      <c r="D428" s="51"/>
      <c r="E428" s="51"/>
      <c r="F428" s="51"/>
      <c r="G428" s="51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</row>
    <row r="429" spans="1:18">
      <c r="A429" s="13"/>
      <c r="B429" s="13"/>
      <c r="C429" s="51"/>
      <c r="D429" s="51"/>
      <c r="E429" s="51"/>
      <c r="F429" s="51"/>
      <c r="G429" s="51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</row>
    <row r="430" spans="1:18">
      <c r="A430" s="13"/>
      <c r="B430" s="13"/>
      <c r="C430" s="51"/>
      <c r="D430" s="51"/>
      <c r="E430" s="51"/>
      <c r="F430" s="51"/>
      <c r="G430" s="51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</row>
    <row r="431" spans="1:18">
      <c r="A431" s="13"/>
      <c r="B431" s="13"/>
      <c r="C431" s="51"/>
      <c r="D431" s="51"/>
      <c r="E431" s="51"/>
      <c r="F431" s="51"/>
      <c r="G431" s="51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</row>
    <row r="432" spans="1:18">
      <c r="A432" s="13"/>
      <c r="B432" s="13"/>
      <c r="C432" s="51"/>
      <c r="D432" s="51"/>
      <c r="E432" s="51"/>
      <c r="F432" s="51"/>
      <c r="G432" s="51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</row>
    <row r="433" spans="1:18">
      <c r="A433" s="13"/>
      <c r="B433" s="13"/>
      <c r="C433" s="51"/>
      <c r="D433" s="51"/>
      <c r="E433" s="51"/>
      <c r="F433" s="51"/>
      <c r="G433" s="51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</row>
    <row r="434" spans="1:18">
      <c r="A434" s="13"/>
      <c r="B434" s="13"/>
      <c r="C434" s="51"/>
      <c r="D434" s="51"/>
      <c r="E434" s="51"/>
      <c r="F434" s="51"/>
      <c r="G434" s="51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</row>
    <row r="435" spans="1:18">
      <c r="A435" s="13"/>
      <c r="B435" s="13"/>
      <c r="C435" s="51"/>
      <c r="D435" s="51"/>
      <c r="E435" s="51"/>
      <c r="F435" s="51"/>
      <c r="G435" s="51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</row>
    <row r="436" spans="1:18">
      <c r="A436" s="13"/>
      <c r="B436" s="13"/>
      <c r="C436" s="51"/>
      <c r="D436" s="51"/>
      <c r="E436" s="51"/>
      <c r="F436" s="51"/>
      <c r="G436" s="51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</row>
    <row r="437" spans="1:18">
      <c r="A437" s="13"/>
      <c r="B437" s="13"/>
      <c r="C437" s="51"/>
      <c r="D437" s="51"/>
      <c r="E437" s="51"/>
      <c r="F437" s="51"/>
      <c r="G437" s="51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</row>
    <row r="438" spans="1:18">
      <c r="A438" s="13"/>
      <c r="B438" s="13"/>
      <c r="C438" s="51"/>
      <c r="D438" s="51"/>
      <c r="E438" s="51"/>
      <c r="F438" s="51"/>
      <c r="G438" s="51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</row>
    <row r="439" spans="1:18">
      <c r="A439" s="13"/>
      <c r="B439" s="13"/>
      <c r="C439" s="51"/>
      <c r="D439" s="51"/>
      <c r="E439" s="51"/>
      <c r="F439" s="51"/>
      <c r="G439" s="51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</row>
    <row r="440" spans="1:18">
      <c r="A440" s="13"/>
      <c r="B440" s="13"/>
      <c r="C440" s="51"/>
      <c r="D440" s="51"/>
      <c r="E440" s="51"/>
      <c r="F440" s="51"/>
      <c r="G440" s="51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</row>
    <row r="441" spans="1:18">
      <c r="A441" s="13"/>
      <c r="B441" s="13"/>
      <c r="C441" s="51"/>
      <c r="D441" s="51"/>
      <c r="E441" s="51"/>
      <c r="F441" s="51"/>
      <c r="G441" s="51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</row>
    <row r="442" spans="1:18">
      <c r="A442" s="13"/>
      <c r="B442" s="13"/>
      <c r="C442" s="51"/>
      <c r="D442" s="51"/>
      <c r="E442" s="51"/>
      <c r="F442" s="51"/>
      <c r="G442" s="51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</row>
    <row r="443" spans="1:18">
      <c r="A443" s="13"/>
      <c r="B443" s="13"/>
      <c r="C443" s="51"/>
      <c r="D443" s="51"/>
      <c r="E443" s="51"/>
      <c r="F443" s="51"/>
      <c r="G443" s="51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</row>
    <row r="444" spans="1:18">
      <c r="A444" s="13"/>
      <c r="B444" s="13"/>
      <c r="C444" s="51"/>
      <c r="D444" s="51"/>
      <c r="E444" s="51"/>
      <c r="F444" s="51"/>
      <c r="G444" s="51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</row>
    <row r="445" spans="1:18">
      <c r="A445" s="13"/>
      <c r="B445" s="13"/>
      <c r="C445" s="51"/>
      <c r="D445" s="51"/>
      <c r="E445" s="51"/>
      <c r="F445" s="51"/>
      <c r="G445" s="51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</row>
    <row r="446" spans="1:18">
      <c r="A446" s="13"/>
      <c r="B446" s="13"/>
      <c r="C446" s="51"/>
      <c r="D446" s="51"/>
      <c r="E446" s="51"/>
      <c r="F446" s="51"/>
      <c r="G446" s="51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</row>
    <row r="447" spans="1:18">
      <c r="A447" s="13"/>
      <c r="B447" s="13"/>
      <c r="C447" s="51"/>
      <c r="D447" s="51"/>
      <c r="E447" s="51"/>
      <c r="F447" s="51"/>
      <c r="G447" s="51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</row>
    <row r="448" spans="1:18">
      <c r="A448" s="13"/>
      <c r="B448" s="13"/>
      <c r="C448" s="51"/>
      <c r="D448" s="51"/>
      <c r="E448" s="51"/>
      <c r="F448" s="51"/>
      <c r="G448" s="51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</row>
    <row r="449" spans="1:18">
      <c r="A449" s="13"/>
      <c r="B449" s="13"/>
      <c r="C449" s="51"/>
      <c r="D449" s="51"/>
      <c r="E449" s="51"/>
      <c r="F449" s="51"/>
      <c r="G449" s="51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</row>
    <row r="450" spans="1:18">
      <c r="A450" s="13"/>
      <c r="B450" s="13"/>
      <c r="C450" s="51"/>
      <c r="D450" s="51"/>
      <c r="E450" s="51"/>
      <c r="F450" s="51"/>
      <c r="G450" s="51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</row>
    <row r="451" spans="1:18">
      <c r="A451" s="13"/>
      <c r="B451" s="13"/>
      <c r="C451" s="51"/>
      <c r="D451" s="51"/>
      <c r="E451" s="51"/>
      <c r="F451" s="51"/>
      <c r="G451" s="51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</row>
    <row r="452" spans="1:18">
      <c r="A452" s="13"/>
      <c r="B452" s="13"/>
      <c r="C452" s="51"/>
      <c r="D452" s="51"/>
      <c r="E452" s="51"/>
      <c r="F452" s="51"/>
      <c r="G452" s="51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</row>
    <row r="453" spans="1:18">
      <c r="A453" s="13"/>
      <c r="B453" s="13"/>
      <c r="C453" s="51"/>
      <c r="D453" s="51"/>
      <c r="E453" s="51"/>
      <c r="F453" s="51"/>
      <c r="G453" s="51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</row>
    <row r="454" spans="1:18">
      <c r="A454" s="13"/>
      <c r="B454" s="13"/>
      <c r="C454" s="51"/>
      <c r="D454" s="51"/>
      <c r="E454" s="51"/>
      <c r="F454" s="51"/>
      <c r="G454" s="51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</row>
    <row r="455" spans="1:18">
      <c r="A455" s="13"/>
      <c r="B455" s="13"/>
      <c r="C455" s="51"/>
      <c r="D455" s="51"/>
      <c r="E455" s="51"/>
      <c r="F455" s="51"/>
      <c r="G455" s="51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</row>
    <row r="456" spans="1:18">
      <c r="A456" s="13"/>
      <c r="B456" s="13"/>
      <c r="C456" s="51"/>
      <c r="D456" s="51"/>
      <c r="E456" s="51"/>
      <c r="F456" s="51"/>
      <c r="G456" s="51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</row>
    <row r="457" spans="1:18">
      <c r="A457" s="13"/>
      <c r="B457" s="13"/>
      <c r="C457" s="51"/>
      <c r="D457" s="51"/>
      <c r="E457" s="51"/>
      <c r="F457" s="51"/>
      <c r="G457" s="51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</row>
    <row r="458" spans="1:18">
      <c r="A458" s="13"/>
      <c r="B458" s="13"/>
      <c r="C458" s="51"/>
      <c r="D458" s="51"/>
      <c r="E458" s="51"/>
      <c r="F458" s="51"/>
      <c r="G458" s="51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</row>
    <row r="459" spans="1:18">
      <c r="A459" s="13"/>
      <c r="B459" s="13"/>
      <c r="C459" s="51"/>
      <c r="D459" s="51"/>
      <c r="E459" s="51"/>
      <c r="F459" s="51"/>
      <c r="G459" s="51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</row>
    <row r="460" spans="1:18">
      <c r="A460" s="13"/>
      <c r="B460" s="13"/>
      <c r="C460" s="51"/>
      <c r="D460" s="51"/>
      <c r="E460" s="51"/>
      <c r="F460" s="51"/>
      <c r="G460" s="51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</row>
    <row r="461" spans="1:18">
      <c r="A461" s="13"/>
      <c r="B461" s="13"/>
      <c r="C461" s="51"/>
      <c r="D461" s="51"/>
      <c r="E461" s="51"/>
      <c r="F461" s="51"/>
      <c r="G461" s="51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</row>
    <row r="462" spans="1:18">
      <c r="A462" s="13"/>
      <c r="B462" s="13"/>
      <c r="C462" s="51"/>
      <c r="D462" s="51"/>
      <c r="E462" s="51"/>
      <c r="F462" s="51"/>
      <c r="G462" s="51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</row>
    <row r="463" spans="1:18">
      <c r="A463" s="13"/>
      <c r="B463" s="13"/>
      <c r="C463" s="51"/>
      <c r="D463" s="51"/>
      <c r="E463" s="51"/>
      <c r="F463" s="51"/>
      <c r="G463" s="51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</row>
    <row r="464" spans="1:18">
      <c r="A464" s="13"/>
      <c r="B464" s="13"/>
      <c r="C464" s="51"/>
      <c r="D464" s="51"/>
      <c r="E464" s="51"/>
      <c r="F464" s="51"/>
      <c r="G464" s="51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</row>
    <row r="465" spans="1:18">
      <c r="A465" s="13"/>
      <c r="B465" s="13"/>
      <c r="C465" s="51"/>
      <c r="D465" s="51"/>
      <c r="E465" s="51"/>
      <c r="F465" s="51"/>
      <c r="G465" s="51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</row>
    <row r="466" spans="1:18">
      <c r="A466" s="13"/>
      <c r="B466" s="13"/>
      <c r="C466" s="51"/>
      <c r="D466" s="51"/>
      <c r="E466" s="51"/>
      <c r="F466" s="51"/>
      <c r="G466" s="51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</row>
    <row r="467" spans="1:18">
      <c r="A467" s="13"/>
      <c r="B467" s="13"/>
      <c r="C467" s="51"/>
      <c r="D467" s="51"/>
      <c r="E467" s="51"/>
      <c r="F467" s="51"/>
      <c r="G467" s="51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</row>
    <row r="468" spans="1:18">
      <c r="A468" s="13"/>
      <c r="B468" s="13"/>
      <c r="C468" s="51"/>
      <c r="D468" s="51"/>
      <c r="E468" s="51"/>
      <c r="F468" s="51"/>
      <c r="G468" s="51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</row>
    <row r="469" spans="1:18">
      <c r="A469" s="13"/>
      <c r="B469" s="13"/>
      <c r="C469" s="51"/>
      <c r="D469" s="51"/>
      <c r="E469" s="51"/>
      <c r="F469" s="51"/>
      <c r="G469" s="51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</row>
    <row r="470" spans="1:18">
      <c r="A470" s="13"/>
      <c r="B470" s="13"/>
      <c r="C470" s="51"/>
      <c r="D470" s="51"/>
      <c r="E470" s="51"/>
      <c r="F470" s="51"/>
      <c r="G470" s="51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</row>
    <row r="471" spans="1:18">
      <c r="A471" s="13"/>
      <c r="B471" s="13"/>
      <c r="C471" s="51"/>
      <c r="D471" s="51"/>
      <c r="E471" s="51"/>
      <c r="F471" s="51"/>
      <c r="G471" s="51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</row>
    <row r="472" spans="1:18">
      <c r="A472" s="13"/>
      <c r="B472" s="13"/>
      <c r="C472" s="51"/>
      <c r="D472" s="51"/>
      <c r="E472" s="51"/>
      <c r="F472" s="51"/>
      <c r="G472" s="51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</row>
    <row r="473" spans="1:18">
      <c r="A473" s="13"/>
      <c r="B473" s="13"/>
      <c r="C473" s="51"/>
      <c r="D473" s="51"/>
      <c r="E473" s="51"/>
      <c r="F473" s="51"/>
      <c r="G473" s="51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</row>
    <row r="474" spans="1:18">
      <c r="A474" s="13"/>
      <c r="B474" s="13"/>
      <c r="C474" s="51"/>
      <c r="D474" s="51"/>
      <c r="E474" s="51"/>
      <c r="F474" s="51"/>
      <c r="G474" s="51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</row>
    <row r="475" spans="1:18">
      <c r="A475" s="13"/>
      <c r="B475" s="13"/>
      <c r="C475" s="51"/>
      <c r="D475" s="51"/>
      <c r="E475" s="51"/>
      <c r="F475" s="51"/>
      <c r="G475" s="51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</row>
    <row r="476" spans="1:18">
      <c r="A476" s="13"/>
      <c r="B476" s="13"/>
      <c r="C476" s="51"/>
      <c r="D476" s="51"/>
      <c r="E476" s="51"/>
      <c r="F476" s="51"/>
      <c r="G476" s="51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</row>
    <row r="477" spans="1:18">
      <c r="A477" s="13"/>
      <c r="B477" s="13"/>
      <c r="C477" s="51"/>
      <c r="D477" s="51"/>
      <c r="E477" s="51"/>
      <c r="F477" s="51"/>
      <c r="G477" s="51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</row>
    <row r="478" spans="1:18">
      <c r="A478" s="13"/>
      <c r="B478" s="13"/>
      <c r="C478" s="51"/>
      <c r="D478" s="51"/>
      <c r="E478" s="51"/>
      <c r="F478" s="51"/>
      <c r="G478" s="51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</row>
    <row r="479" spans="1:18">
      <c r="A479" s="13"/>
      <c r="B479" s="13"/>
      <c r="C479" s="51"/>
      <c r="D479" s="51"/>
      <c r="E479" s="51"/>
      <c r="F479" s="51"/>
      <c r="G479" s="51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</row>
    <row r="480" spans="1:18">
      <c r="A480" s="13"/>
      <c r="B480" s="13"/>
      <c r="C480" s="51"/>
      <c r="D480" s="51"/>
      <c r="E480" s="51"/>
      <c r="F480" s="51"/>
      <c r="G480" s="51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</row>
    <row r="481" spans="1:18">
      <c r="A481" s="13"/>
      <c r="B481" s="13"/>
      <c r="C481" s="51"/>
      <c r="D481" s="51"/>
      <c r="E481" s="51"/>
      <c r="F481" s="51"/>
      <c r="G481" s="51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</row>
    <row r="482" spans="1:18">
      <c r="A482" s="13"/>
      <c r="B482" s="13"/>
      <c r="C482" s="51"/>
      <c r="D482" s="51"/>
      <c r="E482" s="51"/>
      <c r="F482" s="51"/>
      <c r="G482" s="51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</row>
    <row r="483" spans="1:18">
      <c r="A483" s="13"/>
      <c r="B483" s="13"/>
      <c r="C483" s="51"/>
      <c r="D483" s="51"/>
      <c r="E483" s="51"/>
      <c r="F483" s="51"/>
      <c r="G483" s="51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</row>
    <row r="484" spans="1:18">
      <c r="A484" s="13"/>
      <c r="B484" s="13"/>
      <c r="C484" s="51"/>
      <c r="D484" s="51"/>
      <c r="E484" s="51"/>
      <c r="F484" s="51"/>
      <c r="G484" s="51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</row>
    <row r="485" spans="1:18">
      <c r="A485" s="13"/>
      <c r="B485" s="13"/>
      <c r="C485" s="51"/>
      <c r="D485" s="51"/>
      <c r="E485" s="51"/>
      <c r="F485" s="51"/>
      <c r="G485" s="51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</row>
    <row r="486" spans="1:18">
      <c r="A486" s="13"/>
      <c r="B486" s="13"/>
      <c r="C486" s="51"/>
      <c r="D486" s="51"/>
      <c r="E486" s="51"/>
      <c r="F486" s="51"/>
      <c r="G486" s="51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</row>
    <row r="487" spans="1:18">
      <c r="A487" s="13"/>
      <c r="B487" s="13"/>
      <c r="C487" s="51"/>
      <c r="D487" s="51"/>
      <c r="E487" s="51"/>
      <c r="F487" s="51"/>
      <c r="G487" s="51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</row>
    <row r="488" spans="1:18">
      <c r="A488" s="13"/>
      <c r="B488" s="13"/>
      <c r="C488" s="51"/>
      <c r="D488" s="51"/>
      <c r="E488" s="51"/>
      <c r="F488" s="51"/>
      <c r="G488" s="51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</row>
    <row r="489" spans="1:18">
      <c r="A489" s="13"/>
      <c r="B489" s="13"/>
      <c r="C489" s="51"/>
      <c r="D489" s="51"/>
      <c r="E489" s="51"/>
      <c r="F489" s="51"/>
      <c r="G489" s="51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</row>
    <row r="490" spans="1:18">
      <c r="A490" s="13"/>
      <c r="B490" s="13"/>
      <c r="C490" s="51"/>
      <c r="D490" s="51"/>
      <c r="E490" s="51"/>
      <c r="F490" s="51"/>
      <c r="G490" s="51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</row>
    <row r="491" spans="1:18">
      <c r="A491" s="13"/>
      <c r="B491" s="13"/>
      <c r="C491" s="51"/>
      <c r="D491" s="51"/>
      <c r="E491" s="51"/>
      <c r="F491" s="51"/>
      <c r="G491" s="51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</row>
    <row r="492" spans="1:18">
      <c r="A492" s="13"/>
      <c r="B492" s="13"/>
      <c r="C492" s="51"/>
      <c r="D492" s="51"/>
      <c r="E492" s="51"/>
      <c r="F492" s="51"/>
      <c r="G492" s="51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</row>
    <row r="493" spans="1:18">
      <c r="A493" s="13"/>
      <c r="B493" s="13"/>
      <c r="C493" s="51"/>
      <c r="D493" s="51"/>
      <c r="E493" s="51"/>
      <c r="F493" s="51"/>
      <c r="G493" s="51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</row>
    <row r="494" spans="1:18">
      <c r="A494" s="13"/>
      <c r="B494" s="13"/>
      <c r="C494" s="51"/>
      <c r="D494" s="51"/>
      <c r="E494" s="51"/>
      <c r="F494" s="51"/>
      <c r="G494" s="51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</row>
    <row r="495" spans="1:18">
      <c r="A495" s="13"/>
      <c r="B495" s="13"/>
      <c r="C495" s="51"/>
      <c r="D495" s="51"/>
      <c r="E495" s="51"/>
      <c r="F495" s="51"/>
      <c r="G495" s="51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</row>
    <row r="496" spans="1:18">
      <c r="A496" s="13"/>
      <c r="B496" s="13"/>
      <c r="C496" s="51"/>
      <c r="D496" s="51"/>
      <c r="E496" s="51"/>
      <c r="F496" s="51"/>
      <c r="G496" s="51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</row>
    <row r="497" spans="1:18">
      <c r="A497" s="13"/>
      <c r="B497" s="13"/>
      <c r="C497" s="51"/>
      <c r="D497" s="51"/>
      <c r="E497" s="51"/>
      <c r="F497" s="51"/>
      <c r="G497" s="51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</row>
    <row r="498" spans="1:18">
      <c r="A498" s="13"/>
      <c r="B498" s="13"/>
      <c r="C498" s="51"/>
      <c r="D498" s="51"/>
      <c r="E498" s="51"/>
      <c r="F498" s="51"/>
      <c r="G498" s="51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</row>
    <row r="499" spans="1:18">
      <c r="A499" s="13"/>
      <c r="B499" s="13"/>
      <c r="C499" s="51"/>
      <c r="D499" s="51"/>
      <c r="E499" s="51"/>
      <c r="F499" s="51"/>
      <c r="G499" s="51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</row>
    <row r="500" spans="1:18">
      <c r="A500" s="13"/>
      <c r="B500" s="13"/>
      <c r="C500" s="51"/>
      <c r="D500" s="51"/>
      <c r="E500" s="51"/>
      <c r="F500" s="51"/>
      <c r="G500" s="51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</row>
    <row r="501" spans="1:18">
      <c r="A501" s="13"/>
      <c r="B501" s="13"/>
      <c r="C501" s="51"/>
      <c r="D501" s="51"/>
      <c r="E501" s="51"/>
      <c r="F501" s="51"/>
      <c r="G501" s="51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</row>
    <row r="502" spans="1:18">
      <c r="A502" s="13"/>
      <c r="B502" s="13"/>
      <c r="C502" s="51"/>
      <c r="D502" s="51"/>
      <c r="E502" s="51"/>
      <c r="F502" s="51"/>
      <c r="G502" s="51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</row>
    <row r="503" spans="1:18">
      <c r="A503" s="13"/>
      <c r="B503" s="13"/>
      <c r="C503" s="51"/>
      <c r="D503" s="51"/>
      <c r="E503" s="51"/>
      <c r="F503" s="51"/>
      <c r="G503" s="51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</row>
    <row r="504" spans="1:18">
      <c r="A504" s="13"/>
      <c r="B504" s="13"/>
      <c r="C504" s="51"/>
      <c r="D504" s="51"/>
      <c r="E504" s="51"/>
      <c r="F504" s="51"/>
      <c r="G504" s="51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</row>
    <row r="505" spans="1:18">
      <c r="A505" s="13"/>
      <c r="B505" s="13"/>
      <c r="C505" s="51"/>
      <c r="D505" s="51"/>
      <c r="E505" s="51"/>
      <c r="F505" s="51"/>
      <c r="G505" s="51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</row>
    <row r="506" spans="1:18">
      <c r="A506" s="13"/>
      <c r="B506" s="13"/>
      <c r="C506" s="51"/>
      <c r="D506" s="51"/>
      <c r="E506" s="51"/>
      <c r="F506" s="51"/>
      <c r="G506" s="51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</row>
    <row r="507" spans="1:18">
      <c r="A507" s="13"/>
      <c r="B507" s="13"/>
      <c r="C507" s="51"/>
      <c r="D507" s="51"/>
      <c r="E507" s="51"/>
      <c r="F507" s="51"/>
      <c r="G507" s="51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</row>
    <row r="508" spans="1:18">
      <c r="A508" s="13"/>
      <c r="B508" s="13"/>
      <c r="C508" s="51"/>
      <c r="D508" s="51"/>
      <c r="E508" s="51"/>
      <c r="F508" s="51"/>
      <c r="G508" s="51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</row>
    <row r="509" spans="1:18">
      <c r="A509" s="13"/>
      <c r="B509" s="13"/>
      <c r="C509" s="51"/>
      <c r="D509" s="51"/>
      <c r="E509" s="51"/>
      <c r="F509" s="51"/>
      <c r="G509" s="51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</row>
    <row r="510" spans="1:18">
      <c r="A510" s="13"/>
      <c r="B510" s="13"/>
      <c r="C510" s="51"/>
      <c r="D510" s="51"/>
      <c r="E510" s="51"/>
      <c r="F510" s="51"/>
      <c r="G510" s="51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</row>
    <row r="511" spans="1:18">
      <c r="A511" s="13"/>
      <c r="B511" s="13"/>
      <c r="C511" s="51"/>
      <c r="D511" s="51"/>
      <c r="E511" s="51"/>
      <c r="F511" s="51"/>
      <c r="G511" s="51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</row>
    <row r="512" spans="1:18">
      <c r="A512" s="13"/>
      <c r="B512" s="13"/>
      <c r="C512" s="51"/>
      <c r="D512" s="51"/>
      <c r="E512" s="51"/>
      <c r="F512" s="51"/>
      <c r="G512" s="51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</row>
    <row r="513" spans="1:18">
      <c r="A513" s="13"/>
      <c r="B513" s="13"/>
      <c r="C513" s="51"/>
      <c r="D513" s="51"/>
      <c r="E513" s="51"/>
      <c r="F513" s="51"/>
      <c r="G513" s="51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</row>
    <row r="514" spans="1:18">
      <c r="A514" s="13"/>
      <c r="B514" s="13"/>
      <c r="C514" s="51"/>
      <c r="D514" s="51"/>
      <c r="E514" s="51"/>
      <c r="F514" s="51"/>
      <c r="G514" s="51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</row>
    <row r="515" spans="1:18">
      <c r="A515" s="13"/>
      <c r="B515" s="13"/>
      <c r="C515" s="51"/>
      <c r="D515" s="51"/>
      <c r="E515" s="51"/>
      <c r="F515" s="51"/>
      <c r="G515" s="51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</row>
    <row r="516" spans="1:18">
      <c r="A516" s="13"/>
      <c r="B516" s="13"/>
      <c r="C516" s="51"/>
      <c r="D516" s="51"/>
      <c r="E516" s="51"/>
      <c r="F516" s="51"/>
      <c r="G516" s="51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</row>
    <row r="517" spans="1:18">
      <c r="A517" s="13"/>
      <c r="B517" s="13"/>
      <c r="C517" s="51"/>
      <c r="D517" s="51"/>
      <c r="E517" s="51"/>
      <c r="F517" s="51"/>
      <c r="G517" s="51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</row>
    <row r="518" spans="1:18">
      <c r="A518" s="13"/>
      <c r="B518" s="13"/>
      <c r="C518" s="51"/>
      <c r="D518" s="51"/>
      <c r="E518" s="51"/>
      <c r="F518" s="51"/>
      <c r="G518" s="51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</row>
    <row r="519" spans="1:18">
      <c r="A519" s="13"/>
      <c r="B519" s="13"/>
      <c r="C519" s="51"/>
      <c r="D519" s="51"/>
      <c r="E519" s="51"/>
      <c r="F519" s="51"/>
      <c r="G519" s="51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</row>
    <row r="520" spans="1:18">
      <c r="A520" s="13"/>
      <c r="B520" s="13"/>
      <c r="C520" s="51"/>
      <c r="D520" s="51"/>
      <c r="E520" s="51"/>
      <c r="F520" s="51"/>
      <c r="G520" s="51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</row>
    <row r="521" spans="1:18">
      <c r="A521" s="13"/>
      <c r="B521" s="13"/>
      <c r="C521" s="51"/>
      <c r="D521" s="51"/>
      <c r="E521" s="51"/>
      <c r="F521" s="51"/>
      <c r="G521" s="51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</row>
    <row r="522" spans="1:18">
      <c r="A522" s="13"/>
      <c r="B522" s="13"/>
      <c r="C522" s="51"/>
      <c r="D522" s="51"/>
      <c r="E522" s="51"/>
      <c r="F522" s="51"/>
      <c r="G522" s="51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</row>
    <row r="523" spans="1:18">
      <c r="A523" s="13"/>
      <c r="B523" s="13"/>
      <c r="C523" s="51"/>
      <c r="D523" s="51"/>
      <c r="E523" s="51"/>
      <c r="F523" s="51"/>
      <c r="G523" s="51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</row>
    <row r="524" spans="1:18">
      <c r="A524" s="13"/>
      <c r="B524" s="13"/>
      <c r="C524" s="51"/>
      <c r="D524" s="51"/>
      <c r="E524" s="51"/>
      <c r="F524" s="51"/>
      <c r="G524" s="51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</row>
    <row r="525" spans="1:18">
      <c r="A525" s="13"/>
      <c r="B525" s="13"/>
      <c r="C525" s="51"/>
      <c r="D525" s="51"/>
      <c r="E525" s="51"/>
      <c r="F525" s="51"/>
      <c r="G525" s="51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</row>
    <row r="526" spans="1:18">
      <c r="A526" s="13"/>
      <c r="B526" s="13"/>
      <c r="C526" s="51"/>
      <c r="D526" s="51"/>
      <c r="E526" s="51"/>
      <c r="F526" s="51"/>
      <c r="G526" s="51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</row>
    <row r="527" spans="1:18">
      <c r="A527" s="13"/>
      <c r="B527" s="13"/>
      <c r="C527" s="51"/>
      <c r="D527" s="51"/>
      <c r="E527" s="51"/>
      <c r="F527" s="51"/>
      <c r="G527" s="51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</row>
    <row r="528" spans="1:18">
      <c r="A528" s="13"/>
      <c r="B528" s="13"/>
      <c r="C528" s="51"/>
      <c r="D528" s="51"/>
      <c r="E528" s="51"/>
      <c r="F528" s="51"/>
      <c r="G528" s="51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</row>
    <row r="529" spans="1:18">
      <c r="A529" s="13"/>
      <c r="B529" s="13"/>
      <c r="C529" s="51"/>
      <c r="D529" s="51"/>
      <c r="E529" s="51"/>
      <c r="F529" s="51"/>
      <c r="G529" s="51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</row>
    <row r="530" spans="1:18">
      <c r="A530" s="13"/>
      <c r="B530" s="13"/>
      <c r="C530" s="51"/>
      <c r="D530" s="51"/>
      <c r="E530" s="51"/>
      <c r="F530" s="51"/>
      <c r="G530" s="51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</row>
    <row r="531" spans="1:18">
      <c r="A531" s="13"/>
      <c r="B531" s="13"/>
      <c r="C531" s="51"/>
      <c r="D531" s="51"/>
      <c r="E531" s="51"/>
      <c r="F531" s="51"/>
      <c r="G531" s="51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</row>
    <row r="532" spans="1:18">
      <c r="A532" s="13"/>
      <c r="B532" s="13"/>
      <c r="C532" s="51"/>
      <c r="D532" s="51"/>
      <c r="E532" s="51"/>
      <c r="F532" s="51"/>
      <c r="G532" s="51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</row>
    <row r="533" spans="1:18">
      <c r="A533" s="13"/>
      <c r="B533" s="13"/>
      <c r="C533" s="51"/>
      <c r="D533" s="51"/>
      <c r="E533" s="51"/>
      <c r="F533" s="51"/>
      <c r="G533" s="51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</row>
    <row r="534" spans="1:18">
      <c r="A534" s="13"/>
      <c r="B534" s="13"/>
      <c r="C534" s="51"/>
      <c r="D534" s="51"/>
      <c r="E534" s="51"/>
      <c r="F534" s="51"/>
      <c r="G534" s="51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</row>
    <row r="535" spans="1:18">
      <c r="A535" s="13"/>
      <c r="B535" s="13"/>
      <c r="C535" s="51"/>
      <c r="D535" s="51"/>
      <c r="E535" s="51"/>
      <c r="F535" s="51"/>
      <c r="G535" s="51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</row>
    <row r="536" spans="1:18">
      <c r="A536" s="13"/>
      <c r="B536" s="13"/>
      <c r="C536" s="51"/>
      <c r="D536" s="51"/>
      <c r="E536" s="51"/>
      <c r="F536" s="51"/>
      <c r="G536" s="51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</row>
    <row r="537" spans="1:18">
      <c r="A537" s="13"/>
      <c r="B537" s="13"/>
      <c r="C537" s="51"/>
      <c r="D537" s="51"/>
      <c r="E537" s="51"/>
      <c r="F537" s="51"/>
      <c r="G537" s="51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</row>
    <row r="538" spans="1:18">
      <c r="A538" s="13"/>
      <c r="B538" s="13"/>
      <c r="C538" s="51"/>
      <c r="D538" s="51"/>
      <c r="E538" s="51"/>
      <c r="F538" s="51"/>
      <c r="G538" s="51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</row>
    <row r="539" spans="1:18">
      <c r="A539" s="13"/>
      <c r="B539" s="13"/>
      <c r="C539" s="51"/>
      <c r="D539" s="51"/>
      <c r="E539" s="51"/>
      <c r="F539" s="51"/>
      <c r="G539" s="51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</row>
    <row r="540" spans="1:18">
      <c r="A540" s="13"/>
      <c r="B540" s="13"/>
      <c r="C540" s="51"/>
      <c r="D540" s="51"/>
      <c r="E540" s="51"/>
      <c r="F540" s="51"/>
      <c r="G540" s="51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</row>
    <row r="541" spans="1:18">
      <c r="A541" s="13"/>
      <c r="B541" s="13"/>
      <c r="C541" s="51"/>
      <c r="D541" s="51"/>
      <c r="E541" s="51"/>
      <c r="F541" s="51"/>
      <c r="G541" s="51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</row>
    <row r="542" spans="1:18">
      <c r="A542" s="13"/>
      <c r="B542" s="13"/>
      <c r="C542" s="51"/>
      <c r="D542" s="51"/>
      <c r="E542" s="51"/>
      <c r="F542" s="51"/>
      <c r="G542" s="51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</row>
    <row r="543" spans="1:18">
      <c r="A543" s="13"/>
      <c r="B543" s="13"/>
      <c r="C543" s="51"/>
      <c r="D543" s="51"/>
      <c r="E543" s="51"/>
      <c r="F543" s="51"/>
      <c r="G543" s="51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</row>
    <row r="544" spans="1:18">
      <c r="A544" s="13"/>
      <c r="B544" s="13"/>
      <c r="C544" s="51"/>
      <c r="D544" s="51"/>
      <c r="E544" s="51"/>
      <c r="F544" s="51"/>
      <c r="G544" s="51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</row>
    <row r="545" spans="1:18">
      <c r="A545" s="13"/>
      <c r="B545" s="13"/>
      <c r="C545" s="51"/>
      <c r="D545" s="51"/>
      <c r="E545" s="51"/>
      <c r="F545" s="51"/>
      <c r="G545" s="51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</row>
    <row r="546" spans="1:18">
      <c r="A546" s="13"/>
      <c r="B546" s="13"/>
      <c r="C546" s="51"/>
      <c r="D546" s="51"/>
      <c r="E546" s="51"/>
      <c r="F546" s="51"/>
      <c r="G546" s="51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</row>
    <row r="547" spans="1:18">
      <c r="A547" s="13"/>
      <c r="B547" s="13"/>
      <c r="C547" s="51"/>
      <c r="D547" s="51"/>
      <c r="E547" s="51"/>
      <c r="F547" s="51"/>
      <c r="G547" s="51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</row>
    <row r="548" spans="1:18">
      <c r="A548" s="13"/>
      <c r="B548" s="13"/>
      <c r="C548" s="51"/>
      <c r="D548" s="51"/>
      <c r="E548" s="51"/>
      <c r="F548" s="51"/>
      <c r="G548" s="51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</row>
    <row r="549" spans="1:18">
      <c r="A549" s="13"/>
      <c r="B549" s="13"/>
      <c r="C549" s="51"/>
      <c r="D549" s="51"/>
      <c r="E549" s="51"/>
      <c r="F549" s="51"/>
      <c r="G549" s="51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</row>
    <row r="550" spans="1:18">
      <c r="A550" s="13"/>
      <c r="B550" s="13"/>
      <c r="C550" s="51"/>
      <c r="D550" s="51"/>
      <c r="E550" s="51"/>
      <c r="F550" s="51"/>
      <c r="G550" s="51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</row>
    <row r="551" spans="1:18">
      <c r="A551" s="13"/>
      <c r="B551" s="13"/>
      <c r="C551" s="51"/>
      <c r="D551" s="51"/>
      <c r="E551" s="51"/>
      <c r="F551" s="51"/>
      <c r="G551" s="51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</row>
    <row r="552" spans="1:18">
      <c r="A552" s="13"/>
      <c r="B552" s="13"/>
      <c r="C552" s="51"/>
      <c r="D552" s="51"/>
      <c r="E552" s="51"/>
      <c r="F552" s="51"/>
      <c r="G552" s="51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</row>
    <row r="553" spans="1:18">
      <c r="A553" s="13"/>
      <c r="B553" s="13"/>
      <c r="C553" s="51"/>
      <c r="D553" s="51"/>
      <c r="E553" s="51"/>
      <c r="F553" s="51"/>
      <c r="G553" s="51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</row>
    <row r="554" spans="1:18">
      <c r="A554" s="13"/>
      <c r="B554" s="13"/>
      <c r="C554" s="51"/>
      <c r="D554" s="51"/>
      <c r="E554" s="51"/>
      <c r="F554" s="51"/>
      <c r="G554" s="51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</row>
    <row r="555" spans="1:18">
      <c r="A555" s="13"/>
      <c r="B555" s="13"/>
      <c r="C555" s="51"/>
      <c r="D555" s="51"/>
      <c r="E555" s="51"/>
      <c r="F555" s="51"/>
      <c r="G555" s="51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</row>
    <row r="556" spans="1:18">
      <c r="A556" s="13"/>
      <c r="B556" s="13"/>
      <c r="C556" s="51"/>
      <c r="D556" s="51"/>
      <c r="E556" s="51"/>
      <c r="F556" s="51"/>
      <c r="G556" s="51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</row>
    <row r="557" spans="1:18">
      <c r="A557" s="13"/>
      <c r="B557" s="13"/>
      <c r="C557" s="51"/>
      <c r="D557" s="51"/>
      <c r="E557" s="51"/>
      <c r="F557" s="51"/>
      <c r="G557" s="51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</row>
    <row r="558" spans="1:18">
      <c r="A558" s="13"/>
      <c r="B558" s="13"/>
      <c r="C558" s="51"/>
      <c r="D558" s="51"/>
      <c r="E558" s="51"/>
      <c r="F558" s="51"/>
      <c r="G558" s="51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</row>
    <row r="559" spans="1:18">
      <c r="A559" s="13"/>
      <c r="B559" s="13"/>
      <c r="C559" s="51"/>
      <c r="D559" s="51"/>
      <c r="E559" s="51"/>
      <c r="F559" s="51"/>
      <c r="G559" s="51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</row>
    <row r="560" spans="1:18">
      <c r="A560" s="13"/>
      <c r="B560" s="13"/>
      <c r="C560" s="51"/>
      <c r="D560" s="51"/>
      <c r="E560" s="51"/>
      <c r="F560" s="51"/>
      <c r="G560" s="51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</row>
    <row r="561" spans="1:18">
      <c r="A561" s="13"/>
      <c r="B561" s="13"/>
      <c r="C561" s="51"/>
      <c r="D561" s="51"/>
      <c r="E561" s="51"/>
      <c r="F561" s="51"/>
      <c r="G561" s="51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</row>
    <row r="562" spans="1:18">
      <c r="A562" s="13"/>
      <c r="B562" s="13"/>
      <c r="C562" s="51"/>
      <c r="D562" s="51"/>
      <c r="E562" s="51"/>
      <c r="F562" s="51"/>
      <c r="G562" s="51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</row>
    <row r="563" spans="1:18">
      <c r="A563" s="13"/>
      <c r="B563" s="13"/>
      <c r="C563" s="51"/>
      <c r="D563" s="51"/>
      <c r="E563" s="51"/>
      <c r="F563" s="51"/>
      <c r="G563" s="51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</row>
    <row r="564" spans="1:18">
      <c r="A564" s="13"/>
      <c r="B564" s="13"/>
      <c r="C564" s="51"/>
      <c r="D564" s="51"/>
      <c r="E564" s="51"/>
      <c r="F564" s="51"/>
      <c r="G564" s="51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</row>
    <row r="565" spans="1:18">
      <c r="A565" s="13"/>
      <c r="B565" s="13"/>
      <c r="C565" s="51"/>
      <c r="D565" s="51"/>
      <c r="E565" s="51"/>
      <c r="F565" s="51"/>
      <c r="G565" s="51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</row>
    <row r="566" spans="1:18">
      <c r="A566" s="13"/>
      <c r="B566" s="13"/>
      <c r="C566" s="51"/>
      <c r="D566" s="51"/>
      <c r="E566" s="51"/>
      <c r="F566" s="51"/>
      <c r="G566" s="51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</row>
    <row r="567" spans="1:18">
      <c r="A567" s="13"/>
      <c r="B567" s="13"/>
      <c r="C567" s="51"/>
      <c r="D567" s="51"/>
      <c r="E567" s="51"/>
      <c r="F567" s="51"/>
      <c r="G567" s="51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</row>
    <row r="568" spans="1:18">
      <c r="A568" s="13"/>
      <c r="B568" s="13"/>
      <c r="C568" s="51"/>
      <c r="D568" s="51"/>
      <c r="E568" s="51"/>
      <c r="F568" s="51"/>
      <c r="G568" s="51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</row>
    <row r="569" spans="1:18">
      <c r="A569" s="13"/>
      <c r="B569" s="13"/>
      <c r="C569" s="51"/>
      <c r="D569" s="51"/>
      <c r="E569" s="51"/>
      <c r="F569" s="51"/>
      <c r="G569" s="51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</row>
    <row r="570" spans="1:18">
      <c r="A570" s="13"/>
      <c r="B570" s="13"/>
      <c r="C570" s="51"/>
      <c r="D570" s="51"/>
      <c r="E570" s="51"/>
      <c r="F570" s="51"/>
      <c r="G570" s="51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</row>
    <row r="571" spans="1:18">
      <c r="A571" s="13"/>
      <c r="B571" s="13"/>
      <c r="C571" s="51"/>
      <c r="D571" s="51"/>
      <c r="E571" s="51"/>
      <c r="F571" s="51"/>
      <c r="G571" s="51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</row>
    <row r="572" spans="1:18">
      <c r="A572" s="13"/>
      <c r="B572" s="13"/>
      <c r="C572" s="51"/>
      <c r="D572" s="51"/>
      <c r="E572" s="51"/>
      <c r="F572" s="51"/>
      <c r="G572" s="51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</row>
    <row r="573" spans="1:18">
      <c r="A573" s="13"/>
      <c r="B573" s="13"/>
      <c r="C573" s="51"/>
      <c r="D573" s="51"/>
      <c r="E573" s="51"/>
      <c r="F573" s="51"/>
      <c r="G573" s="51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</row>
    <row r="574" spans="1:18">
      <c r="A574" s="13"/>
      <c r="B574" s="13"/>
      <c r="C574" s="51"/>
      <c r="D574" s="51"/>
      <c r="E574" s="51"/>
      <c r="F574" s="51"/>
      <c r="G574" s="51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</row>
    <row r="575" spans="1:18">
      <c r="A575" s="13"/>
      <c r="B575" s="13"/>
      <c r="C575" s="51"/>
      <c r="D575" s="51"/>
      <c r="E575" s="51"/>
      <c r="F575" s="51"/>
      <c r="G575" s="51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</row>
    <row r="576" spans="1:18">
      <c r="A576" s="13"/>
      <c r="B576" s="13"/>
      <c r="C576" s="51"/>
      <c r="D576" s="51"/>
      <c r="E576" s="51"/>
      <c r="F576" s="51"/>
      <c r="G576" s="51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</row>
    <row r="577" spans="1:18">
      <c r="A577" s="13"/>
      <c r="B577" s="13"/>
      <c r="C577" s="51"/>
      <c r="D577" s="51"/>
      <c r="E577" s="51"/>
      <c r="F577" s="51"/>
      <c r="G577" s="51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</row>
    <row r="578" spans="1:18">
      <c r="A578" s="13"/>
      <c r="B578" s="13"/>
      <c r="C578" s="51"/>
      <c r="D578" s="51"/>
      <c r="E578" s="51"/>
      <c r="F578" s="51"/>
      <c r="G578" s="51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</row>
    <row r="579" spans="1:18">
      <c r="A579" s="13"/>
      <c r="B579" s="13"/>
      <c r="C579" s="51"/>
      <c r="D579" s="51"/>
      <c r="E579" s="51"/>
      <c r="F579" s="51"/>
      <c r="G579" s="51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</row>
    <row r="580" spans="1:18">
      <c r="A580" s="13"/>
      <c r="B580" s="13"/>
      <c r="C580" s="51"/>
      <c r="D580" s="51"/>
      <c r="E580" s="51"/>
      <c r="F580" s="51"/>
      <c r="G580" s="51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</row>
    <row r="581" spans="1:18">
      <c r="A581" s="13"/>
      <c r="B581" s="13"/>
      <c r="C581" s="51"/>
      <c r="D581" s="51"/>
      <c r="E581" s="51"/>
      <c r="F581" s="51"/>
      <c r="G581" s="51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</row>
    <row r="582" spans="1:18">
      <c r="A582" s="13"/>
      <c r="B582" s="13"/>
      <c r="C582" s="51"/>
      <c r="D582" s="51"/>
      <c r="E582" s="51"/>
      <c r="F582" s="51"/>
      <c r="G582" s="51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</row>
    <row r="583" spans="1:18">
      <c r="A583" s="13"/>
      <c r="B583" s="13"/>
      <c r="C583" s="51"/>
      <c r="D583" s="51"/>
      <c r="E583" s="51"/>
      <c r="F583" s="51"/>
      <c r="G583" s="51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</row>
    <row r="584" spans="1:18">
      <c r="A584" s="13"/>
      <c r="B584" s="13"/>
      <c r="C584" s="51"/>
      <c r="D584" s="51"/>
      <c r="E584" s="51"/>
      <c r="F584" s="51"/>
      <c r="G584" s="51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</row>
    <row r="585" spans="1:18">
      <c r="A585" s="13"/>
      <c r="B585" s="13"/>
      <c r="C585" s="51"/>
      <c r="D585" s="51"/>
      <c r="E585" s="51"/>
      <c r="F585" s="51"/>
      <c r="G585" s="51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</row>
    <row r="586" spans="1:18">
      <c r="A586" s="13"/>
      <c r="B586" s="13"/>
      <c r="C586" s="51"/>
      <c r="D586" s="51"/>
      <c r="E586" s="51"/>
      <c r="F586" s="51"/>
      <c r="G586" s="51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</row>
    <row r="587" spans="1:18">
      <c r="A587" s="13"/>
      <c r="B587" s="13"/>
      <c r="C587" s="51"/>
      <c r="D587" s="51"/>
      <c r="E587" s="51"/>
      <c r="F587" s="51"/>
      <c r="G587" s="51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</row>
    <row r="588" spans="1:18">
      <c r="A588" s="13"/>
      <c r="B588" s="13"/>
      <c r="C588" s="51"/>
      <c r="D588" s="51"/>
      <c r="E588" s="51"/>
      <c r="F588" s="51"/>
      <c r="G588" s="51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</row>
    <row r="589" spans="1:18">
      <c r="A589" s="13"/>
      <c r="B589" s="13"/>
      <c r="C589" s="51"/>
      <c r="D589" s="51"/>
      <c r="E589" s="51"/>
      <c r="F589" s="51"/>
      <c r="G589" s="51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</row>
    <row r="590" spans="1:18">
      <c r="A590" s="13"/>
      <c r="B590" s="13"/>
      <c r="C590" s="51"/>
      <c r="D590" s="51"/>
      <c r="E590" s="51"/>
      <c r="F590" s="51"/>
      <c r="G590" s="51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</row>
    <row r="591" spans="1:18">
      <c r="A591" s="13"/>
      <c r="B591" s="13"/>
      <c r="C591" s="51"/>
      <c r="D591" s="51"/>
      <c r="E591" s="51"/>
      <c r="F591" s="51"/>
      <c r="G591" s="51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</row>
    <row r="592" spans="1:18">
      <c r="A592" s="13"/>
      <c r="B592" s="13"/>
      <c r="C592" s="51"/>
      <c r="D592" s="51"/>
      <c r="E592" s="51"/>
      <c r="F592" s="51"/>
      <c r="G592" s="51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</row>
    <row r="593" spans="1:18">
      <c r="A593" s="13"/>
      <c r="B593" s="13"/>
      <c r="C593" s="51"/>
      <c r="D593" s="51"/>
      <c r="E593" s="51"/>
      <c r="F593" s="51"/>
      <c r="G593" s="51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</row>
    <row r="594" spans="1:18">
      <c r="A594" s="13"/>
      <c r="B594" s="13"/>
      <c r="C594" s="51"/>
      <c r="D594" s="51"/>
      <c r="E594" s="51"/>
      <c r="F594" s="51"/>
      <c r="G594" s="51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</row>
    <row r="595" spans="1:18">
      <c r="A595" s="13"/>
      <c r="B595" s="13"/>
      <c r="C595" s="51"/>
      <c r="D595" s="51"/>
      <c r="E595" s="51"/>
      <c r="F595" s="51"/>
      <c r="G595" s="51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</row>
    <row r="596" spans="1:18">
      <c r="A596" s="13"/>
      <c r="B596" s="13"/>
      <c r="C596" s="51"/>
      <c r="D596" s="51"/>
      <c r="E596" s="51"/>
      <c r="F596" s="51"/>
      <c r="G596" s="51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</row>
    <row r="597" spans="1:18">
      <c r="A597" s="13"/>
      <c r="B597" s="13"/>
      <c r="C597" s="51"/>
      <c r="D597" s="51"/>
      <c r="E597" s="51"/>
      <c r="F597" s="51"/>
      <c r="G597" s="51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</row>
    <row r="598" spans="1:18">
      <c r="A598" s="13"/>
      <c r="B598" s="13"/>
      <c r="C598" s="51"/>
      <c r="D598" s="51"/>
      <c r="E598" s="51"/>
      <c r="F598" s="51"/>
      <c r="G598" s="51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</row>
    <row r="599" spans="1:18">
      <c r="A599" s="13"/>
      <c r="B599" s="13"/>
      <c r="C599" s="51"/>
      <c r="D599" s="51"/>
      <c r="E599" s="51"/>
      <c r="F599" s="51"/>
      <c r="G599" s="51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</row>
    <row r="600" spans="1:18">
      <c r="A600" s="13"/>
      <c r="B600" s="13"/>
      <c r="C600" s="51"/>
      <c r="D600" s="51"/>
      <c r="E600" s="51"/>
      <c r="F600" s="51"/>
      <c r="G600" s="51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</row>
    <row r="601" spans="1:18">
      <c r="A601" s="13"/>
      <c r="B601" s="13"/>
      <c r="C601" s="51"/>
      <c r="D601" s="51"/>
      <c r="E601" s="51"/>
      <c r="F601" s="51"/>
      <c r="G601" s="51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</row>
    <row r="602" spans="1:18">
      <c r="A602" s="13"/>
      <c r="B602" s="13"/>
      <c r="C602" s="51"/>
      <c r="D602" s="51"/>
      <c r="E602" s="51"/>
      <c r="F602" s="51"/>
      <c r="G602" s="51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</row>
    <row r="603" spans="1:18">
      <c r="A603" s="13"/>
      <c r="B603" s="13"/>
      <c r="C603" s="51"/>
      <c r="D603" s="51"/>
      <c r="E603" s="51"/>
      <c r="F603" s="51"/>
      <c r="G603" s="51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</row>
    <row r="604" spans="1:18">
      <c r="A604" s="13"/>
      <c r="B604" s="13"/>
      <c r="C604" s="51"/>
      <c r="D604" s="51"/>
      <c r="E604" s="51"/>
      <c r="F604" s="51"/>
      <c r="G604" s="51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</row>
    <row r="605" spans="1:18">
      <c r="A605" s="13"/>
      <c r="B605" s="13"/>
      <c r="C605" s="51"/>
      <c r="D605" s="51"/>
      <c r="E605" s="51"/>
      <c r="F605" s="51"/>
      <c r="G605" s="51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</row>
    <row r="606" spans="1:18">
      <c r="A606" s="13"/>
      <c r="B606" s="13"/>
      <c r="C606" s="51"/>
      <c r="D606" s="51"/>
      <c r="E606" s="51"/>
      <c r="F606" s="51"/>
      <c r="G606" s="51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</row>
    <row r="607" spans="1:18">
      <c r="A607" s="13"/>
      <c r="B607" s="13"/>
      <c r="C607" s="51"/>
      <c r="D607" s="51"/>
      <c r="E607" s="51"/>
      <c r="F607" s="51"/>
      <c r="G607" s="51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</row>
    <row r="608" spans="1:18">
      <c r="A608" s="13"/>
      <c r="B608" s="13"/>
      <c r="C608" s="51"/>
      <c r="D608" s="51"/>
      <c r="E608" s="51"/>
      <c r="F608" s="51"/>
      <c r="G608" s="51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</row>
    <row r="609" spans="1:18">
      <c r="A609" s="13"/>
      <c r="B609" s="13"/>
      <c r="C609" s="51"/>
      <c r="D609" s="51"/>
      <c r="E609" s="51"/>
      <c r="F609" s="51"/>
      <c r="G609" s="51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</row>
    <row r="610" spans="1:18">
      <c r="A610" s="13"/>
      <c r="B610" s="13"/>
      <c r="C610" s="51"/>
      <c r="D610" s="51"/>
      <c r="E610" s="51"/>
      <c r="F610" s="51"/>
      <c r="G610" s="51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</row>
    <row r="611" spans="1:18">
      <c r="A611" s="13"/>
      <c r="B611" s="13"/>
      <c r="C611" s="51"/>
      <c r="D611" s="51"/>
      <c r="E611" s="51"/>
      <c r="F611" s="51"/>
      <c r="G611" s="51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</row>
    <row r="612" spans="1:18">
      <c r="A612" s="13"/>
      <c r="B612" s="13"/>
      <c r="C612" s="51"/>
      <c r="D612" s="51"/>
      <c r="E612" s="51"/>
      <c r="F612" s="51"/>
      <c r="G612" s="51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</row>
    <row r="613" spans="1:18">
      <c r="A613" s="13"/>
      <c r="B613" s="13"/>
      <c r="C613" s="51"/>
      <c r="D613" s="51"/>
      <c r="E613" s="51"/>
      <c r="F613" s="51"/>
      <c r="G613" s="51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</row>
    <row r="614" spans="1:18">
      <c r="A614" s="13"/>
      <c r="B614" s="13"/>
      <c r="C614" s="51"/>
      <c r="D614" s="51"/>
      <c r="E614" s="51"/>
      <c r="F614" s="51"/>
      <c r="G614" s="51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</row>
    <row r="615" spans="1:18">
      <c r="A615" s="13"/>
      <c r="B615" s="13"/>
      <c r="C615" s="51"/>
      <c r="D615" s="51"/>
      <c r="E615" s="51"/>
      <c r="F615" s="51"/>
      <c r="G615" s="51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</row>
    <row r="616" spans="1:18">
      <c r="A616" s="13"/>
      <c r="B616" s="13"/>
      <c r="C616" s="51"/>
      <c r="D616" s="51"/>
      <c r="E616" s="51"/>
      <c r="F616" s="51"/>
      <c r="G616" s="51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</row>
    <row r="617" spans="1:18">
      <c r="A617" s="13"/>
      <c r="B617" s="13"/>
      <c r="C617" s="51"/>
      <c r="D617" s="51"/>
      <c r="E617" s="51"/>
      <c r="F617" s="51"/>
      <c r="G617" s="51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</row>
    <row r="618" spans="1:18">
      <c r="A618" s="13"/>
      <c r="B618" s="13"/>
      <c r="C618" s="51"/>
      <c r="D618" s="51"/>
      <c r="E618" s="51"/>
      <c r="F618" s="51"/>
      <c r="G618" s="51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</row>
    <row r="619" spans="1:18">
      <c r="A619" s="13"/>
      <c r="B619" s="13"/>
      <c r="C619" s="51"/>
      <c r="D619" s="51"/>
      <c r="E619" s="51"/>
      <c r="F619" s="51"/>
      <c r="G619" s="51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</row>
    <row r="620" spans="1:18">
      <c r="A620" s="13"/>
      <c r="B620" s="13"/>
      <c r="C620" s="51"/>
      <c r="D620" s="51"/>
      <c r="E620" s="51"/>
      <c r="F620" s="51"/>
      <c r="G620" s="51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</row>
    <row r="621" spans="1:18">
      <c r="A621" s="13"/>
      <c r="B621" s="13"/>
      <c r="C621" s="51"/>
      <c r="D621" s="51"/>
      <c r="E621" s="51"/>
      <c r="F621" s="51"/>
      <c r="G621" s="51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</row>
    <row r="622" spans="1:18">
      <c r="A622" s="13"/>
      <c r="B622" s="13"/>
      <c r="C622" s="51"/>
      <c r="D622" s="51"/>
      <c r="E622" s="51"/>
      <c r="F622" s="51"/>
      <c r="G622" s="51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</row>
    <row r="623" spans="1:18">
      <c r="A623" s="13"/>
      <c r="B623" s="13"/>
      <c r="C623" s="51"/>
      <c r="D623" s="51"/>
      <c r="E623" s="51"/>
      <c r="F623" s="51"/>
      <c r="G623" s="51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</row>
    <row r="624" spans="1:18">
      <c r="A624" s="13"/>
      <c r="B624" s="13"/>
      <c r="C624" s="51"/>
      <c r="D624" s="51"/>
      <c r="E624" s="51"/>
      <c r="F624" s="51"/>
      <c r="G624" s="51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</row>
    <row r="625" spans="1:18">
      <c r="A625" s="13"/>
      <c r="B625" s="13"/>
      <c r="C625" s="51"/>
      <c r="D625" s="51"/>
      <c r="E625" s="51"/>
      <c r="F625" s="51"/>
      <c r="G625" s="51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</row>
    <row r="626" spans="1:18">
      <c r="A626" s="13"/>
      <c r="B626" s="13"/>
      <c r="C626" s="51"/>
      <c r="D626" s="51"/>
      <c r="E626" s="51"/>
      <c r="F626" s="51"/>
      <c r="G626" s="51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</row>
    <row r="627" spans="1:18">
      <c r="A627" s="13"/>
      <c r="B627" s="13"/>
      <c r="C627" s="51"/>
      <c r="D627" s="51"/>
      <c r="E627" s="51"/>
      <c r="F627" s="51"/>
      <c r="G627" s="51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</row>
    <row r="628" spans="1:18">
      <c r="A628" s="13"/>
      <c r="B628" s="13"/>
      <c r="C628" s="51"/>
      <c r="D628" s="51"/>
      <c r="E628" s="51"/>
      <c r="F628" s="51"/>
      <c r="G628" s="51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</row>
    <row r="629" spans="1:18">
      <c r="A629" s="13"/>
      <c r="B629" s="13"/>
      <c r="C629" s="51"/>
      <c r="D629" s="51"/>
      <c r="E629" s="51"/>
      <c r="F629" s="51"/>
      <c r="G629" s="51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</row>
    <row r="630" spans="1:18">
      <c r="A630" s="13"/>
      <c r="B630" s="13"/>
      <c r="C630" s="51"/>
      <c r="D630" s="51"/>
      <c r="E630" s="51"/>
      <c r="F630" s="51"/>
      <c r="G630" s="51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</row>
    <row r="631" spans="1:18">
      <c r="A631" s="13"/>
      <c r="B631" s="13"/>
      <c r="C631" s="51"/>
      <c r="D631" s="51"/>
      <c r="E631" s="51"/>
      <c r="F631" s="51"/>
      <c r="G631" s="51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</row>
    <row r="632" spans="1:18">
      <c r="A632" s="13"/>
      <c r="B632" s="13"/>
      <c r="C632" s="51"/>
      <c r="D632" s="51"/>
      <c r="E632" s="51"/>
      <c r="F632" s="51"/>
      <c r="G632" s="51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</row>
    <row r="633" spans="1:18">
      <c r="A633" s="13"/>
      <c r="B633" s="13"/>
      <c r="C633" s="51"/>
      <c r="D633" s="51"/>
      <c r="E633" s="51"/>
      <c r="F633" s="51"/>
      <c r="G633" s="51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</row>
    <row r="634" spans="1:18">
      <c r="A634" s="13"/>
      <c r="B634" s="13"/>
      <c r="C634" s="51"/>
      <c r="D634" s="51"/>
      <c r="E634" s="51"/>
      <c r="F634" s="51"/>
      <c r="G634" s="51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</row>
    <row r="635" spans="1:18">
      <c r="A635" s="13"/>
      <c r="B635" s="13"/>
      <c r="C635" s="51"/>
      <c r="D635" s="51"/>
      <c r="E635" s="51"/>
      <c r="F635" s="51"/>
      <c r="G635" s="51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</row>
    <row r="636" spans="1:18">
      <c r="A636" s="13"/>
      <c r="B636" s="13"/>
      <c r="C636" s="51"/>
      <c r="D636" s="51"/>
      <c r="E636" s="51"/>
      <c r="F636" s="51"/>
      <c r="G636" s="51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</row>
    <row r="637" spans="1:18">
      <c r="A637" s="13"/>
      <c r="B637" s="13"/>
      <c r="C637" s="51"/>
      <c r="D637" s="51"/>
      <c r="E637" s="51"/>
      <c r="F637" s="51"/>
      <c r="G637" s="51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</row>
    <row r="638" spans="1:18">
      <c r="A638" s="13"/>
      <c r="B638" s="13"/>
      <c r="C638" s="51"/>
      <c r="D638" s="51"/>
      <c r="E638" s="51"/>
      <c r="F638" s="51"/>
      <c r="G638" s="51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</row>
    <row r="639" spans="1:18">
      <c r="A639" s="13"/>
      <c r="B639" s="13"/>
      <c r="C639" s="51"/>
      <c r="D639" s="51"/>
      <c r="E639" s="51"/>
      <c r="F639" s="51"/>
      <c r="G639" s="51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</row>
    <row r="640" spans="1:18">
      <c r="A640" s="13"/>
      <c r="B640" s="13"/>
      <c r="C640" s="51"/>
      <c r="D640" s="51"/>
      <c r="E640" s="51"/>
      <c r="F640" s="51"/>
      <c r="G640" s="51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</row>
    <row r="641" spans="1:18">
      <c r="A641" s="13"/>
      <c r="B641" s="13"/>
      <c r="C641" s="51"/>
      <c r="D641" s="51"/>
      <c r="E641" s="51"/>
      <c r="F641" s="51"/>
      <c r="G641" s="51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</row>
    <row r="642" spans="1:18">
      <c r="A642" s="13"/>
      <c r="B642" s="13"/>
      <c r="C642" s="51"/>
      <c r="D642" s="51"/>
      <c r="E642" s="51"/>
      <c r="F642" s="51"/>
      <c r="G642" s="51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</row>
    <row r="643" spans="1:18">
      <c r="A643" s="13"/>
      <c r="B643" s="13"/>
      <c r="C643" s="51"/>
      <c r="D643" s="51"/>
      <c r="E643" s="51"/>
      <c r="F643" s="51"/>
      <c r="G643" s="51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</row>
    <row r="644" spans="1:18">
      <c r="A644" s="13"/>
      <c r="B644" s="13"/>
      <c r="C644" s="51"/>
      <c r="D644" s="51"/>
      <c r="E644" s="51"/>
      <c r="F644" s="51"/>
      <c r="G644" s="51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</row>
    <row r="645" spans="1:18">
      <c r="A645" s="13"/>
      <c r="B645" s="13"/>
      <c r="C645" s="51"/>
      <c r="D645" s="51"/>
      <c r="E645" s="51"/>
      <c r="F645" s="51"/>
      <c r="G645" s="51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</row>
    <row r="646" spans="1:18">
      <c r="A646" s="13"/>
      <c r="B646" s="13"/>
      <c r="C646" s="51"/>
      <c r="D646" s="51"/>
      <c r="E646" s="51"/>
      <c r="F646" s="51"/>
      <c r="G646" s="51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</row>
    <row r="647" spans="1:18">
      <c r="A647" s="13"/>
      <c r="B647" s="13"/>
      <c r="C647" s="51"/>
      <c r="D647" s="51"/>
      <c r="E647" s="51"/>
      <c r="F647" s="51"/>
      <c r="G647" s="51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</row>
    <row r="648" spans="1:18">
      <c r="A648" s="13"/>
      <c r="B648" s="13"/>
      <c r="C648" s="51"/>
      <c r="D648" s="51"/>
      <c r="E648" s="51"/>
      <c r="F648" s="51"/>
      <c r="G648" s="51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</row>
    <row r="649" spans="1:18">
      <c r="A649" s="13"/>
      <c r="B649" s="13"/>
      <c r="C649" s="51"/>
      <c r="D649" s="51"/>
      <c r="E649" s="51"/>
      <c r="F649" s="51"/>
      <c r="G649" s="51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</row>
    <row r="650" spans="1:18">
      <c r="A650" s="13"/>
      <c r="B650" s="13"/>
      <c r="C650" s="51"/>
      <c r="D650" s="51"/>
      <c r="E650" s="51"/>
      <c r="F650" s="51"/>
      <c r="G650" s="51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</row>
    <row r="651" spans="1:18">
      <c r="A651" s="13"/>
      <c r="B651" s="13"/>
      <c r="C651" s="51"/>
      <c r="D651" s="51"/>
      <c r="E651" s="51"/>
      <c r="F651" s="51"/>
      <c r="G651" s="51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</row>
    <row r="652" spans="1:18">
      <c r="A652" s="13"/>
      <c r="B652" s="13"/>
      <c r="C652" s="51"/>
      <c r="D652" s="51"/>
      <c r="E652" s="51"/>
      <c r="F652" s="51"/>
      <c r="G652" s="51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</row>
    <row r="653" spans="1:18">
      <c r="A653" s="13"/>
      <c r="B653" s="13"/>
      <c r="C653" s="51"/>
      <c r="D653" s="51"/>
      <c r="E653" s="51"/>
      <c r="F653" s="51"/>
      <c r="G653" s="51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</row>
    <row r="654" spans="1:18">
      <c r="A654" s="13"/>
      <c r="B654" s="13"/>
      <c r="C654" s="51"/>
      <c r="D654" s="51"/>
      <c r="E654" s="51"/>
      <c r="F654" s="51"/>
      <c r="G654" s="51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</row>
    <row r="655" spans="1:18">
      <c r="A655" s="13"/>
      <c r="B655" s="13"/>
      <c r="C655" s="51"/>
      <c r="D655" s="51"/>
      <c r="E655" s="51"/>
      <c r="F655" s="51"/>
      <c r="G655" s="51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</row>
    <row r="656" spans="1:18">
      <c r="A656" s="13"/>
      <c r="B656" s="13"/>
      <c r="C656" s="51"/>
      <c r="D656" s="51"/>
      <c r="E656" s="51"/>
      <c r="F656" s="51"/>
      <c r="G656" s="51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</row>
    <row r="657" spans="1:18">
      <c r="A657" s="13"/>
      <c r="B657" s="13"/>
      <c r="C657" s="51"/>
      <c r="D657" s="51"/>
      <c r="E657" s="51"/>
      <c r="F657" s="51"/>
      <c r="G657" s="51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</row>
    <row r="658" spans="1:18">
      <c r="A658" s="13"/>
      <c r="B658" s="13"/>
      <c r="C658" s="51"/>
      <c r="D658" s="51"/>
      <c r="E658" s="51"/>
      <c r="F658" s="51"/>
      <c r="G658" s="51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</row>
    <row r="659" spans="1:18">
      <c r="A659" s="13"/>
      <c r="B659" s="13"/>
      <c r="C659" s="51"/>
      <c r="D659" s="51"/>
      <c r="E659" s="51"/>
      <c r="F659" s="51"/>
      <c r="G659" s="51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</row>
    <row r="660" spans="1:18">
      <c r="A660" s="13"/>
      <c r="B660" s="13"/>
      <c r="C660" s="51"/>
      <c r="D660" s="51"/>
      <c r="E660" s="51"/>
      <c r="F660" s="51"/>
      <c r="G660" s="51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</row>
    <row r="661" spans="1:18">
      <c r="A661" s="13"/>
      <c r="B661" s="13"/>
      <c r="C661" s="51"/>
      <c r="D661" s="51"/>
      <c r="E661" s="51"/>
      <c r="F661" s="51"/>
      <c r="G661" s="51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</row>
    <row r="662" spans="1:18">
      <c r="A662" s="13"/>
      <c r="B662" s="13"/>
      <c r="C662" s="51"/>
      <c r="D662" s="51"/>
      <c r="E662" s="51"/>
      <c r="F662" s="51"/>
      <c r="G662" s="51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</row>
    <row r="663" spans="1:18">
      <c r="A663" s="13"/>
      <c r="B663" s="13"/>
      <c r="C663" s="51"/>
      <c r="D663" s="51"/>
      <c r="E663" s="51"/>
      <c r="F663" s="51"/>
      <c r="G663" s="51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</row>
    <row r="664" spans="1:18">
      <c r="A664" s="13"/>
      <c r="B664" s="13"/>
      <c r="C664" s="51"/>
      <c r="D664" s="51"/>
      <c r="E664" s="51"/>
      <c r="F664" s="51"/>
      <c r="G664" s="51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</row>
    <row r="665" spans="1:18">
      <c r="A665" s="13"/>
      <c r="B665" s="13"/>
      <c r="C665" s="51"/>
      <c r="D665" s="51"/>
      <c r="E665" s="51"/>
      <c r="F665" s="51"/>
      <c r="G665" s="51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</row>
    <row r="666" spans="1:18">
      <c r="A666" s="13"/>
      <c r="B666" s="13"/>
      <c r="C666" s="51"/>
      <c r="D666" s="51"/>
      <c r="E666" s="51"/>
      <c r="F666" s="51"/>
      <c r="G666" s="51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</row>
    <row r="667" spans="1:18">
      <c r="A667" s="13"/>
      <c r="B667" s="13"/>
      <c r="C667" s="51"/>
      <c r="D667" s="51"/>
      <c r="E667" s="51"/>
      <c r="F667" s="51"/>
      <c r="G667" s="51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</row>
    <row r="668" spans="1:18">
      <c r="A668" s="13"/>
      <c r="B668" s="13"/>
      <c r="C668" s="51"/>
      <c r="D668" s="51"/>
      <c r="E668" s="51"/>
      <c r="F668" s="51"/>
      <c r="G668" s="51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</row>
    <row r="669" spans="1:18">
      <c r="A669" s="13"/>
      <c r="B669" s="13"/>
      <c r="C669" s="51"/>
      <c r="D669" s="51"/>
      <c r="E669" s="51"/>
      <c r="F669" s="51"/>
      <c r="G669" s="51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</row>
    <row r="670" spans="1:18">
      <c r="A670" s="13"/>
      <c r="B670" s="13"/>
      <c r="C670" s="51"/>
      <c r="D670" s="51"/>
      <c r="E670" s="51"/>
      <c r="F670" s="51"/>
      <c r="G670" s="51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</row>
    <row r="671" spans="1:18">
      <c r="A671" s="13"/>
      <c r="B671" s="13"/>
      <c r="C671" s="51"/>
      <c r="D671" s="51"/>
      <c r="E671" s="51"/>
      <c r="F671" s="51"/>
      <c r="G671" s="51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</row>
    <row r="672" spans="1:18">
      <c r="A672" s="13"/>
      <c r="B672" s="13"/>
      <c r="C672" s="51"/>
      <c r="D672" s="51"/>
      <c r="E672" s="51"/>
      <c r="F672" s="51"/>
      <c r="G672" s="51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</row>
    <row r="673" spans="1:18">
      <c r="A673" s="13"/>
      <c r="B673" s="13"/>
      <c r="C673" s="51"/>
      <c r="D673" s="51"/>
      <c r="E673" s="51"/>
      <c r="F673" s="51"/>
      <c r="G673" s="51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</row>
    <row r="674" spans="1:18">
      <c r="A674" s="13"/>
      <c r="B674" s="13"/>
      <c r="C674" s="51"/>
      <c r="D674" s="51"/>
      <c r="E674" s="51"/>
      <c r="F674" s="51"/>
      <c r="G674" s="51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</row>
    <row r="675" spans="1:18">
      <c r="A675" s="13"/>
      <c r="B675" s="13"/>
      <c r="C675" s="51"/>
      <c r="D675" s="51"/>
      <c r="E675" s="51"/>
      <c r="F675" s="51"/>
      <c r="G675" s="51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</row>
    <row r="676" spans="1:18">
      <c r="A676" s="13"/>
      <c r="B676" s="13"/>
      <c r="C676" s="51"/>
      <c r="D676" s="51"/>
      <c r="E676" s="51"/>
      <c r="F676" s="51"/>
      <c r="G676" s="51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</row>
    <row r="677" spans="1:18">
      <c r="A677" s="13"/>
      <c r="B677" s="13"/>
      <c r="C677" s="51"/>
      <c r="D677" s="51"/>
      <c r="E677" s="51"/>
      <c r="F677" s="51"/>
      <c r="G677" s="51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</row>
    <row r="678" spans="1:18">
      <c r="A678" s="13"/>
      <c r="B678" s="13"/>
      <c r="C678" s="51"/>
      <c r="D678" s="51"/>
      <c r="E678" s="51"/>
      <c r="F678" s="51"/>
      <c r="G678" s="51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</row>
    <row r="679" spans="1:18">
      <c r="A679" s="13"/>
      <c r="B679" s="13"/>
      <c r="C679" s="51"/>
      <c r="D679" s="51"/>
      <c r="E679" s="51"/>
      <c r="F679" s="51"/>
      <c r="G679" s="51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</row>
    <row r="680" spans="1:18">
      <c r="A680" s="13"/>
      <c r="B680" s="13"/>
      <c r="C680" s="51"/>
      <c r="D680" s="51"/>
      <c r="E680" s="51"/>
      <c r="F680" s="51"/>
      <c r="G680" s="51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</row>
    <row r="681" spans="1:18">
      <c r="A681" s="13"/>
      <c r="B681" s="13"/>
      <c r="C681" s="51"/>
      <c r="D681" s="51"/>
      <c r="E681" s="51"/>
      <c r="F681" s="51"/>
      <c r="G681" s="51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</row>
    <row r="682" spans="1:18">
      <c r="A682" s="13"/>
      <c r="B682" s="13"/>
      <c r="C682" s="51"/>
      <c r="D682" s="51"/>
      <c r="E682" s="51"/>
      <c r="F682" s="51"/>
      <c r="G682" s="51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</row>
    <row r="683" spans="1:18">
      <c r="A683" s="13"/>
      <c r="B683" s="13"/>
      <c r="C683" s="51"/>
      <c r="D683" s="51"/>
      <c r="E683" s="51"/>
      <c r="F683" s="51"/>
      <c r="G683" s="51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</row>
    <row r="684" spans="1:18">
      <c r="A684" s="13"/>
      <c r="B684" s="13"/>
      <c r="C684" s="51"/>
      <c r="D684" s="51"/>
      <c r="E684" s="51"/>
      <c r="F684" s="51"/>
      <c r="G684" s="51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</row>
    <row r="685" spans="1:18">
      <c r="A685" s="13"/>
      <c r="B685" s="13"/>
      <c r="C685" s="51"/>
      <c r="D685" s="51"/>
      <c r="E685" s="51"/>
      <c r="F685" s="51"/>
      <c r="G685" s="51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</row>
    <row r="686" spans="1:18">
      <c r="A686" s="13"/>
      <c r="B686" s="13"/>
      <c r="C686" s="51"/>
      <c r="D686" s="51"/>
      <c r="E686" s="51"/>
      <c r="F686" s="51"/>
      <c r="G686" s="51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</row>
    <row r="687" spans="1:18">
      <c r="A687" s="13"/>
      <c r="B687" s="13"/>
      <c r="C687" s="51"/>
      <c r="D687" s="51"/>
      <c r="E687" s="51"/>
      <c r="F687" s="51"/>
      <c r="G687" s="51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</row>
    <row r="688" spans="1:18">
      <c r="A688" s="13"/>
      <c r="B688" s="13"/>
      <c r="C688" s="51"/>
      <c r="D688" s="51"/>
      <c r="E688" s="51"/>
      <c r="F688" s="51"/>
      <c r="G688" s="51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</row>
    <row r="689" spans="1:18">
      <c r="A689" s="13"/>
      <c r="B689" s="13"/>
      <c r="C689" s="51"/>
      <c r="D689" s="51"/>
      <c r="E689" s="51"/>
      <c r="F689" s="51"/>
      <c r="G689" s="51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</row>
    <row r="690" spans="1:18">
      <c r="A690" s="13"/>
      <c r="B690" s="13"/>
      <c r="C690" s="51"/>
      <c r="D690" s="51"/>
      <c r="E690" s="51"/>
      <c r="F690" s="51"/>
      <c r="G690" s="51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</row>
    <row r="691" spans="1:18">
      <c r="A691" s="13"/>
      <c r="B691" s="13"/>
      <c r="C691" s="51"/>
      <c r="D691" s="51"/>
      <c r="E691" s="51"/>
      <c r="F691" s="51"/>
      <c r="G691" s="51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</row>
    <row r="692" spans="1:18">
      <c r="A692" s="13"/>
      <c r="B692" s="13"/>
      <c r="C692" s="51"/>
      <c r="D692" s="51"/>
      <c r="E692" s="51"/>
      <c r="F692" s="51"/>
      <c r="G692" s="51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</row>
    <row r="693" spans="1:18">
      <c r="A693" s="13"/>
      <c r="B693" s="13"/>
      <c r="C693" s="51"/>
      <c r="D693" s="51"/>
      <c r="E693" s="51"/>
      <c r="F693" s="51"/>
      <c r="G693" s="51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</row>
    <row r="694" spans="1:18">
      <c r="A694" s="13"/>
      <c r="B694" s="13"/>
      <c r="C694" s="51"/>
      <c r="D694" s="51"/>
      <c r="E694" s="51"/>
      <c r="F694" s="51"/>
      <c r="G694" s="51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</row>
    <row r="695" spans="1:18">
      <c r="A695" s="13"/>
      <c r="B695" s="13"/>
      <c r="C695" s="51"/>
      <c r="D695" s="51"/>
      <c r="E695" s="51"/>
      <c r="F695" s="51"/>
      <c r="G695" s="51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</row>
    <row r="696" spans="1:18">
      <c r="A696" s="13"/>
      <c r="B696" s="13"/>
      <c r="C696" s="51"/>
      <c r="D696" s="51"/>
      <c r="E696" s="51"/>
      <c r="F696" s="51"/>
      <c r="G696" s="51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</row>
    <row r="697" spans="1:18">
      <c r="A697" s="13"/>
      <c r="B697" s="13"/>
      <c r="C697" s="51"/>
      <c r="D697" s="51"/>
      <c r="E697" s="51"/>
      <c r="F697" s="51"/>
      <c r="G697" s="51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</row>
    <row r="698" spans="1:18">
      <c r="A698" s="13"/>
      <c r="B698" s="13"/>
      <c r="C698" s="51"/>
      <c r="D698" s="51"/>
      <c r="E698" s="51"/>
      <c r="F698" s="51"/>
      <c r="G698" s="51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</row>
    <row r="699" spans="1:18">
      <c r="A699" s="13"/>
      <c r="B699" s="13"/>
      <c r="C699" s="51"/>
      <c r="D699" s="51"/>
      <c r="E699" s="51"/>
      <c r="F699" s="51"/>
      <c r="G699" s="51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</row>
    <row r="700" spans="1:18">
      <c r="A700" s="13"/>
      <c r="B700" s="13"/>
      <c r="C700" s="51"/>
      <c r="D700" s="51"/>
      <c r="E700" s="51"/>
      <c r="F700" s="51"/>
      <c r="G700" s="51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</row>
    <row r="701" spans="1:18">
      <c r="A701" s="13"/>
      <c r="B701" s="13"/>
      <c r="C701" s="51"/>
      <c r="D701" s="51"/>
      <c r="E701" s="51"/>
      <c r="F701" s="51"/>
      <c r="G701" s="51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</row>
    <row r="702" spans="1:18">
      <c r="A702" s="13"/>
      <c r="B702" s="13"/>
      <c r="C702" s="51"/>
      <c r="D702" s="51"/>
      <c r="E702" s="51"/>
      <c r="F702" s="51"/>
      <c r="G702" s="51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</row>
    <row r="703" spans="1:18">
      <c r="A703" s="13"/>
      <c r="B703" s="13"/>
      <c r="C703" s="51"/>
      <c r="D703" s="51"/>
      <c r="E703" s="51"/>
      <c r="F703" s="51"/>
      <c r="G703" s="51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</row>
    <row r="704" spans="1:18">
      <c r="A704" s="13"/>
      <c r="B704" s="13"/>
      <c r="C704" s="51"/>
      <c r="D704" s="51"/>
      <c r="E704" s="51"/>
      <c r="F704" s="51"/>
      <c r="G704" s="51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</row>
    <row r="705" spans="1:18">
      <c r="A705" s="13"/>
      <c r="B705" s="13"/>
      <c r="C705" s="51"/>
      <c r="D705" s="51"/>
      <c r="E705" s="51"/>
      <c r="F705" s="51"/>
      <c r="G705" s="51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</row>
    <row r="706" spans="1:18">
      <c r="A706" s="13"/>
      <c r="B706" s="13"/>
      <c r="C706" s="51"/>
      <c r="D706" s="51"/>
      <c r="E706" s="51"/>
      <c r="F706" s="51"/>
      <c r="G706" s="51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</row>
    <row r="707" spans="1:18">
      <c r="A707" s="13"/>
      <c r="B707" s="13"/>
      <c r="C707" s="51"/>
      <c r="D707" s="51"/>
      <c r="E707" s="51"/>
      <c r="F707" s="51"/>
      <c r="G707" s="51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</row>
    <row r="708" spans="1:18">
      <c r="A708" s="13"/>
      <c r="B708" s="13"/>
      <c r="C708" s="51"/>
      <c r="D708" s="51"/>
      <c r="E708" s="51"/>
      <c r="F708" s="51"/>
      <c r="G708" s="51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</row>
    <row r="709" spans="1:18">
      <c r="A709" s="13"/>
      <c r="B709" s="13"/>
      <c r="C709" s="51"/>
      <c r="D709" s="51"/>
      <c r="E709" s="51"/>
      <c r="F709" s="51"/>
      <c r="G709" s="51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</row>
    <row r="710" spans="1:18">
      <c r="A710" s="13"/>
      <c r="B710" s="13"/>
      <c r="C710" s="51"/>
      <c r="D710" s="51"/>
      <c r="E710" s="51"/>
      <c r="F710" s="51"/>
      <c r="G710" s="51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</row>
    <row r="711" spans="1:18">
      <c r="A711" s="13"/>
      <c r="B711" s="13"/>
      <c r="C711" s="51"/>
      <c r="D711" s="51"/>
      <c r="E711" s="51"/>
      <c r="F711" s="51"/>
      <c r="G711" s="51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</row>
    <row r="712" spans="1:18">
      <c r="A712" s="13"/>
      <c r="B712" s="13"/>
      <c r="C712" s="51"/>
      <c r="D712" s="51"/>
      <c r="E712" s="51"/>
      <c r="F712" s="51"/>
      <c r="G712" s="51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</row>
    <row r="713" spans="1:18">
      <c r="A713" s="13"/>
      <c r="B713" s="13"/>
      <c r="C713" s="51"/>
      <c r="D713" s="51"/>
      <c r="E713" s="51"/>
      <c r="F713" s="51"/>
      <c r="G713" s="51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</row>
    <row r="714" spans="1:18">
      <c r="A714" s="13"/>
      <c r="B714" s="13"/>
      <c r="C714" s="51"/>
      <c r="D714" s="51"/>
      <c r="E714" s="51"/>
      <c r="F714" s="51"/>
      <c r="G714" s="51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</row>
    <row r="715" spans="1:18">
      <c r="A715" s="13"/>
      <c r="B715" s="13"/>
      <c r="C715" s="51"/>
      <c r="D715" s="51"/>
      <c r="E715" s="51"/>
      <c r="F715" s="51"/>
      <c r="G715" s="51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</row>
    <row r="716" spans="1:18">
      <c r="A716" s="13"/>
      <c r="B716" s="13"/>
      <c r="C716" s="51"/>
      <c r="D716" s="51"/>
      <c r="E716" s="51"/>
      <c r="F716" s="51"/>
      <c r="G716" s="51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</row>
    <row r="717" spans="1:18">
      <c r="A717" s="13"/>
      <c r="B717" s="13"/>
      <c r="C717" s="51"/>
      <c r="D717" s="51"/>
      <c r="E717" s="51"/>
      <c r="F717" s="51"/>
      <c r="G717" s="51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</row>
    <row r="718" spans="1:18">
      <c r="A718" s="13"/>
      <c r="B718" s="13"/>
      <c r="C718" s="51"/>
      <c r="D718" s="51"/>
      <c r="E718" s="51"/>
      <c r="F718" s="51"/>
      <c r="G718" s="51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</row>
    <row r="719" spans="1:18">
      <c r="A719" s="13"/>
      <c r="B719" s="13"/>
      <c r="C719" s="51"/>
      <c r="D719" s="51"/>
      <c r="E719" s="51"/>
      <c r="F719" s="51"/>
      <c r="G719" s="51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</row>
    <row r="720" spans="1:18">
      <c r="A720" s="13"/>
      <c r="B720" s="13"/>
      <c r="C720" s="51"/>
      <c r="D720" s="51"/>
      <c r="E720" s="51"/>
      <c r="F720" s="51"/>
      <c r="G720" s="51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</row>
    <row r="721" spans="1:18">
      <c r="A721" s="13"/>
      <c r="B721" s="13"/>
      <c r="C721" s="51"/>
      <c r="D721" s="51"/>
      <c r="E721" s="51"/>
      <c r="F721" s="51"/>
      <c r="G721" s="51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</row>
    <row r="722" spans="1:18">
      <c r="A722" s="13"/>
      <c r="B722" s="13"/>
      <c r="C722" s="51"/>
      <c r="D722" s="51"/>
      <c r="E722" s="51"/>
      <c r="F722" s="51"/>
      <c r="G722" s="51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</row>
    <row r="723" spans="1:18">
      <c r="A723" s="13"/>
      <c r="B723" s="13"/>
      <c r="C723" s="51"/>
      <c r="D723" s="51"/>
      <c r="E723" s="51"/>
      <c r="F723" s="51"/>
      <c r="G723" s="51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</row>
    <row r="724" spans="1:18">
      <c r="A724" s="13"/>
      <c r="B724" s="13"/>
      <c r="C724" s="51"/>
      <c r="D724" s="51"/>
      <c r="E724" s="51"/>
      <c r="F724" s="51"/>
      <c r="G724" s="51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</row>
    <row r="725" spans="1:18">
      <c r="A725" s="13"/>
      <c r="B725" s="13"/>
      <c r="C725" s="51"/>
      <c r="D725" s="51"/>
      <c r="E725" s="51"/>
      <c r="F725" s="51"/>
      <c r="G725" s="51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</row>
    <row r="726" spans="1:18">
      <c r="A726" s="13"/>
      <c r="B726" s="13"/>
      <c r="C726" s="51"/>
      <c r="D726" s="51"/>
      <c r="E726" s="51"/>
      <c r="F726" s="51"/>
      <c r="G726" s="51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</row>
    <row r="727" spans="1:18">
      <c r="A727" s="13"/>
      <c r="B727" s="13"/>
      <c r="C727" s="51"/>
      <c r="D727" s="51"/>
      <c r="E727" s="51"/>
      <c r="F727" s="51"/>
      <c r="G727" s="51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</row>
    <row r="728" spans="1:18">
      <c r="A728" s="13"/>
      <c r="B728" s="13"/>
      <c r="C728" s="51"/>
      <c r="D728" s="51"/>
      <c r="E728" s="51"/>
      <c r="F728" s="51"/>
      <c r="G728" s="51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</row>
    <row r="729" spans="1:18">
      <c r="A729" s="13"/>
      <c r="B729" s="13"/>
      <c r="C729" s="51"/>
      <c r="D729" s="51"/>
      <c r="E729" s="51"/>
      <c r="F729" s="51"/>
      <c r="G729" s="51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</row>
    <row r="730" spans="1:18">
      <c r="A730" s="13"/>
      <c r="B730" s="13"/>
      <c r="C730" s="51"/>
      <c r="D730" s="51"/>
      <c r="E730" s="51"/>
      <c r="F730" s="51"/>
      <c r="G730" s="51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</row>
    <row r="731" spans="1:18">
      <c r="A731" s="13"/>
      <c r="B731" s="13"/>
      <c r="C731" s="51"/>
      <c r="D731" s="51"/>
      <c r="E731" s="51"/>
      <c r="F731" s="51"/>
      <c r="G731" s="51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</row>
    <row r="732" spans="1:18">
      <c r="A732" s="13"/>
      <c r="B732" s="13"/>
      <c r="C732" s="51"/>
      <c r="D732" s="51"/>
      <c r="E732" s="51"/>
      <c r="F732" s="51"/>
      <c r="G732" s="51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</row>
    <row r="733" spans="1:18">
      <c r="A733" s="13"/>
      <c r="B733" s="13"/>
      <c r="C733" s="51"/>
      <c r="D733" s="51"/>
      <c r="E733" s="51"/>
      <c r="F733" s="51"/>
      <c r="G733" s="51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</row>
    <row r="734" spans="1:18">
      <c r="A734" s="13"/>
      <c r="B734" s="13"/>
      <c r="C734" s="51"/>
      <c r="D734" s="51"/>
      <c r="E734" s="51"/>
      <c r="F734" s="51"/>
      <c r="G734" s="51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</row>
    <row r="735" spans="1:18">
      <c r="A735" s="13"/>
      <c r="B735" s="13"/>
      <c r="C735" s="51"/>
      <c r="D735" s="51"/>
      <c r="E735" s="51"/>
      <c r="F735" s="51"/>
      <c r="G735" s="51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</row>
    <row r="736" spans="1:18">
      <c r="A736" s="13"/>
      <c r="B736" s="13"/>
      <c r="C736" s="51"/>
      <c r="D736" s="51"/>
      <c r="E736" s="51"/>
      <c r="F736" s="51"/>
      <c r="G736" s="51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</row>
    <row r="737" spans="1:18">
      <c r="A737" s="13"/>
      <c r="B737" s="13"/>
      <c r="C737" s="51"/>
      <c r="D737" s="51"/>
      <c r="E737" s="51"/>
      <c r="F737" s="51"/>
      <c r="G737" s="51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</row>
    <row r="738" spans="1:18">
      <c r="A738" s="13"/>
      <c r="B738" s="13"/>
      <c r="C738" s="51"/>
      <c r="D738" s="51"/>
      <c r="E738" s="51"/>
      <c r="F738" s="51"/>
      <c r="G738" s="51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</row>
    <row r="739" spans="1:18">
      <c r="A739" s="13"/>
      <c r="B739" s="13"/>
      <c r="C739" s="51"/>
      <c r="D739" s="51"/>
      <c r="E739" s="51"/>
      <c r="F739" s="51"/>
      <c r="G739" s="51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</row>
    <row r="740" spans="1:18">
      <c r="A740" s="13"/>
      <c r="B740" s="13"/>
      <c r="C740" s="51"/>
      <c r="D740" s="51"/>
      <c r="E740" s="51"/>
      <c r="F740" s="51"/>
      <c r="G740" s="51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</row>
    <row r="741" spans="1:18">
      <c r="A741" s="13"/>
      <c r="B741" s="13"/>
      <c r="C741" s="51"/>
      <c r="D741" s="51"/>
      <c r="E741" s="51"/>
      <c r="F741" s="51"/>
      <c r="G741" s="51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</row>
    <row r="742" spans="1:18">
      <c r="A742" s="13"/>
      <c r="B742" s="13"/>
      <c r="C742" s="51"/>
      <c r="D742" s="51"/>
      <c r="E742" s="51"/>
      <c r="F742" s="51"/>
      <c r="G742" s="51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</row>
    <row r="743" spans="1:18">
      <c r="A743" s="13"/>
      <c r="B743" s="13"/>
      <c r="C743" s="51"/>
      <c r="D743" s="51"/>
      <c r="E743" s="51"/>
      <c r="F743" s="51"/>
      <c r="G743" s="51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</row>
    <row r="744" spans="1:18">
      <c r="A744" s="13"/>
      <c r="B744" s="13"/>
      <c r="C744" s="51"/>
      <c r="D744" s="51"/>
      <c r="E744" s="51"/>
      <c r="F744" s="51"/>
      <c r="G744" s="51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</row>
    <row r="745" spans="1:18">
      <c r="A745" s="13"/>
      <c r="B745" s="13"/>
      <c r="C745" s="51"/>
      <c r="D745" s="51"/>
      <c r="E745" s="51"/>
      <c r="F745" s="51"/>
      <c r="G745" s="51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</row>
    <row r="746" spans="1:18">
      <c r="A746" s="13"/>
      <c r="B746" s="13"/>
      <c r="C746" s="51"/>
      <c r="D746" s="51"/>
      <c r="E746" s="51"/>
      <c r="F746" s="51"/>
      <c r="G746" s="51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</row>
    <row r="747" spans="1:18">
      <c r="A747" s="13"/>
      <c r="B747" s="13"/>
      <c r="C747" s="51"/>
      <c r="D747" s="51"/>
      <c r="E747" s="51"/>
      <c r="F747" s="51"/>
      <c r="G747" s="51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</row>
    <row r="748" spans="1:18">
      <c r="A748" s="13"/>
      <c r="B748" s="13"/>
      <c r="C748" s="51"/>
      <c r="D748" s="51"/>
      <c r="E748" s="51"/>
      <c r="F748" s="51"/>
      <c r="G748" s="51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</row>
    <row r="749" spans="1:18">
      <c r="A749" s="13"/>
      <c r="B749" s="13"/>
      <c r="C749" s="51"/>
      <c r="D749" s="51"/>
      <c r="E749" s="51"/>
      <c r="F749" s="51"/>
      <c r="G749" s="51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</row>
    <row r="750" spans="1:18">
      <c r="A750" s="13"/>
      <c r="B750" s="13"/>
      <c r="C750" s="51"/>
      <c r="D750" s="51"/>
      <c r="E750" s="51"/>
      <c r="F750" s="51"/>
      <c r="G750" s="51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</row>
    <row r="751" spans="1:18">
      <c r="A751" s="13"/>
      <c r="B751" s="13"/>
      <c r="C751" s="51"/>
      <c r="D751" s="51"/>
      <c r="E751" s="51"/>
      <c r="F751" s="51"/>
      <c r="G751" s="51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</row>
    <row r="752" spans="1:18">
      <c r="A752" s="13"/>
      <c r="B752" s="13"/>
      <c r="C752" s="51"/>
      <c r="D752" s="51"/>
      <c r="E752" s="51"/>
      <c r="F752" s="51"/>
      <c r="G752" s="51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</row>
    <row r="753" spans="1:18">
      <c r="A753" s="13"/>
      <c r="B753" s="13"/>
      <c r="C753" s="51"/>
      <c r="D753" s="51"/>
      <c r="E753" s="51"/>
      <c r="F753" s="51"/>
      <c r="G753" s="51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</row>
    <row r="754" spans="1:18">
      <c r="A754" s="13"/>
      <c r="B754" s="13"/>
      <c r="C754" s="51"/>
      <c r="D754" s="51"/>
      <c r="E754" s="51"/>
      <c r="F754" s="51"/>
      <c r="G754" s="51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</row>
    <row r="755" spans="1:18">
      <c r="A755" s="13"/>
      <c r="B755" s="13"/>
      <c r="C755" s="51"/>
      <c r="D755" s="51"/>
      <c r="E755" s="51"/>
      <c r="F755" s="51"/>
      <c r="G755" s="51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</row>
    <row r="756" spans="1:18">
      <c r="A756" s="13"/>
      <c r="B756" s="13"/>
      <c r="C756" s="51"/>
      <c r="D756" s="51"/>
      <c r="E756" s="51"/>
      <c r="F756" s="51"/>
      <c r="G756" s="51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</row>
    <row r="757" spans="1:18">
      <c r="A757" s="13"/>
      <c r="B757" s="13"/>
      <c r="C757" s="51"/>
      <c r="D757" s="51"/>
      <c r="E757" s="51"/>
      <c r="F757" s="51"/>
      <c r="G757" s="51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</row>
    <row r="758" spans="1:18">
      <c r="A758" s="13"/>
      <c r="B758" s="13"/>
      <c r="C758" s="51"/>
      <c r="D758" s="51"/>
      <c r="E758" s="51"/>
      <c r="F758" s="51"/>
      <c r="G758" s="51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</row>
    <row r="759" spans="1:18">
      <c r="A759" s="13"/>
      <c r="B759" s="13"/>
      <c r="C759" s="51"/>
      <c r="D759" s="51"/>
      <c r="E759" s="51"/>
      <c r="F759" s="51"/>
      <c r="G759" s="51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</row>
    <row r="760" spans="1:18">
      <c r="A760" s="13"/>
      <c r="B760" s="13"/>
      <c r="C760" s="51"/>
      <c r="D760" s="51"/>
      <c r="E760" s="51"/>
      <c r="F760" s="51"/>
      <c r="G760" s="51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</row>
    <row r="761" spans="1:18">
      <c r="A761" s="13"/>
      <c r="B761" s="13"/>
      <c r="C761" s="51"/>
      <c r="D761" s="51"/>
      <c r="E761" s="51"/>
      <c r="F761" s="51"/>
      <c r="G761" s="51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</row>
    <row r="762" spans="1:18">
      <c r="A762" s="13"/>
      <c r="B762" s="13"/>
      <c r="C762" s="51"/>
      <c r="D762" s="51"/>
      <c r="E762" s="51"/>
      <c r="F762" s="51"/>
      <c r="G762" s="51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</row>
    <row r="763" spans="1:18">
      <c r="A763" s="13"/>
      <c r="B763" s="13"/>
      <c r="C763" s="51"/>
      <c r="D763" s="51"/>
      <c r="E763" s="51"/>
      <c r="F763" s="51"/>
      <c r="G763" s="51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</row>
    <row r="764" spans="1:18">
      <c r="A764" s="13"/>
      <c r="B764" s="13"/>
      <c r="C764" s="51"/>
      <c r="D764" s="51"/>
      <c r="E764" s="51"/>
      <c r="F764" s="51"/>
      <c r="G764" s="51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</row>
    <row r="765" spans="1:18">
      <c r="A765" s="13"/>
      <c r="B765" s="13"/>
      <c r="C765" s="51"/>
      <c r="D765" s="51"/>
      <c r="E765" s="51"/>
      <c r="F765" s="51"/>
      <c r="G765" s="51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</row>
    <row r="766" spans="1:18">
      <c r="A766" s="13"/>
      <c r="B766" s="13"/>
      <c r="C766" s="51"/>
      <c r="D766" s="51"/>
      <c r="E766" s="51"/>
      <c r="F766" s="51"/>
      <c r="G766" s="51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</row>
    <row r="767" spans="1:18">
      <c r="A767" s="13"/>
      <c r="B767" s="13"/>
      <c r="C767" s="51"/>
      <c r="D767" s="51"/>
      <c r="E767" s="51"/>
      <c r="F767" s="51"/>
      <c r="G767" s="51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</row>
    <row r="768" spans="1:18">
      <c r="A768" s="13"/>
      <c r="B768" s="13"/>
      <c r="C768" s="51"/>
      <c r="D768" s="51"/>
      <c r="E768" s="51"/>
      <c r="F768" s="51"/>
      <c r="G768" s="51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</row>
    <row r="769" spans="1:18">
      <c r="A769" s="13"/>
      <c r="B769" s="13"/>
      <c r="C769" s="51"/>
      <c r="D769" s="51"/>
      <c r="E769" s="51"/>
      <c r="F769" s="51"/>
      <c r="G769" s="51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</row>
    <row r="770" spans="1:18">
      <c r="A770" s="13"/>
      <c r="B770" s="13"/>
      <c r="C770" s="51"/>
      <c r="D770" s="51"/>
      <c r="E770" s="51"/>
      <c r="F770" s="51"/>
      <c r="G770" s="51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</row>
    <row r="771" spans="1:18">
      <c r="A771" s="13"/>
      <c r="B771" s="13"/>
      <c r="C771" s="51"/>
      <c r="D771" s="51"/>
      <c r="E771" s="51"/>
      <c r="F771" s="51"/>
      <c r="G771" s="51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</row>
    <row r="772" spans="1:18">
      <c r="A772" s="13"/>
      <c r="B772" s="13"/>
      <c r="C772" s="51"/>
      <c r="D772" s="51"/>
      <c r="E772" s="51"/>
      <c r="F772" s="51"/>
      <c r="G772" s="51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</row>
    <row r="773" spans="1:18">
      <c r="A773" s="13"/>
      <c r="B773" s="13"/>
      <c r="C773" s="51"/>
      <c r="D773" s="51"/>
      <c r="E773" s="51"/>
      <c r="F773" s="51"/>
      <c r="G773" s="51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</row>
    <row r="774" spans="1:18">
      <c r="A774" s="13"/>
      <c r="B774" s="13"/>
      <c r="C774" s="51"/>
      <c r="D774" s="51"/>
      <c r="E774" s="51"/>
      <c r="F774" s="51"/>
      <c r="G774" s="51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</row>
    <row r="775" spans="1:18">
      <c r="A775" s="13"/>
      <c r="B775" s="13"/>
      <c r="C775" s="51"/>
      <c r="D775" s="51"/>
      <c r="E775" s="51"/>
      <c r="F775" s="51"/>
      <c r="G775" s="51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</row>
    <row r="776" spans="1:18">
      <c r="A776" s="13"/>
      <c r="B776" s="13"/>
      <c r="C776" s="51"/>
      <c r="D776" s="51"/>
      <c r="E776" s="51"/>
      <c r="F776" s="51"/>
      <c r="G776" s="51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</row>
    <row r="777" spans="1:18">
      <c r="A777" s="13"/>
      <c r="B777" s="13"/>
      <c r="C777" s="51"/>
      <c r="D777" s="51"/>
      <c r="E777" s="51"/>
      <c r="F777" s="51"/>
      <c r="G777" s="51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</row>
    <row r="778" spans="1:18">
      <c r="A778" s="13"/>
      <c r="B778" s="13"/>
      <c r="C778" s="51"/>
      <c r="D778" s="51"/>
      <c r="E778" s="51"/>
      <c r="F778" s="51"/>
      <c r="G778" s="51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</row>
    <row r="779" spans="1:18">
      <c r="A779" s="13"/>
      <c r="B779" s="13"/>
      <c r="C779" s="51"/>
      <c r="D779" s="51"/>
      <c r="E779" s="51"/>
      <c r="F779" s="51"/>
      <c r="G779" s="51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</row>
    <row r="780" spans="1:18">
      <c r="A780" s="13"/>
      <c r="B780" s="13"/>
      <c r="C780" s="51"/>
      <c r="D780" s="51"/>
      <c r="E780" s="51"/>
      <c r="F780" s="51"/>
      <c r="G780" s="51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</row>
    <row r="781" spans="1:18">
      <c r="A781" s="13"/>
      <c r="B781" s="13"/>
      <c r="C781" s="51"/>
      <c r="D781" s="51"/>
      <c r="E781" s="51"/>
      <c r="F781" s="51"/>
      <c r="G781" s="51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</row>
    <row r="782" spans="1:18">
      <c r="A782" s="13"/>
      <c r="B782" s="13"/>
      <c r="C782" s="51"/>
      <c r="D782" s="51"/>
      <c r="E782" s="51"/>
      <c r="F782" s="51"/>
      <c r="G782" s="51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</row>
    <row r="783" spans="1:18">
      <c r="A783" s="13"/>
      <c r="B783" s="13"/>
      <c r="C783" s="51"/>
      <c r="D783" s="51"/>
      <c r="E783" s="51"/>
      <c r="F783" s="51"/>
      <c r="G783" s="51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</row>
    <row r="784" spans="1:18">
      <c r="A784" s="13"/>
      <c r="B784" s="13"/>
      <c r="C784" s="51"/>
      <c r="D784" s="51"/>
      <c r="E784" s="51"/>
      <c r="F784" s="51"/>
      <c r="G784" s="51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</row>
    <row r="785" spans="1:18">
      <c r="A785" s="13"/>
      <c r="B785" s="13"/>
      <c r="C785" s="51"/>
      <c r="D785" s="51"/>
      <c r="E785" s="51"/>
      <c r="F785" s="51"/>
      <c r="G785" s="51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</row>
    <row r="786" spans="1:18">
      <c r="A786" s="13"/>
      <c r="B786" s="13"/>
      <c r="C786" s="51"/>
      <c r="D786" s="51"/>
      <c r="E786" s="51"/>
      <c r="F786" s="51"/>
      <c r="G786" s="51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</row>
    <row r="787" spans="1:18">
      <c r="A787" s="13"/>
      <c r="B787" s="13"/>
      <c r="C787" s="51"/>
      <c r="D787" s="51"/>
      <c r="E787" s="51"/>
      <c r="F787" s="51"/>
      <c r="G787" s="51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</row>
    <row r="788" spans="1:18">
      <c r="A788" s="13"/>
      <c r="B788" s="13"/>
      <c r="C788" s="51"/>
      <c r="D788" s="51"/>
      <c r="E788" s="51"/>
      <c r="F788" s="51"/>
      <c r="G788" s="51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</row>
    <row r="789" spans="1:18">
      <c r="A789" s="13"/>
      <c r="B789" s="13"/>
      <c r="C789" s="51"/>
      <c r="D789" s="51"/>
      <c r="E789" s="51"/>
      <c r="F789" s="51"/>
      <c r="G789" s="51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</row>
    <row r="790" spans="1:18">
      <c r="A790" s="13"/>
      <c r="B790" s="13"/>
      <c r="C790" s="51"/>
      <c r="D790" s="51"/>
      <c r="E790" s="51"/>
      <c r="F790" s="51"/>
      <c r="G790" s="51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</row>
    <row r="791" spans="1:18">
      <c r="A791" s="13"/>
      <c r="B791" s="13"/>
      <c r="C791" s="51"/>
      <c r="D791" s="51"/>
      <c r="E791" s="51"/>
      <c r="F791" s="51"/>
      <c r="G791" s="51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</row>
    <row r="792" spans="1:18">
      <c r="A792" s="13"/>
      <c r="B792" s="13"/>
      <c r="C792" s="51"/>
      <c r="D792" s="51"/>
      <c r="E792" s="51"/>
      <c r="F792" s="51"/>
      <c r="G792" s="51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</row>
    <row r="793" spans="1:18">
      <c r="A793" s="13"/>
      <c r="B793" s="13"/>
      <c r="C793" s="51"/>
      <c r="D793" s="51"/>
      <c r="E793" s="51"/>
      <c r="F793" s="51"/>
      <c r="G793" s="51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</row>
    <row r="794" spans="1:18">
      <c r="A794" s="13"/>
      <c r="B794" s="13"/>
      <c r="C794" s="51"/>
      <c r="D794" s="51"/>
      <c r="E794" s="51"/>
      <c r="F794" s="51"/>
      <c r="G794" s="51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</row>
    <row r="795" spans="1:18">
      <c r="A795" s="13"/>
      <c r="B795" s="13"/>
      <c r="C795" s="51"/>
      <c r="D795" s="51"/>
      <c r="E795" s="51"/>
      <c r="F795" s="51"/>
      <c r="G795" s="51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</row>
    <row r="796" spans="1:18">
      <c r="A796" s="13"/>
      <c r="B796" s="13"/>
      <c r="C796" s="51"/>
      <c r="D796" s="51"/>
      <c r="E796" s="51"/>
      <c r="F796" s="51"/>
      <c r="G796" s="51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</row>
    <row r="797" spans="1:18">
      <c r="A797" s="13"/>
      <c r="B797" s="13"/>
      <c r="C797" s="51"/>
      <c r="D797" s="51"/>
      <c r="E797" s="51"/>
      <c r="F797" s="51"/>
      <c r="G797" s="51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</row>
    <row r="798" spans="1:18">
      <c r="A798" s="13"/>
      <c r="B798" s="13"/>
      <c r="C798" s="51"/>
      <c r="D798" s="51"/>
      <c r="E798" s="51"/>
      <c r="F798" s="51"/>
      <c r="G798" s="51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</row>
    <row r="799" spans="1:18">
      <c r="A799" s="13"/>
      <c r="B799" s="13"/>
      <c r="C799" s="51"/>
      <c r="D799" s="51"/>
      <c r="E799" s="51"/>
      <c r="F799" s="51"/>
      <c r="G799" s="51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</row>
    <row r="800" spans="1:18">
      <c r="A800" s="13"/>
      <c r="B800" s="13"/>
      <c r="C800" s="51"/>
      <c r="D800" s="51"/>
      <c r="E800" s="51"/>
      <c r="F800" s="51"/>
      <c r="G800" s="51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</row>
    <row r="801" spans="1:18">
      <c r="A801" s="13"/>
      <c r="B801" s="13"/>
      <c r="C801" s="51"/>
      <c r="D801" s="51"/>
      <c r="E801" s="51"/>
      <c r="F801" s="51"/>
      <c r="G801" s="51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</row>
    <row r="802" spans="1:18">
      <c r="A802" s="13"/>
      <c r="B802" s="13"/>
      <c r="C802" s="51"/>
      <c r="D802" s="51"/>
      <c r="E802" s="51"/>
      <c r="F802" s="51"/>
      <c r="G802" s="51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</row>
    <row r="803" spans="1:18">
      <c r="A803" s="13"/>
      <c r="B803" s="13"/>
      <c r="C803" s="51"/>
      <c r="D803" s="51"/>
      <c r="E803" s="51"/>
      <c r="F803" s="51"/>
      <c r="G803" s="51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</row>
    <row r="804" spans="1:18">
      <c r="A804" s="13"/>
      <c r="B804" s="13"/>
      <c r="C804" s="51"/>
      <c r="D804" s="51"/>
      <c r="E804" s="51"/>
      <c r="F804" s="51"/>
      <c r="G804" s="51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</row>
    <row r="805" spans="1:18">
      <c r="A805" s="13"/>
      <c r="B805" s="13"/>
      <c r="C805" s="51"/>
      <c r="D805" s="51"/>
      <c r="E805" s="51"/>
      <c r="F805" s="51"/>
      <c r="G805" s="51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</row>
    <row r="806" spans="1:18">
      <c r="A806" s="13"/>
      <c r="B806" s="13"/>
      <c r="C806" s="51"/>
      <c r="D806" s="51"/>
      <c r="E806" s="51"/>
      <c r="F806" s="51"/>
      <c r="G806" s="51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</row>
    <row r="807" spans="1:18">
      <c r="A807" s="13"/>
      <c r="B807" s="13"/>
      <c r="C807" s="51"/>
      <c r="D807" s="51"/>
      <c r="E807" s="51"/>
      <c r="F807" s="51"/>
      <c r="G807" s="51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</row>
    <row r="808" spans="1:18">
      <c r="A808" s="13"/>
      <c r="B808" s="13"/>
      <c r="C808" s="51"/>
      <c r="D808" s="51"/>
      <c r="E808" s="51"/>
      <c r="F808" s="51"/>
      <c r="G808" s="51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</row>
    <row r="809" spans="1:18">
      <c r="A809" s="13"/>
      <c r="B809" s="13"/>
      <c r="C809" s="51"/>
      <c r="D809" s="51"/>
      <c r="E809" s="51"/>
      <c r="F809" s="51"/>
      <c r="G809" s="51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</row>
    <row r="810" spans="1:18">
      <c r="A810" s="13"/>
      <c r="B810" s="13"/>
      <c r="C810" s="51"/>
      <c r="D810" s="51"/>
      <c r="E810" s="51"/>
      <c r="F810" s="51"/>
      <c r="G810" s="51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</row>
    <row r="811" spans="1:18">
      <c r="A811" s="13"/>
      <c r="B811" s="13"/>
      <c r="C811" s="51"/>
      <c r="D811" s="51"/>
      <c r="E811" s="51"/>
      <c r="F811" s="51"/>
      <c r="G811" s="51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</row>
    <row r="812" spans="1:18">
      <c r="A812" s="13"/>
      <c r="B812" s="13"/>
      <c r="C812" s="51"/>
      <c r="D812" s="51"/>
      <c r="E812" s="51"/>
      <c r="F812" s="51"/>
      <c r="G812" s="51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</row>
    <row r="813" spans="1:18">
      <c r="A813" s="13"/>
      <c r="B813" s="13"/>
      <c r="C813" s="51"/>
      <c r="D813" s="51"/>
      <c r="E813" s="51"/>
      <c r="F813" s="51"/>
      <c r="G813" s="51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</row>
    <row r="814" spans="1:18">
      <c r="A814" s="13"/>
      <c r="B814" s="13"/>
      <c r="C814" s="51"/>
      <c r="D814" s="51"/>
      <c r="E814" s="51"/>
      <c r="F814" s="51"/>
      <c r="G814" s="51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</row>
    <row r="815" spans="1:18">
      <c r="A815" s="13"/>
      <c r="B815" s="13"/>
      <c r="C815" s="51"/>
      <c r="D815" s="51"/>
      <c r="E815" s="51"/>
      <c r="F815" s="51"/>
      <c r="G815" s="51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</row>
    <row r="816" spans="1:18">
      <c r="A816" s="13"/>
      <c r="B816" s="13"/>
      <c r="C816" s="51"/>
      <c r="D816" s="51"/>
      <c r="E816" s="51"/>
      <c r="F816" s="51"/>
      <c r="G816" s="51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</row>
    <row r="817" spans="1:18">
      <c r="A817" s="13"/>
      <c r="B817" s="13"/>
      <c r="C817" s="51"/>
      <c r="D817" s="51"/>
      <c r="E817" s="51"/>
      <c r="F817" s="51"/>
      <c r="G817" s="51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</row>
    <row r="818" spans="1:18">
      <c r="A818" s="13"/>
      <c r="B818" s="13"/>
      <c r="C818" s="51"/>
      <c r="D818" s="51"/>
      <c r="E818" s="51"/>
      <c r="F818" s="51"/>
      <c r="G818" s="51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</row>
    <row r="819" spans="1:18">
      <c r="A819" s="13"/>
      <c r="B819" s="13"/>
      <c r="C819" s="51"/>
      <c r="D819" s="51"/>
      <c r="E819" s="51"/>
      <c r="F819" s="51"/>
      <c r="G819" s="51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</row>
    <row r="820" spans="1:18">
      <c r="A820" s="13"/>
      <c r="B820" s="13"/>
      <c r="C820" s="51"/>
      <c r="D820" s="51"/>
      <c r="E820" s="51"/>
      <c r="F820" s="51"/>
      <c r="G820" s="51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</row>
    <row r="821" spans="1:18">
      <c r="A821" s="13"/>
      <c r="B821" s="13"/>
      <c r="C821" s="51"/>
      <c r="D821" s="51"/>
      <c r="E821" s="51"/>
      <c r="F821" s="51"/>
      <c r="G821" s="51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</row>
    <row r="822" spans="1:18">
      <c r="A822" s="13"/>
      <c r="B822" s="13"/>
      <c r="C822" s="51"/>
      <c r="D822" s="51"/>
      <c r="E822" s="51"/>
      <c r="F822" s="51"/>
      <c r="G822" s="51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</row>
    <row r="823" spans="1:18">
      <c r="A823" s="13"/>
      <c r="B823" s="13"/>
      <c r="C823" s="51"/>
      <c r="D823" s="51"/>
      <c r="E823" s="51"/>
      <c r="F823" s="51"/>
      <c r="G823" s="51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</row>
    <row r="824" spans="1:18">
      <c r="A824" s="13"/>
      <c r="B824" s="13"/>
      <c r="C824" s="51"/>
      <c r="D824" s="51"/>
      <c r="E824" s="51"/>
      <c r="F824" s="51"/>
      <c r="G824" s="51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</row>
    <row r="825" spans="1:18">
      <c r="A825" s="13"/>
      <c r="B825" s="13"/>
      <c r="C825" s="51"/>
      <c r="D825" s="51"/>
      <c r="E825" s="51"/>
      <c r="F825" s="51"/>
      <c r="G825" s="51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</row>
    <row r="826" spans="1:18">
      <c r="A826" s="13"/>
      <c r="B826" s="13"/>
      <c r="C826" s="51"/>
      <c r="D826" s="51"/>
      <c r="E826" s="51"/>
      <c r="F826" s="51"/>
      <c r="G826" s="51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</row>
    <row r="827" spans="1:18">
      <c r="A827" s="13"/>
      <c r="B827" s="13"/>
      <c r="C827" s="51"/>
      <c r="D827" s="51"/>
      <c r="E827" s="51"/>
      <c r="F827" s="51"/>
      <c r="G827" s="51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</row>
    <row r="828" spans="1:18">
      <c r="A828" s="13"/>
      <c r="B828" s="13"/>
      <c r="C828" s="51"/>
      <c r="D828" s="51"/>
      <c r="E828" s="51"/>
      <c r="F828" s="51"/>
      <c r="G828" s="51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</row>
    <row r="829" spans="1:18">
      <c r="A829" s="13"/>
      <c r="B829" s="13"/>
      <c r="C829" s="51"/>
      <c r="D829" s="51"/>
      <c r="E829" s="51"/>
      <c r="F829" s="51"/>
      <c r="G829" s="51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</row>
    <row r="830" spans="1:18">
      <c r="A830" s="13"/>
      <c r="B830" s="13"/>
      <c r="C830" s="51"/>
      <c r="D830" s="51"/>
      <c r="E830" s="51"/>
      <c r="F830" s="51"/>
      <c r="G830" s="51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</row>
    <row r="831" spans="1:18">
      <c r="A831" s="13"/>
      <c r="B831" s="13"/>
      <c r="C831" s="51"/>
      <c r="D831" s="51"/>
      <c r="E831" s="51"/>
      <c r="F831" s="51"/>
      <c r="G831" s="51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</row>
    <row r="832" spans="1:18">
      <c r="A832" s="13"/>
      <c r="B832" s="13"/>
      <c r="C832" s="51"/>
      <c r="D832" s="51"/>
      <c r="E832" s="51"/>
      <c r="F832" s="51"/>
      <c r="G832" s="51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</row>
    <row r="833" spans="1:18">
      <c r="A833" s="13"/>
      <c r="B833" s="13"/>
      <c r="C833" s="51"/>
      <c r="D833" s="51"/>
      <c r="E833" s="51"/>
      <c r="F833" s="51"/>
      <c r="G833" s="51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</row>
    <row r="834" spans="1:18">
      <c r="A834" s="13"/>
      <c r="B834" s="13"/>
      <c r="C834" s="51"/>
      <c r="D834" s="51"/>
      <c r="E834" s="51"/>
      <c r="F834" s="51"/>
      <c r="G834" s="51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</row>
    <row r="835" spans="1:18">
      <c r="A835" s="13"/>
      <c r="B835" s="13"/>
      <c r="C835" s="51"/>
      <c r="D835" s="51"/>
      <c r="E835" s="51"/>
      <c r="F835" s="51"/>
      <c r="G835" s="51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</row>
    <row r="836" spans="1:18">
      <c r="A836" s="13"/>
      <c r="B836" s="13"/>
      <c r="C836" s="51"/>
      <c r="D836" s="51"/>
      <c r="E836" s="51"/>
      <c r="F836" s="51"/>
      <c r="G836" s="51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</row>
    <row r="837" spans="1:18">
      <c r="A837" s="13"/>
      <c r="B837" s="13"/>
      <c r="C837" s="51"/>
      <c r="D837" s="51"/>
      <c r="E837" s="51"/>
      <c r="F837" s="51"/>
      <c r="G837" s="51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</row>
    <row r="838" spans="1:18">
      <c r="A838" s="13"/>
      <c r="B838" s="13"/>
      <c r="C838" s="51"/>
      <c r="D838" s="51"/>
      <c r="E838" s="51"/>
      <c r="F838" s="51"/>
      <c r="G838" s="51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</row>
    <row r="839" spans="1:18">
      <c r="A839" s="13"/>
      <c r="B839" s="13"/>
      <c r="C839" s="51"/>
      <c r="D839" s="51"/>
      <c r="E839" s="51"/>
      <c r="F839" s="51"/>
      <c r="G839" s="51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</row>
    <row r="840" spans="1:18">
      <c r="A840" s="13"/>
      <c r="B840" s="13"/>
      <c r="C840" s="51"/>
      <c r="D840" s="51"/>
      <c r="E840" s="51"/>
      <c r="F840" s="51"/>
      <c r="G840" s="51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</row>
    <row r="841" spans="1:18">
      <c r="A841" s="13"/>
      <c r="B841" s="13"/>
      <c r="C841" s="51"/>
      <c r="D841" s="51"/>
      <c r="E841" s="51"/>
      <c r="F841" s="51"/>
      <c r="G841" s="51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</row>
    <row r="842" spans="1:18">
      <c r="A842" s="13"/>
      <c r="B842" s="13"/>
      <c r="C842" s="51"/>
      <c r="D842" s="51"/>
      <c r="E842" s="51"/>
      <c r="F842" s="51"/>
      <c r="G842" s="51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</row>
    <row r="843" spans="1:18">
      <c r="A843" s="13"/>
      <c r="B843" s="13"/>
      <c r="C843" s="51"/>
      <c r="D843" s="51"/>
      <c r="E843" s="51"/>
      <c r="F843" s="51"/>
      <c r="G843" s="51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</row>
    <row r="844" spans="1:18">
      <c r="A844" s="13"/>
      <c r="B844" s="13"/>
      <c r="C844" s="51"/>
      <c r="D844" s="51"/>
      <c r="E844" s="51"/>
      <c r="F844" s="51"/>
      <c r="G844" s="51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</row>
    <row r="845" spans="1:18">
      <c r="A845" s="13"/>
      <c r="B845" s="13"/>
      <c r="C845" s="51"/>
      <c r="D845" s="51"/>
      <c r="E845" s="51"/>
      <c r="F845" s="51"/>
      <c r="G845" s="51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</row>
    <row r="846" spans="1:18">
      <c r="A846" s="13"/>
      <c r="B846" s="13"/>
      <c r="C846" s="51"/>
      <c r="D846" s="51"/>
      <c r="E846" s="51"/>
      <c r="F846" s="51"/>
      <c r="G846" s="51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</row>
    <row r="847" spans="1:18">
      <c r="A847" s="13"/>
      <c r="B847" s="13"/>
      <c r="C847" s="51"/>
      <c r="D847" s="51"/>
      <c r="E847" s="51"/>
      <c r="F847" s="51"/>
      <c r="G847" s="51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</row>
    <row r="848" spans="1:18">
      <c r="A848" s="13"/>
      <c r="B848" s="13"/>
      <c r="C848" s="51"/>
      <c r="D848" s="51"/>
      <c r="E848" s="51"/>
      <c r="F848" s="51"/>
      <c r="G848" s="51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</row>
    <row r="849" spans="1:18">
      <c r="A849" s="13"/>
      <c r="B849" s="13"/>
      <c r="C849" s="51"/>
      <c r="D849" s="51"/>
      <c r="E849" s="51"/>
      <c r="F849" s="51"/>
      <c r="G849" s="51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</row>
    <row r="850" spans="1:18">
      <c r="A850" s="13"/>
      <c r="B850" s="13"/>
      <c r="C850" s="51"/>
      <c r="D850" s="51"/>
      <c r="E850" s="51"/>
      <c r="F850" s="51"/>
      <c r="G850" s="51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</row>
    <row r="851" spans="1:18">
      <c r="A851" s="13"/>
      <c r="B851" s="13"/>
      <c r="C851" s="51"/>
      <c r="D851" s="51"/>
      <c r="E851" s="51"/>
      <c r="F851" s="51"/>
      <c r="G851" s="51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</row>
    <row r="852" spans="1:18">
      <c r="A852" s="13"/>
      <c r="B852" s="13"/>
      <c r="C852" s="51"/>
      <c r="D852" s="51"/>
      <c r="E852" s="51"/>
      <c r="F852" s="51"/>
      <c r="G852" s="51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</row>
    <row r="853" spans="1:18">
      <c r="A853" s="13"/>
      <c r="B853" s="13"/>
      <c r="C853" s="51"/>
      <c r="D853" s="51"/>
      <c r="E853" s="51"/>
      <c r="F853" s="51"/>
      <c r="G853" s="51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</row>
    <row r="854" spans="1:18">
      <c r="A854" s="13"/>
      <c r="B854" s="13"/>
      <c r="C854" s="51"/>
      <c r="D854" s="51"/>
      <c r="E854" s="51"/>
      <c r="F854" s="51"/>
      <c r="G854" s="51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</row>
    <row r="855" spans="1:18">
      <c r="A855" s="13"/>
      <c r="B855" s="13"/>
      <c r="C855" s="51"/>
      <c r="D855" s="51"/>
      <c r="E855" s="51"/>
      <c r="F855" s="51"/>
      <c r="G855" s="51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</row>
    <row r="856" spans="1:18">
      <c r="A856" s="13"/>
      <c r="B856" s="13"/>
      <c r="C856" s="51"/>
      <c r="D856" s="51"/>
      <c r="E856" s="51"/>
      <c r="F856" s="51"/>
      <c r="G856" s="51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</row>
    <row r="857" spans="1:18">
      <c r="A857" s="13"/>
      <c r="B857" s="13"/>
      <c r="C857" s="51"/>
      <c r="D857" s="51"/>
      <c r="E857" s="51"/>
      <c r="F857" s="51"/>
      <c r="G857" s="51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</row>
    <row r="858" spans="1:18">
      <c r="A858" s="13"/>
      <c r="B858" s="13"/>
      <c r="C858" s="51"/>
      <c r="D858" s="51"/>
      <c r="E858" s="51"/>
      <c r="F858" s="51"/>
      <c r="G858" s="51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</row>
    <row r="859" spans="1:18">
      <c r="A859" s="13"/>
      <c r="B859" s="13"/>
      <c r="C859" s="51"/>
      <c r="D859" s="51"/>
      <c r="E859" s="51"/>
      <c r="F859" s="51"/>
      <c r="G859" s="51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</row>
    <row r="860" spans="1:18">
      <c r="A860" s="13"/>
      <c r="B860" s="13"/>
      <c r="C860" s="51"/>
      <c r="D860" s="51"/>
      <c r="E860" s="51"/>
      <c r="F860" s="51"/>
      <c r="G860" s="51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</row>
    <row r="861" spans="1:18">
      <c r="A861" s="13"/>
      <c r="B861" s="13"/>
      <c r="C861" s="51"/>
      <c r="D861" s="51"/>
      <c r="E861" s="51"/>
      <c r="F861" s="51"/>
      <c r="G861" s="51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</row>
    <row r="862" spans="1:18">
      <c r="A862" s="13"/>
      <c r="B862" s="13"/>
      <c r="C862" s="51"/>
      <c r="D862" s="51"/>
      <c r="E862" s="51"/>
      <c r="F862" s="51"/>
      <c r="G862" s="51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</row>
    <row r="863" spans="1:18">
      <c r="A863" s="13"/>
      <c r="B863" s="13"/>
      <c r="C863" s="51"/>
      <c r="D863" s="51"/>
      <c r="E863" s="51"/>
      <c r="F863" s="51"/>
      <c r="G863" s="51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</row>
    <row r="864" spans="1:18">
      <c r="A864" s="13"/>
      <c r="B864" s="13"/>
      <c r="C864" s="51"/>
      <c r="D864" s="51"/>
      <c r="E864" s="51"/>
      <c r="F864" s="51"/>
      <c r="G864" s="51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</row>
    <row r="865" spans="1:18">
      <c r="A865" s="13"/>
      <c r="B865" s="13"/>
      <c r="C865" s="51"/>
      <c r="D865" s="51"/>
      <c r="E865" s="51"/>
      <c r="F865" s="51"/>
      <c r="G865" s="51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</row>
    <row r="866" spans="1:18">
      <c r="A866" s="13"/>
      <c r="B866" s="13"/>
      <c r="C866" s="51"/>
      <c r="D866" s="51"/>
      <c r="E866" s="51"/>
      <c r="F866" s="51"/>
      <c r="G866" s="51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</row>
    <row r="867" spans="1:18">
      <c r="A867" s="13"/>
      <c r="B867" s="13"/>
      <c r="C867" s="51"/>
      <c r="D867" s="51"/>
      <c r="E867" s="51"/>
      <c r="F867" s="51"/>
      <c r="G867" s="51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</row>
    <row r="868" spans="1:18">
      <c r="A868" s="13"/>
      <c r="B868" s="13"/>
      <c r="C868" s="51"/>
      <c r="D868" s="51"/>
      <c r="E868" s="51"/>
      <c r="F868" s="51"/>
      <c r="G868" s="51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</row>
    <row r="869" spans="1:18">
      <c r="A869" s="13"/>
      <c r="B869" s="13"/>
      <c r="C869" s="51"/>
      <c r="D869" s="51"/>
      <c r="E869" s="51"/>
      <c r="F869" s="51"/>
      <c r="G869" s="51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</row>
    <row r="870" spans="1:18">
      <c r="A870" s="13"/>
      <c r="B870" s="13"/>
      <c r="C870" s="51"/>
      <c r="D870" s="51"/>
      <c r="E870" s="51"/>
      <c r="F870" s="51"/>
      <c r="G870" s="51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</row>
    <row r="871" spans="1:18">
      <c r="A871" s="13"/>
      <c r="B871" s="13"/>
      <c r="C871" s="51"/>
      <c r="D871" s="51"/>
      <c r="E871" s="51"/>
      <c r="F871" s="51"/>
      <c r="G871" s="51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</row>
    <row r="872" spans="1:18">
      <c r="A872" s="13"/>
      <c r="B872" s="13"/>
      <c r="C872" s="51"/>
      <c r="D872" s="51"/>
      <c r="E872" s="51"/>
      <c r="F872" s="51"/>
      <c r="G872" s="51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</row>
    <row r="873" spans="1:18">
      <c r="A873" s="13"/>
      <c r="B873" s="13"/>
      <c r="C873" s="51"/>
      <c r="D873" s="51"/>
      <c r="E873" s="51"/>
      <c r="F873" s="51"/>
      <c r="G873" s="51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</row>
    <row r="874" spans="1:18">
      <c r="A874" s="13"/>
      <c r="B874" s="13"/>
      <c r="C874" s="51"/>
      <c r="D874" s="51"/>
      <c r="E874" s="51"/>
      <c r="F874" s="51"/>
      <c r="G874" s="51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</row>
    <row r="875" spans="1:18">
      <c r="A875" s="13"/>
      <c r="B875" s="13"/>
      <c r="C875" s="51"/>
      <c r="D875" s="51"/>
      <c r="E875" s="51"/>
      <c r="F875" s="51"/>
      <c r="G875" s="51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</row>
    <row r="876" spans="1:18">
      <c r="A876" s="13"/>
      <c r="B876" s="13"/>
      <c r="C876" s="51"/>
      <c r="D876" s="51"/>
      <c r="E876" s="51"/>
      <c r="F876" s="51"/>
      <c r="G876" s="51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</row>
    <row r="877" spans="1:18">
      <c r="A877" s="13"/>
      <c r="B877" s="13"/>
      <c r="C877" s="51"/>
      <c r="D877" s="51"/>
      <c r="E877" s="51"/>
      <c r="F877" s="51"/>
      <c r="G877" s="51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</row>
    <row r="878" spans="1:18">
      <c r="A878" s="13"/>
      <c r="B878" s="13"/>
      <c r="C878" s="51"/>
      <c r="D878" s="51"/>
      <c r="E878" s="51"/>
      <c r="F878" s="51"/>
      <c r="G878" s="51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</row>
    <row r="879" spans="1:18">
      <c r="A879" s="13"/>
      <c r="B879" s="13"/>
      <c r="C879" s="51"/>
      <c r="D879" s="51"/>
      <c r="E879" s="51"/>
      <c r="F879" s="51"/>
      <c r="G879" s="51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</row>
    <row r="880" spans="1:18">
      <c r="A880" s="13"/>
      <c r="B880" s="13"/>
      <c r="C880" s="51"/>
      <c r="D880" s="51"/>
      <c r="E880" s="51"/>
      <c r="F880" s="51"/>
      <c r="G880" s="51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</row>
    <row r="881" spans="1:18">
      <c r="A881" s="13"/>
      <c r="B881" s="13"/>
      <c r="C881" s="51"/>
      <c r="D881" s="51"/>
      <c r="E881" s="51"/>
      <c r="F881" s="51"/>
      <c r="G881" s="51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</row>
    <row r="882" spans="1:18">
      <c r="A882" s="13"/>
      <c r="B882" s="13"/>
      <c r="C882" s="51"/>
      <c r="D882" s="51"/>
      <c r="E882" s="51"/>
      <c r="F882" s="51"/>
      <c r="G882" s="51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</row>
    <row r="883" spans="1:18">
      <c r="A883" s="13"/>
      <c r="B883" s="13"/>
      <c r="C883" s="51"/>
      <c r="D883" s="51"/>
      <c r="E883" s="51"/>
      <c r="F883" s="51"/>
      <c r="G883" s="51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</row>
    <row r="884" spans="1:18">
      <c r="A884" s="13"/>
      <c r="B884" s="13"/>
      <c r="C884" s="51"/>
      <c r="D884" s="51"/>
      <c r="E884" s="51"/>
      <c r="F884" s="51"/>
      <c r="G884" s="51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</row>
    <row r="885" spans="1:18">
      <c r="A885" s="13"/>
      <c r="B885" s="13"/>
      <c r="C885" s="51"/>
      <c r="D885" s="51"/>
      <c r="E885" s="51"/>
      <c r="F885" s="51"/>
      <c r="G885" s="51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</row>
    <row r="886" spans="1:18">
      <c r="A886" s="13"/>
      <c r="B886" s="13"/>
      <c r="C886" s="51"/>
      <c r="D886" s="51"/>
      <c r="E886" s="51"/>
      <c r="F886" s="51"/>
      <c r="G886" s="51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</row>
    <row r="887" spans="1:18">
      <c r="A887" s="13"/>
      <c r="B887" s="13"/>
      <c r="C887" s="51"/>
      <c r="D887" s="51"/>
      <c r="E887" s="51"/>
      <c r="F887" s="51"/>
      <c r="G887" s="51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</row>
    <row r="888" spans="1:18">
      <c r="A888" s="13"/>
      <c r="B888" s="13"/>
      <c r="C888" s="51"/>
      <c r="D888" s="51"/>
      <c r="E888" s="51"/>
      <c r="F888" s="51"/>
      <c r="G888" s="51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</row>
    <row r="889" spans="1:18">
      <c r="A889" s="13"/>
      <c r="B889" s="13"/>
      <c r="C889" s="51"/>
      <c r="D889" s="51"/>
      <c r="E889" s="51"/>
      <c r="F889" s="51"/>
      <c r="G889" s="51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</row>
    <row r="890" spans="1:18">
      <c r="A890" s="13"/>
      <c r="B890" s="13"/>
      <c r="C890" s="51"/>
      <c r="D890" s="51"/>
      <c r="E890" s="51"/>
      <c r="F890" s="51"/>
      <c r="G890" s="51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</row>
    <row r="891" spans="1:18">
      <c r="A891" s="13"/>
      <c r="B891" s="13"/>
      <c r="C891" s="51"/>
      <c r="D891" s="51"/>
      <c r="E891" s="51"/>
      <c r="F891" s="51"/>
      <c r="G891" s="51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</row>
    <row r="892" spans="1:18">
      <c r="A892" s="13"/>
      <c r="B892" s="13"/>
      <c r="C892" s="51"/>
      <c r="D892" s="51"/>
      <c r="E892" s="51"/>
      <c r="F892" s="51"/>
      <c r="G892" s="51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</row>
    <row r="893" spans="1:18">
      <c r="A893" s="13"/>
      <c r="B893" s="13"/>
      <c r="C893" s="51"/>
      <c r="D893" s="51"/>
      <c r="E893" s="51"/>
      <c r="F893" s="51"/>
      <c r="G893" s="51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</row>
    <row r="894" spans="1:18">
      <c r="A894" s="13"/>
      <c r="B894" s="13"/>
      <c r="C894" s="51"/>
      <c r="D894" s="51"/>
      <c r="E894" s="51"/>
      <c r="F894" s="51"/>
      <c r="G894" s="51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</row>
    <row r="895" spans="1:18">
      <c r="A895" s="13"/>
      <c r="B895" s="13"/>
      <c r="C895" s="51"/>
      <c r="D895" s="51"/>
      <c r="E895" s="51"/>
      <c r="F895" s="51"/>
      <c r="G895" s="51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</row>
    <row r="896" spans="1:18">
      <c r="A896" s="13"/>
      <c r="B896" s="13"/>
      <c r="C896" s="51"/>
      <c r="D896" s="51"/>
      <c r="E896" s="51"/>
      <c r="F896" s="51"/>
      <c r="G896" s="51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</row>
    <row r="897" spans="1:18">
      <c r="A897" s="13"/>
      <c r="B897" s="13"/>
      <c r="C897" s="51"/>
      <c r="D897" s="51"/>
      <c r="E897" s="51"/>
      <c r="F897" s="51"/>
      <c r="G897" s="51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</row>
    <row r="898" spans="1:18">
      <c r="A898" s="13"/>
      <c r="B898" s="13"/>
      <c r="C898" s="51"/>
      <c r="D898" s="51"/>
      <c r="E898" s="51"/>
      <c r="F898" s="51"/>
      <c r="G898" s="51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</row>
    <row r="899" spans="1:18">
      <c r="A899" s="13"/>
      <c r="B899" s="13"/>
      <c r="C899" s="51"/>
      <c r="D899" s="51"/>
      <c r="E899" s="51"/>
      <c r="F899" s="51"/>
      <c r="G899" s="51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</row>
    <row r="900" spans="1:18">
      <c r="A900" s="13"/>
      <c r="B900" s="13"/>
      <c r="C900" s="51"/>
      <c r="D900" s="51"/>
      <c r="E900" s="51"/>
      <c r="F900" s="51"/>
      <c r="G900" s="51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</row>
    <row r="901" spans="1:18">
      <c r="A901" s="13"/>
      <c r="B901" s="13"/>
      <c r="C901" s="51"/>
      <c r="D901" s="51"/>
      <c r="E901" s="51"/>
      <c r="F901" s="51"/>
      <c r="G901" s="51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</row>
    <row r="902" spans="1:18">
      <c r="A902" s="13"/>
      <c r="B902" s="13"/>
      <c r="C902" s="51"/>
      <c r="D902" s="51"/>
      <c r="E902" s="51"/>
      <c r="F902" s="51"/>
      <c r="G902" s="51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</row>
    <row r="903" spans="1:18">
      <c r="A903" s="13"/>
      <c r="B903" s="13"/>
      <c r="C903" s="51"/>
      <c r="D903" s="51"/>
      <c r="E903" s="51"/>
      <c r="F903" s="51"/>
      <c r="G903" s="51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</row>
    <row r="904" spans="1:18">
      <c r="A904" s="13"/>
      <c r="B904" s="13"/>
      <c r="C904" s="51"/>
      <c r="D904" s="51"/>
      <c r="E904" s="51"/>
      <c r="F904" s="51"/>
      <c r="G904" s="51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</row>
    <row r="905" spans="1:18">
      <c r="A905" s="13"/>
      <c r="B905" s="13"/>
      <c r="C905" s="51"/>
      <c r="D905" s="51"/>
      <c r="E905" s="51"/>
      <c r="F905" s="51"/>
      <c r="G905" s="51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</row>
    <row r="906" spans="1:18">
      <c r="A906" s="13"/>
      <c r="B906" s="13"/>
      <c r="C906" s="51"/>
      <c r="D906" s="51"/>
      <c r="E906" s="51"/>
      <c r="F906" s="51"/>
      <c r="G906" s="51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</row>
    <row r="907" spans="1:18">
      <c r="A907" s="13"/>
      <c r="B907" s="13"/>
      <c r="C907" s="51"/>
      <c r="D907" s="51"/>
      <c r="E907" s="51"/>
      <c r="F907" s="51"/>
      <c r="G907" s="51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</row>
    <row r="908" spans="1:18">
      <c r="A908" s="13"/>
      <c r="B908" s="13"/>
      <c r="C908" s="51"/>
      <c r="D908" s="51"/>
      <c r="E908" s="51"/>
      <c r="F908" s="51"/>
      <c r="G908" s="51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</row>
    <row r="909" spans="1:18">
      <c r="A909" s="13"/>
      <c r="B909" s="13"/>
      <c r="C909" s="51"/>
      <c r="D909" s="51"/>
      <c r="E909" s="51"/>
      <c r="F909" s="51"/>
      <c r="G909" s="51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</row>
    <row r="910" spans="1:18">
      <c r="A910" s="13"/>
      <c r="B910" s="13"/>
      <c r="C910" s="51"/>
      <c r="D910" s="51"/>
      <c r="E910" s="51"/>
      <c r="F910" s="51"/>
      <c r="G910" s="51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</row>
    <row r="911" spans="1:18">
      <c r="A911" s="13"/>
      <c r="B911" s="13"/>
      <c r="C911" s="51"/>
      <c r="D911" s="51"/>
      <c r="E911" s="51"/>
      <c r="F911" s="51"/>
      <c r="G911" s="51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</row>
    <row r="912" spans="1:18">
      <c r="A912" s="13"/>
      <c r="B912" s="13"/>
      <c r="C912" s="51"/>
      <c r="D912" s="51"/>
      <c r="E912" s="51"/>
      <c r="F912" s="51"/>
      <c r="G912" s="51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</row>
    <row r="913" spans="1:18">
      <c r="A913" s="13"/>
      <c r="B913" s="13"/>
      <c r="C913" s="51"/>
      <c r="D913" s="51"/>
      <c r="E913" s="51"/>
      <c r="F913" s="51"/>
      <c r="G913" s="51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</row>
    <row r="914" spans="1:18">
      <c r="A914" s="13"/>
      <c r="B914" s="13"/>
      <c r="C914" s="51"/>
      <c r="D914" s="51"/>
      <c r="E914" s="51"/>
      <c r="F914" s="51"/>
      <c r="G914" s="51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</row>
    <row r="915" spans="1:18">
      <c r="A915" s="13"/>
      <c r="B915" s="13"/>
      <c r="C915" s="51"/>
      <c r="D915" s="51"/>
      <c r="E915" s="51"/>
      <c r="F915" s="51"/>
      <c r="G915" s="51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</row>
    <row r="916" spans="1:18">
      <c r="A916" s="13"/>
      <c r="B916" s="13"/>
      <c r="C916" s="51"/>
      <c r="D916" s="51"/>
      <c r="E916" s="51"/>
      <c r="F916" s="51"/>
      <c r="G916" s="51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</row>
    <row r="917" spans="1:18">
      <c r="A917" s="13"/>
      <c r="B917" s="13"/>
      <c r="C917" s="51"/>
      <c r="D917" s="51"/>
      <c r="E917" s="51"/>
      <c r="F917" s="51"/>
      <c r="G917" s="51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</row>
    <row r="918" spans="1:18">
      <c r="A918" s="13"/>
      <c r="B918" s="13"/>
      <c r="C918" s="51"/>
      <c r="D918" s="51"/>
      <c r="E918" s="51"/>
      <c r="F918" s="51"/>
      <c r="G918" s="51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</row>
    <row r="919" spans="1:18">
      <c r="A919" s="13"/>
      <c r="B919" s="13"/>
      <c r="C919" s="51"/>
      <c r="D919" s="51"/>
      <c r="E919" s="51"/>
      <c r="F919" s="51"/>
      <c r="G919" s="51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</row>
    <row r="920" spans="1:18">
      <c r="A920" s="13"/>
      <c r="B920" s="13"/>
      <c r="C920" s="51"/>
      <c r="D920" s="51"/>
      <c r="E920" s="51"/>
      <c r="F920" s="51"/>
      <c r="G920" s="51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</row>
    <row r="921" spans="1:18">
      <c r="A921" s="13"/>
      <c r="B921" s="13"/>
      <c r="C921" s="51"/>
      <c r="D921" s="51"/>
      <c r="E921" s="51"/>
      <c r="F921" s="51"/>
      <c r="G921" s="51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</row>
    <row r="922" spans="1:18">
      <c r="A922" s="13"/>
      <c r="B922" s="13"/>
      <c r="C922" s="51"/>
      <c r="D922" s="51"/>
      <c r="E922" s="51"/>
      <c r="F922" s="51"/>
      <c r="G922" s="51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</row>
    <row r="923" spans="1:18">
      <c r="A923" s="13"/>
      <c r="B923" s="13"/>
      <c r="C923" s="51"/>
      <c r="D923" s="51"/>
      <c r="E923" s="51"/>
      <c r="F923" s="51"/>
      <c r="G923" s="51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</row>
    <row r="924" spans="1:18">
      <c r="A924" s="13"/>
      <c r="B924" s="13"/>
      <c r="C924" s="51"/>
      <c r="D924" s="51"/>
      <c r="E924" s="51"/>
      <c r="F924" s="51"/>
      <c r="G924" s="51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</row>
    <row r="925" spans="1:18">
      <c r="A925" s="13"/>
      <c r="B925" s="13"/>
      <c r="C925" s="51"/>
      <c r="D925" s="51"/>
      <c r="E925" s="51"/>
      <c r="F925" s="51"/>
      <c r="G925" s="51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</row>
    <row r="926" spans="1:18">
      <c r="A926" s="13"/>
      <c r="B926" s="13"/>
      <c r="C926" s="51"/>
      <c r="D926" s="51"/>
      <c r="E926" s="51"/>
      <c r="F926" s="51"/>
      <c r="G926" s="51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</row>
    <row r="927" spans="1:18">
      <c r="A927" s="13"/>
      <c r="B927" s="13"/>
      <c r="C927" s="51"/>
      <c r="D927" s="51"/>
      <c r="E927" s="51"/>
      <c r="F927" s="51"/>
      <c r="G927" s="51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</row>
    <row r="928" spans="1:18">
      <c r="A928" s="13"/>
      <c r="B928" s="13"/>
      <c r="C928" s="51"/>
      <c r="D928" s="51"/>
      <c r="E928" s="51"/>
      <c r="F928" s="51"/>
      <c r="G928" s="51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</row>
    <row r="929" spans="1:18">
      <c r="A929" s="13"/>
      <c r="B929" s="13"/>
      <c r="C929" s="51"/>
      <c r="D929" s="51"/>
      <c r="E929" s="51"/>
      <c r="F929" s="51"/>
      <c r="G929" s="51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</row>
    <row r="930" spans="1:18">
      <c r="A930" s="13"/>
      <c r="B930" s="13"/>
      <c r="C930" s="51"/>
      <c r="D930" s="51"/>
      <c r="E930" s="51"/>
      <c r="F930" s="51"/>
      <c r="G930" s="51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</row>
    <row r="931" spans="1:18">
      <c r="A931" s="13"/>
      <c r="B931" s="13"/>
      <c r="C931" s="51"/>
      <c r="D931" s="51"/>
      <c r="E931" s="51"/>
      <c r="F931" s="51"/>
      <c r="G931" s="51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</row>
    <row r="932" spans="1:18">
      <c r="A932" s="13"/>
      <c r="B932" s="13"/>
      <c r="C932" s="51"/>
      <c r="D932" s="51"/>
      <c r="E932" s="51"/>
      <c r="F932" s="51"/>
      <c r="G932" s="51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</row>
    <row r="933" spans="1:18">
      <c r="A933" s="13"/>
      <c r="B933" s="13"/>
      <c r="C933" s="51"/>
      <c r="D933" s="51"/>
      <c r="E933" s="51"/>
      <c r="F933" s="51"/>
      <c r="G933" s="51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</row>
    <row r="934" spans="1:18">
      <c r="A934" s="13"/>
      <c r="B934" s="13"/>
      <c r="C934" s="51"/>
      <c r="D934" s="51"/>
      <c r="E934" s="51"/>
      <c r="F934" s="51"/>
      <c r="G934" s="51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</row>
    <row r="935" spans="1:18">
      <c r="A935" s="13"/>
      <c r="B935" s="13"/>
      <c r="C935" s="51"/>
      <c r="D935" s="51"/>
      <c r="E935" s="51"/>
      <c r="F935" s="51"/>
      <c r="G935" s="51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</row>
    <row r="936" spans="1:18">
      <c r="A936" s="13"/>
      <c r="B936" s="13"/>
      <c r="C936" s="51"/>
      <c r="D936" s="51"/>
      <c r="E936" s="51"/>
      <c r="F936" s="51"/>
      <c r="G936" s="51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</row>
  </sheetData>
  <mergeCells count="24">
    <mergeCell ref="C23:G23"/>
    <mergeCell ref="C24:G24"/>
    <mergeCell ref="C25:G25"/>
    <mergeCell ref="C27:G27"/>
    <mergeCell ref="C28:G28"/>
    <mergeCell ref="C29:G29"/>
    <mergeCell ref="C30:G30"/>
    <mergeCell ref="C14:G14"/>
    <mergeCell ref="C15:G15"/>
    <mergeCell ref="A21:A22"/>
    <mergeCell ref="A23:A24"/>
    <mergeCell ref="A25:A28"/>
    <mergeCell ref="C16:G16"/>
    <mergeCell ref="C17:G17"/>
    <mergeCell ref="C18:G18"/>
    <mergeCell ref="C19:G19"/>
    <mergeCell ref="C20:G20"/>
    <mergeCell ref="C21:G21"/>
    <mergeCell ref="C22:G22"/>
    <mergeCell ref="C4:G4"/>
    <mergeCell ref="C5:G5"/>
    <mergeCell ref="C6:G6"/>
    <mergeCell ref="C7:G7"/>
    <mergeCell ref="C13:G13"/>
  </mergeCells>
  <dataValidations count="1">
    <dataValidation type="list" allowBlank="1" showErrorMessage="1" sqref="A35 A38 A40 A44:A47">
      <formula1>#REF!</formula1>
    </dataValidation>
  </dataValidations>
  <printOptions gridLines="1"/>
  <pageMargins left="0.31496062992125984" right="0.31496062992125984" top="0.74803149606299213" bottom="0.74803149606299213" header="0" footer="0"/>
  <pageSetup paperSize="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ErrorMessage="1">
          <x14:formula1>
            <xm:f>[1]Hoja3!#REF!</xm:f>
          </x14:formula1>
          <xm:sqref>C14</xm:sqref>
        </x14:dataValidation>
        <x14:dataValidation type="list" allowBlank="1" showErrorMessage="1">
          <x14:formula1>
            <xm:f>[1]Hoja3!#REF!</xm:f>
          </x14:formula1>
          <xm:sqref>C20</xm:sqref>
        </x14:dataValidation>
        <x14:dataValidation type="list" allowBlank="1" showErrorMessage="1">
          <x14:formula1>
            <xm:f>[1]Hoja3!#REF!</xm:f>
          </x14:formula1>
          <xm:sqref>C15</xm:sqref>
        </x14:dataValidation>
        <x14:dataValidation type="list" allowBlank="1" showErrorMessage="1">
          <x14:formula1>
            <xm:f>[1]Hoja3!#REF!</xm:f>
          </x14:formula1>
          <xm:sqref>C18</xm:sqref>
        </x14:dataValidation>
        <x14:dataValidation type="list" allowBlank="1" showErrorMessage="1">
          <x14:formula1>
            <xm:f>[1]Hoja3!#REF!</xm:f>
          </x14:formula1>
          <xm:sqref>C17</xm:sqref>
        </x14:dataValidation>
        <x14:dataValidation type="list" allowBlank="1" showErrorMessage="1">
          <x14:formula1>
            <xm:f>[1]Hoja3!#REF!</xm:f>
          </x14:formula1>
          <xm:sqref>C16</xm:sqref>
        </x14:dataValidation>
        <x14:dataValidation type="list" allowBlank="1" showErrorMessage="1">
          <x14:formula1>
            <xm:f>[1]Hoja3!#REF!</xm:f>
          </x14:formula1>
          <xm:sqref>C21</xm:sqref>
        </x14:dataValidation>
        <x14:dataValidation type="list" allowBlank="1" showErrorMessage="1">
          <x14:formula1>
            <xm:f>[1]Hoja3!#REF!</xm:f>
          </x14:formula1>
          <xm:sqref>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baseColWidth="10" defaultColWidth="12.5703125" defaultRowHeight="15.75" customHeight="1"/>
  <sheetData>
    <row r="1" spans="1:26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/>
      <c r="B2" s="52" t="s">
        <v>183</v>
      </c>
      <c r="C2" s="53" t="s">
        <v>184</v>
      </c>
      <c r="D2" s="53" t="s">
        <v>185</v>
      </c>
      <c r="E2" s="52" t="s">
        <v>186</v>
      </c>
      <c r="F2" s="52" t="s">
        <v>187</v>
      </c>
      <c r="G2" s="54" t="s">
        <v>188</v>
      </c>
      <c r="H2" s="54" t="s">
        <v>189</v>
      </c>
      <c r="I2" s="54" t="s">
        <v>190</v>
      </c>
      <c r="J2" s="54" t="s">
        <v>191</v>
      </c>
      <c r="K2" s="54" t="s">
        <v>192</v>
      </c>
      <c r="L2" s="54" t="s">
        <v>193</v>
      </c>
      <c r="M2" s="54" t="s">
        <v>194</v>
      </c>
      <c r="N2" s="55" t="s">
        <v>195</v>
      </c>
      <c r="O2" s="54" t="s">
        <v>196</v>
      </c>
      <c r="P2" s="54" t="s">
        <v>197</v>
      </c>
      <c r="Q2" s="54" t="s">
        <v>198</v>
      </c>
      <c r="R2" s="56" t="s">
        <v>199</v>
      </c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"/>
      <c r="B3" s="57" t="s">
        <v>200</v>
      </c>
      <c r="C3" s="58" t="s">
        <v>6</v>
      </c>
      <c r="D3" s="98" t="s">
        <v>201</v>
      </c>
      <c r="E3" s="59" t="s">
        <v>202</v>
      </c>
      <c r="F3" s="57" t="s">
        <v>203</v>
      </c>
      <c r="G3" s="59" t="s">
        <v>204</v>
      </c>
      <c r="H3" s="59" t="s">
        <v>205</v>
      </c>
      <c r="I3" s="60" t="s">
        <v>206</v>
      </c>
      <c r="J3" s="61" t="s">
        <v>207</v>
      </c>
      <c r="K3" s="61" t="s">
        <v>208</v>
      </c>
      <c r="L3" s="61" t="s">
        <v>209</v>
      </c>
      <c r="M3" s="61" t="s">
        <v>210</v>
      </c>
      <c r="N3" s="62" t="s">
        <v>211</v>
      </c>
      <c r="O3" s="60" t="s">
        <v>212</v>
      </c>
      <c r="P3" s="60" t="s">
        <v>213</v>
      </c>
      <c r="Q3" s="59" t="s">
        <v>214</v>
      </c>
      <c r="R3" s="63" t="s">
        <v>215</v>
      </c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3"/>
      <c r="B4" s="57" t="s">
        <v>216</v>
      </c>
      <c r="C4" s="64" t="s">
        <v>217</v>
      </c>
      <c r="D4" s="83"/>
      <c r="E4" s="59" t="s">
        <v>13</v>
      </c>
      <c r="F4" s="57" t="s">
        <v>218</v>
      </c>
      <c r="G4" s="59" t="s">
        <v>219</v>
      </c>
      <c r="H4" s="59" t="s">
        <v>20</v>
      </c>
      <c r="I4" s="60" t="s">
        <v>220</v>
      </c>
      <c r="J4" s="61" t="s">
        <v>221</v>
      </c>
      <c r="K4" s="61" t="s">
        <v>222</v>
      </c>
      <c r="L4" s="61" t="s">
        <v>223</v>
      </c>
      <c r="M4" s="61" t="s">
        <v>224</v>
      </c>
      <c r="N4" s="65" t="s">
        <v>225</v>
      </c>
      <c r="O4" s="60" t="s">
        <v>226</v>
      </c>
      <c r="P4" s="60" t="s">
        <v>227</v>
      </c>
      <c r="Q4" s="59" t="s">
        <v>228</v>
      </c>
      <c r="R4" s="63" t="s">
        <v>145</v>
      </c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3"/>
      <c r="B5" s="57" t="s">
        <v>9</v>
      </c>
      <c r="C5" s="66" t="s">
        <v>229</v>
      </c>
      <c r="D5" s="99"/>
      <c r="E5" s="59" t="s">
        <v>230</v>
      </c>
      <c r="F5" s="57" t="s">
        <v>231</v>
      </c>
      <c r="G5" s="59" t="s">
        <v>232</v>
      </c>
      <c r="H5" s="59" t="s">
        <v>233</v>
      </c>
      <c r="I5" s="60" t="s">
        <v>234</v>
      </c>
      <c r="J5" s="61" t="s">
        <v>235</v>
      </c>
      <c r="K5" s="61" t="s">
        <v>236</v>
      </c>
      <c r="L5" s="61" t="s">
        <v>237</v>
      </c>
      <c r="M5" s="61" t="s">
        <v>238</v>
      </c>
      <c r="N5" s="62" t="s">
        <v>239</v>
      </c>
      <c r="O5" s="60" t="s">
        <v>240</v>
      </c>
      <c r="P5" s="60" t="s">
        <v>241</v>
      </c>
      <c r="Q5" s="59" t="s">
        <v>242</v>
      </c>
      <c r="R5" s="63" t="s">
        <v>243</v>
      </c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"/>
      <c r="B6" s="57" t="s">
        <v>244</v>
      </c>
      <c r="C6" s="66" t="s">
        <v>245</v>
      </c>
      <c r="D6" s="67" t="s">
        <v>246</v>
      </c>
      <c r="E6" s="60" t="s">
        <v>247</v>
      </c>
      <c r="F6" s="57" t="s">
        <v>248</v>
      </c>
      <c r="G6" s="59" t="s">
        <v>249</v>
      </c>
      <c r="H6" s="3"/>
      <c r="I6" s="60" t="s">
        <v>250</v>
      </c>
      <c r="J6" s="61" t="s">
        <v>251</v>
      </c>
      <c r="K6" s="61" t="s">
        <v>252</v>
      </c>
      <c r="L6" s="61" t="s">
        <v>253</v>
      </c>
      <c r="M6" s="60" t="s">
        <v>254</v>
      </c>
      <c r="N6" s="68" t="s">
        <v>255</v>
      </c>
      <c r="O6" s="60" t="s">
        <v>256</v>
      </c>
      <c r="P6" s="60" t="s">
        <v>257</v>
      </c>
      <c r="Q6" s="3"/>
      <c r="R6" s="63" t="s">
        <v>258</v>
      </c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3"/>
      <c r="B7" s="57" t="s">
        <v>259</v>
      </c>
      <c r="C7" s="66" t="s">
        <v>260</v>
      </c>
      <c r="D7" s="69" t="s">
        <v>261</v>
      </c>
      <c r="E7" s="59"/>
      <c r="F7" s="57" t="s">
        <v>262</v>
      </c>
      <c r="G7" s="59" t="s">
        <v>263</v>
      </c>
      <c r="H7" s="3"/>
      <c r="I7" s="60" t="s">
        <v>264</v>
      </c>
      <c r="J7" s="62" t="s">
        <v>265</v>
      </c>
      <c r="K7" s="61" t="s">
        <v>266</v>
      </c>
      <c r="L7" s="61" t="s">
        <v>267</v>
      </c>
      <c r="M7" s="61" t="s">
        <v>268</v>
      </c>
      <c r="N7" s="68" t="s">
        <v>269</v>
      </c>
      <c r="O7" s="60" t="s">
        <v>270</v>
      </c>
      <c r="P7" s="1"/>
      <c r="Q7" s="3"/>
      <c r="R7" s="63" t="s">
        <v>271</v>
      </c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3"/>
      <c r="B8" s="57" t="s">
        <v>272</v>
      </c>
      <c r="C8" s="66" t="s">
        <v>273</v>
      </c>
      <c r="D8" s="67" t="s">
        <v>274</v>
      </c>
      <c r="E8" s="59"/>
      <c r="F8" s="57" t="s">
        <v>275</v>
      </c>
      <c r="G8" s="59" t="s">
        <v>276</v>
      </c>
      <c r="H8" s="3"/>
      <c r="I8" s="60" t="s">
        <v>277</v>
      </c>
      <c r="J8" s="62" t="s">
        <v>278</v>
      </c>
      <c r="K8" s="61" t="s">
        <v>279</v>
      </c>
      <c r="L8" s="70" t="s">
        <v>280</v>
      </c>
      <c r="M8" s="61" t="s">
        <v>281</v>
      </c>
      <c r="N8" s="68" t="s">
        <v>282</v>
      </c>
      <c r="O8" s="60" t="s">
        <v>283</v>
      </c>
      <c r="P8" s="1"/>
      <c r="Q8" s="3"/>
      <c r="R8" s="63" t="s">
        <v>284</v>
      </c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3"/>
      <c r="B9" s="57" t="s">
        <v>285</v>
      </c>
      <c r="C9" s="64" t="s">
        <v>286</v>
      </c>
      <c r="D9" s="98" t="s">
        <v>287</v>
      </c>
      <c r="E9" s="59"/>
      <c r="F9" s="57" t="s">
        <v>288</v>
      </c>
      <c r="G9" s="57" t="s">
        <v>289</v>
      </c>
      <c r="H9" s="3"/>
      <c r="I9" s="60" t="s">
        <v>290</v>
      </c>
      <c r="J9" s="3"/>
      <c r="K9" s="61" t="s">
        <v>291</v>
      </c>
      <c r="L9" s="71"/>
      <c r="M9" s="61" t="s">
        <v>292</v>
      </c>
      <c r="N9" s="68" t="s">
        <v>293</v>
      </c>
      <c r="O9" s="60" t="s">
        <v>294</v>
      </c>
      <c r="P9" s="1"/>
      <c r="Q9" s="3"/>
      <c r="R9" s="63" t="s">
        <v>295</v>
      </c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3"/>
      <c r="B10" s="57" t="s">
        <v>296</v>
      </c>
      <c r="C10" s="64" t="s">
        <v>297</v>
      </c>
      <c r="D10" s="99"/>
      <c r="E10" s="59"/>
      <c r="F10" s="57" t="s">
        <v>298</v>
      </c>
      <c r="G10" s="57" t="s">
        <v>299</v>
      </c>
      <c r="H10" s="3"/>
      <c r="I10" s="60" t="s">
        <v>300</v>
      </c>
      <c r="J10" s="71"/>
      <c r="K10" s="61" t="s">
        <v>301</v>
      </c>
      <c r="L10" s="71"/>
      <c r="M10" s="61" t="s">
        <v>302</v>
      </c>
      <c r="N10" s="68" t="s">
        <v>303</v>
      </c>
      <c r="O10" s="60" t="s">
        <v>304</v>
      </c>
      <c r="P10" s="1"/>
      <c r="Q10" s="3"/>
      <c r="R10" s="63" t="s">
        <v>79</v>
      </c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3"/>
      <c r="B11" s="57" t="s">
        <v>305</v>
      </c>
      <c r="C11" s="58" t="s">
        <v>306</v>
      </c>
      <c r="D11" s="98" t="s">
        <v>307</v>
      </c>
      <c r="E11" s="59"/>
      <c r="F11" s="57" t="s">
        <v>308</v>
      </c>
      <c r="G11" s="57" t="s">
        <v>309</v>
      </c>
      <c r="H11" s="3"/>
      <c r="I11" s="60" t="s">
        <v>310</v>
      </c>
      <c r="J11" s="71"/>
      <c r="K11" s="61" t="s">
        <v>311</v>
      </c>
      <c r="L11" s="71"/>
      <c r="M11" s="61" t="s">
        <v>312</v>
      </c>
      <c r="N11" s="68" t="s">
        <v>313</v>
      </c>
      <c r="O11" s="1"/>
      <c r="P11" s="1"/>
      <c r="Q11" s="3"/>
      <c r="R11" s="63" t="s">
        <v>314</v>
      </c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3"/>
      <c r="B12" s="57" t="s">
        <v>315</v>
      </c>
      <c r="C12" s="64" t="s">
        <v>316</v>
      </c>
      <c r="D12" s="83"/>
      <c r="E12" s="59"/>
      <c r="F12" s="57" t="s">
        <v>317</v>
      </c>
      <c r="G12" s="57" t="s">
        <v>318</v>
      </c>
      <c r="H12" s="3"/>
      <c r="I12" s="60" t="s">
        <v>22</v>
      </c>
      <c r="J12" s="57"/>
      <c r="K12" s="61" t="s">
        <v>319</v>
      </c>
      <c r="L12" s="71"/>
      <c r="M12" s="60" t="s">
        <v>320</v>
      </c>
      <c r="N12" s="62" t="s">
        <v>321</v>
      </c>
      <c r="O12" s="1"/>
      <c r="P12" s="1"/>
      <c r="Q12" s="3"/>
      <c r="R12" s="63" t="s">
        <v>322</v>
      </c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3"/>
      <c r="B13" s="57" t="s">
        <v>323</v>
      </c>
      <c r="C13" s="64" t="s">
        <v>324</v>
      </c>
      <c r="D13" s="99"/>
      <c r="E13" s="59"/>
      <c r="F13" s="57" t="s">
        <v>325</v>
      </c>
      <c r="G13" s="57" t="s">
        <v>326</v>
      </c>
      <c r="H13" s="3"/>
      <c r="I13" s="60" t="s">
        <v>327</v>
      </c>
      <c r="J13" s="3"/>
      <c r="K13" s="61" t="s">
        <v>328</v>
      </c>
      <c r="L13" s="71"/>
      <c r="M13" s="61" t="s">
        <v>329</v>
      </c>
      <c r="N13" s="68" t="s">
        <v>330</v>
      </c>
      <c r="O13" s="1"/>
      <c r="P13" s="1"/>
      <c r="Q13" s="3"/>
      <c r="R13" s="63" t="s">
        <v>331</v>
      </c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3"/>
      <c r="B14" s="57" t="s">
        <v>332</v>
      </c>
      <c r="C14" s="58" t="s">
        <v>333</v>
      </c>
      <c r="D14" s="100" t="s">
        <v>11</v>
      </c>
      <c r="E14" s="59"/>
      <c r="F14" s="57" t="s">
        <v>334</v>
      </c>
      <c r="G14" s="57" t="s">
        <v>335</v>
      </c>
      <c r="H14" s="3"/>
      <c r="I14" s="60" t="s">
        <v>336</v>
      </c>
      <c r="J14" s="71"/>
      <c r="K14" s="61" t="s">
        <v>337</v>
      </c>
      <c r="L14" s="71"/>
      <c r="M14" s="61" t="s">
        <v>338</v>
      </c>
      <c r="N14" s="68" t="s">
        <v>339</v>
      </c>
      <c r="O14" s="1"/>
      <c r="P14" s="1"/>
      <c r="Q14" s="3"/>
      <c r="R14" s="63" t="s">
        <v>340</v>
      </c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3"/>
      <c r="B15" s="57" t="s">
        <v>341</v>
      </c>
      <c r="C15" s="58" t="s">
        <v>342</v>
      </c>
      <c r="D15" s="99"/>
      <c r="E15" s="59"/>
      <c r="F15" s="57" t="s">
        <v>343</v>
      </c>
      <c r="G15" s="57" t="s">
        <v>344</v>
      </c>
      <c r="H15" s="3"/>
      <c r="I15" s="60" t="s">
        <v>345</v>
      </c>
      <c r="J15" s="71"/>
      <c r="K15" s="61" t="s">
        <v>346</v>
      </c>
      <c r="L15" s="71"/>
      <c r="M15" s="61" t="s">
        <v>347</v>
      </c>
      <c r="N15" s="68" t="s">
        <v>348</v>
      </c>
      <c r="O15" s="1"/>
      <c r="P15" s="1"/>
      <c r="Q15" s="3"/>
      <c r="R15" s="63" t="s">
        <v>349</v>
      </c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3"/>
      <c r="B16" s="57" t="s">
        <v>350</v>
      </c>
      <c r="C16" s="72" t="s">
        <v>351</v>
      </c>
      <c r="D16" s="69" t="s">
        <v>352</v>
      </c>
      <c r="E16" s="59"/>
      <c r="F16" s="57" t="s">
        <v>15</v>
      </c>
      <c r="G16" s="57" t="s">
        <v>353</v>
      </c>
      <c r="H16" s="3"/>
      <c r="I16" s="60" t="s">
        <v>354</v>
      </c>
      <c r="J16" s="57"/>
      <c r="K16" s="61" t="s">
        <v>355</v>
      </c>
      <c r="L16" s="71"/>
      <c r="M16" s="61" t="s">
        <v>356</v>
      </c>
      <c r="N16" s="68" t="s">
        <v>357</v>
      </c>
      <c r="O16" s="1"/>
      <c r="P16" s="1"/>
      <c r="Q16" s="3"/>
      <c r="R16" s="63" t="s">
        <v>358</v>
      </c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3"/>
      <c r="B17" s="57" t="s">
        <v>359</v>
      </c>
      <c r="C17" s="66" t="s">
        <v>360</v>
      </c>
      <c r="D17" s="69" t="s">
        <v>361</v>
      </c>
      <c r="E17" s="3"/>
      <c r="F17" s="57" t="s">
        <v>362</v>
      </c>
      <c r="G17" s="57" t="s">
        <v>363</v>
      </c>
      <c r="H17" s="3"/>
      <c r="I17" s="60" t="s">
        <v>364</v>
      </c>
      <c r="J17" s="3"/>
      <c r="K17" s="61" t="s">
        <v>365</v>
      </c>
      <c r="L17" s="71"/>
      <c r="M17" s="61" t="s">
        <v>366</v>
      </c>
      <c r="N17" s="68" t="s">
        <v>367</v>
      </c>
      <c r="O17" s="1"/>
      <c r="P17" s="1"/>
      <c r="Q17" s="3"/>
      <c r="R17" s="63" t="s">
        <v>368</v>
      </c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3"/>
      <c r="B18" s="57" t="s">
        <v>369</v>
      </c>
      <c r="C18" s="64" t="s">
        <v>370</v>
      </c>
      <c r="D18" s="100" t="s">
        <v>371</v>
      </c>
      <c r="E18" s="3"/>
      <c r="F18" s="57" t="s">
        <v>372</v>
      </c>
      <c r="G18" s="59" t="s">
        <v>373</v>
      </c>
      <c r="H18" s="3"/>
      <c r="I18" s="60" t="s">
        <v>374</v>
      </c>
      <c r="J18" s="59"/>
      <c r="K18" s="61" t="s">
        <v>375</v>
      </c>
      <c r="L18" s="71"/>
      <c r="M18" s="60" t="s">
        <v>376</v>
      </c>
      <c r="N18" s="68" t="s">
        <v>377</v>
      </c>
      <c r="O18" s="1"/>
      <c r="P18" s="1"/>
      <c r="Q18" s="3"/>
      <c r="R18" s="63" t="s">
        <v>378</v>
      </c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3"/>
      <c r="B19" s="57" t="s">
        <v>379</v>
      </c>
      <c r="C19" s="66" t="s">
        <v>380</v>
      </c>
      <c r="D19" s="99"/>
      <c r="E19" s="3"/>
      <c r="F19" s="57" t="s">
        <v>381</v>
      </c>
      <c r="G19" s="57" t="s">
        <v>382</v>
      </c>
      <c r="H19" s="3"/>
      <c r="I19" s="60" t="s">
        <v>383</v>
      </c>
      <c r="J19" s="62"/>
      <c r="K19" s="61" t="s">
        <v>384</v>
      </c>
      <c r="L19" s="71"/>
      <c r="M19" s="61" t="s">
        <v>385</v>
      </c>
      <c r="N19" s="68" t="s">
        <v>386</v>
      </c>
      <c r="O19" s="1"/>
      <c r="P19" s="1"/>
      <c r="Q19" s="3"/>
      <c r="R19" s="63" t="s">
        <v>387</v>
      </c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"/>
      <c r="B20" s="57" t="s">
        <v>388</v>
      </c>
      <c r="C20" s="66" t="s">
        <v>389</v>
      </c>
      <c r="D20" s="69" t="s">
        <v>390</v>
      </c>
      <c r="E20" s="3"/>
      <c r="F20" s="57" t="s">
        <v>391</v>
      </c>
      <c r="G20" s="57" t="s">
        <v>392</v>
      </c>
      <c r="H20" s="3"/>
      <c r="I20" s="60" t="s">
        <v>393</v>
      </c>
      <c r="J20" s="62"/>
      <c r="K20" s="61" t="s">
        <v>394</v>
      </c>
      <c r="L20" s="71"/>
      <c r="M20" s="61" t="s">
        <v>395</v>
      </c>
      <c r="N20" s="68" t="s">
        <v>396</v>
      </c>
      <c r="O20" s="1"/>
      <c r="P20" s="1"/>
      <c r="Q20" s="3"/>
      <c r="R20" s="63" t="s">
        <v>397</v>
      </c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"/>
      <c r="B21" s="57" t="s">
        <v>398</v>
      </c>
      <c r="C21" s="66" t="s">
        <v>399</v>
      </c>
      <c r="D21" s="69" t="s">
        <v>400</v>
      </c>
      <c r="E21" s="3"/>
      <c r="F21" s="57" t="s">
        <v>401</v>
      </c>
      <c r="G21" s="57" t="s">
        <v>402</v>
      </c>
      <c r="H21" s="3"/>
      <c r="I21" s="60" t="s">
        <v>403</v>
      </c>
      <c r="J21" s="3"/>
      <c r="K21" s="61" t="s">
        <v>404</v>
      </c>
      <c r="L21" s="71"/>
      <c r="M21" s="61" t="s">
        <v>405</v>
      </c>
      <c r="N21" s="68" t="s">
        <v>406</v>
      </c>
      <c r="O21" s="1"/>
      <c r="P21" s="1"/>
      <c r="Q21" s="3"/>
      <c r="R21" s="63" t="s">
        <v>407</v>
      </c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"/>
      <c r="B22" s="57" t="s">
        <v>408</v>
      </c>
      <c r="C22" s="57" t="s">
        <v>409</v>
      </c>
      <c r="D22" s="98" t="s">
        <v>410</v>
      </c>
      <c r="E22" s="3"/>
      <c r="F22" s="57" t="s">
        <v>411</v>
      </c>
      <c r="G22" s="57" t="s">
        <v>412</v>
      </c>
      <c r="H22" s="3"/>
      <c r="I22" s="60" t="s">
        <v>413</v>
      </c>
      <c r="J22" s="3"/>
      <c r="K22" s="61" t="s">
        <v>414</v>
      </c>
      <c r="L22" s="71"/>
      <c r="M22" s="60" t="s">
        <v>415</v>
      </c>
      <c r="N22" s="68" t="s">
        <v>416</v>
      </c>
      <c r="O22" s="1"/>
      <c r="P22" s="1"/>
      <c r="Q22" s="3"/>
      <c r="R22" s="63" t="s">
        <v>417</v>
      </c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57" t="s">
        <v>418</v>
      </c>
      <c r="C23" s="73" t="s">
        <v>419</v>
      </c>
      <c r="D23" s="99"/>
      <c r="E23" s="3"/>
      <c r="F23" s="57" t="s">
        <v>420</v>
      </c>
      <c r="G23" s="74" t="s">
        <v>421</v>
      </c>
      <c r="H23" s="3"/>
      <c r="I23" s="60" t="s">
        <v>422</v>
      </c>
      <c r="J23" s="3"/>
      <c r="K23" s="61" t="s">
        <v>423</v>
      </c>
      <c r="L23" s="71"/>
      <c r="M23" s="61" t="s">
        <v>424</v>
      </c>
      <c r="N23" s="62" t="s">
        <v>425</v>
      </c>
      <c r="O23" s="1"/>
      <c r="P23" s="1"/>
      <c r="Q23" s="3"/>
      <c r="R23" s="63" t="s">
        <v>426</v>
      </c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"/>
      <c r="B24" s="57" t="s">
        <v>427</v>
      </c>
      <c r="C24" s="73" t="s">
        <v>428</v>
      </c>
      <c r="D24" s="69" t="s">
        <v>429</v>
      </c>
      <c r="E24" s="3"/>
      <c r="F24" s="57" t="s">
        <v>430</v>
      </c>
      <c r="G24" s="57" t="s">
        <v>431</v>
      </c>
      <c r="H24" s="3"/>
      <c r="I24" s="60" t="s">
        <v>432</v>
      </c>
      <c r="J24" s="3"/>
      <c r="K24" s="61" t="s">
        <v>433</v>
      </c>
      <c r="L24" s="71"/>
      <c r="M24" s="71"/>
      <c r="N24" s="62" t="s">
        <v>434</v>
      </c>
      <c r="O24" s="1"/>
      <c r="P24" s="1"/>
      <c r="Q24" s="3"/>
      <c r="R24" s="63" t="s">
        <v>435</v>
      </c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"/>
      <c r="B25" s="57" t="s">
        <v>436</v>
      </c>
      <c r="C25" s="57" t="s">
        <v>437</v>
      </c>
      <c r="D25" s="98" t="s">
        <v>438</v>
      </c>
      <c r="E25" s="3"/>
      <c r="F25" s="57" t="s">
        <v>439</v>
      </c>
      <c r="G25" s="57" t="s">
        <v>440</v>
      </c>
      <c r="H25" s="3"/>
      <c r="I25" s="60" t="s">
        <v>441</v>
      </c>
      <c r="J25" s="3"/>
      <c r="K25" s="61" t="s">
        <v>442</v>
      </c>
      <c r="L25" s="71"/>
      <c r="M25" s="71"/>
      <c r="N25" s="62" t="s">
        <v>443</v>
      </c>
      <c r="O25" s="1"/>
      <c r="P25" s="1"/>
      <c r="Q25" s="3"/>
      <c r="R25" s="63" t="s">
        <v>444</v>
      </c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3"/>
      <c r="C26" s="57" t="s">
        <v>445</v>
      </c>
      <c r="D26" s="83"/>
      <c r="E26" s="3"/>
      <c r="F26" s="57" t="s">
        <v>446</v>
      </c>
      <c r="G26" s="57" t="s">
        <v>447</v>
      </c>
      <c r="H26" s="3"/>
      <c r="I26" s="60" t="s">
        <v>448</v>
      </c>
      <c r="J26" s="3"/>
      <c r="K26" s="61" t="s">
        <v>449</v>
      </c>
      <c r="L26" s="71"/>
      <c r="M26" s="71"/>
      <c r="N26" s="62" t="s">
        <v>450</v>
      </c>
      <c r="O26" s="1"/>
      <c r="P26" s="1"/>
      <c r="Q26" s="3"/>
      <c r="R26" s="63" t="s">
        <v>451</v>
      </c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3"/>
      <c r="C27" s="57" t="s">
        <v>452</v>
      </c>
      <c r="D27" s="83"/>
      <c r="E27" s="3"/>
      <c r="F27" s="57" t="s">
        <v>453</v>
      </c>
      <c r="G27" s="57" t="s">
        <v>454</v>
      </c>
      <c r="H27" s="3"/>
      <c r="I27" s="60" t="s">
        <v>455</v>
      </c>
      <c r="J27" s="3"/>
      <c r="K27" s="61" t="s">
        <v>456</v>
      </c>
      <c r="L27" s="71"/>
      <c r="M27" s="71"/>
      <c r="N27" s="62" t="s">
        <v>457</v>
      </c>
      <c r="O27" s="1"/>
      <c r="P27" s="1"/>
      <c r="Q27" s="3"/>
      <c r="R27" s="63" t="s">
        <v>458</v>
      </c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3"/>
      <c r="C28" s="73" t="s">
        <v>459</v>
      </c>
      <c r="D28" s="99"/>
      <c r="E28" s="3"/>
      <c r="F28" s="61" t="s">
        <v>460</v>
      </c>
      <c r="G28" s="74" t="s">
        <v>461</v>
      </c>
      <c r="H28" s="3"/>
      <c r="I28" s="60" t="s">
        <v>462</v>
      </c>
      <c r="J28" s="3"/>
      <c r="K28" s="61" t="s">
        <v>463</v>
      </c>
      <c r="L28" s="71"/>
      <c r="M28" s="71"/>
      <c r="N28" s="62" t="s">
        <v>464</v>
      </c>
      <c r="O28" s="1"/>
      <c r="P28" s="1"/>
      <c r="Q28" s="3"/>
      <c r="R28" s="63" t="s">
        <v>465</v>
      </c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3"/>
      <c r="C29" s="57" t="s">
        <v>466</v>
      </c>
      <c r="D29" s="98" t="s">
        <v>467</v>
      </c>
      <c r="E29" s="3"/>
      <c r="F29" s="57" t="s">
        <v>468</v>
      </c>
      <c r="G29" s="57" t="s">
        <v>469</v>
      </c>
      <c r="H29" s="3"/>
      <c r="I29" s="60" t="s">
        <v>470</v>
      </c>
      <c r="J29" s="3"/>
      <c r="K29" s="61" t="s">
        <v>471</v>
      </c>
      <c r="L29" s="71"/>
      <c r="M29" s="71"/>
      <c r="N29" s="62" t="s">
        <v>472</v>
      </c>
      <c r="O29" s="1"/>
      <c r="P29" s="1"/>
      <c r="Q29" s="3"/>
      <c r="R29" s="63" t="s">
        <v>473</v>
      </c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3"/>
      <c r="C30" s="57" t="s">
        <v>474</v>
      </c>
      <c r="D30" s="83"/>
      <c r="E30" s="3"/>
      <c r="F30" s="57" t="s">
        <v>475</v>
      </c>
      <c r="G30" s="57" t="s">
        <v>476</v>
      </c>
      <c r="H30" s="3"/>
      <c r="I30" s="60" t="s">
        <v>477</v>
      </c>
      <c r="J30" s="1"/>
      <c r="K30" s="1"/>
      <c r="L30" s="71"/>
      <c r="M30" s="71"/>
      <c r="N30" s="62" t="s">
        <v>478</v>
      </c>
      <c r="O30" s="1"/>
      <c r="P30" s="1"/>
      <c r="Q30" s="3"/>
      <c r="R30" s="63" t="s">
        <v>479</v>
      </c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3"/>
      <c r="C31" s="73" t="s">
        <v>480</v>
      </c>
      <c r="D31" s="99"/>
      <c r="E31" s="1"/>
      <c r="F31" s="3"/>
      <c r="G31" s="57" t="s">
        <v>481</v>
      </c>
      <c r="H31" s="3"/>
      <c r="I31" s="60" t="s">
        <v>482</v>
      </c>
      <c r="J31" s="1"/>
      <c r="K31" s="1"/>
      <c r="L31" s="71"/>
      <c r="M31" s="71"/>
      <c r="N31" s="62" t="s">
        <v>483</v>
      </c>
      <c r="O31" s="1"/>
      <c r="P31" s="1"/>
      <c r="Q31" s="3"/>
      <c r="R31" s="63" t="s">
        <v>484</v>
      </c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3"/>
      <c r="C32" s="75" t="s">
        <v>485</v>
      </c>
      <c r="D32" s="69" t="s">
        <v>486</v>
      </c>
      <c r="E32" s="1"/>
      <c r="F32" s="3"/>
      <c r="G32" s="57" t="s">
        <v>487</v>
      </c>
      <c r="H32" s="3"/>
      <c r="I32" s="60" t="s">
        <v>488</v>
      </c>
      <c r="J32" s="1"/>
      <c r="K32" s="1"/>
      <c r="L32" s="71"/>
      <c r="M32" s="71"/>
      <c r="N32" s="62" t="s">
        <v>489</v>
      </c>
      <c r="O32" s="1"/>
      <c r="P32" s="1"/>
      <c r="Q32" s="3"/>
      <c r="R32" s="63" t="s">
        <v>490</v>
      </c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3"/>
      <c r="G33" s="57" t="s">
        <v>491</v>
      </c>
      <c r="H33" s="1"/>
      <c r="I33" s="1"/>
      <c r="J33" s="1"/>
      <c r="K33" s="1"/>
      <c r="L33" s="71"/>
      <c r="M33" s="71"/>
      <c r="N33" s="62" t="s">
        <v>492</v>
      </c>
      <c r="O33" s="1"/>
      <c r="P33" s="1"/>
      <c r="Q33" s="3"/>
      <c r="R33" s="63" t="s">
        <v>493</v>
      </c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3"/>
      <c r="G34" s="57" t="s">
        <v>494</v>
      </c>
      <c r="H34" s="1"/>
      <c r="I34" s="1"/>
      <c r="J34" s="1"/>
      <c r="K34" s="1"/>
      <c r="L34" s="71"/>
      <c r="M34" s="57"/>
      <c r="N34" s="62" t="s">
        <v>495</v>
      </c>
      <c r="O34" s="1"/>
      <c r="P34" s="1"/>
      <c r="Q34" s="3"/>
      <c r="R34" s="63" t="s">
        <v>496</v>
      </c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3"/>
      <c r="G35" s="74" t="s">
        <v>497</v>
      </c>
      <c r="H35" s="1"/>
      <c r="I35" s="1"/>
      <c r="J35" s="1"/>
      <c r="K35" s="1"/>
      <c r="L35" s="71"/>
      <c r="M35" s="3"/>
      <c r="N35" s="62" t="s">
        <v>498</v>
      </c>
      <c r="O35" s="1"/>
      <c r="P35" s="1"/>
      <c r="Q35" s="3"/>
      <c r="R35" s="63" t="s">
        <v>499</v>
      </c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3"/>
      <c r="G36" s="57" t="s">
        <v>500</v>
      </c>
      <c r="H36" s="1"/>
      <c r="I36" s="1"/>
      <c r="J36" s="1"/>
      <c r="K36" s="1"/>
      <c r="L36" s="71"/>
      <c r="M36" s="3"/>
      <c r="N36" s="62" t="s">
        <v>501</v>
      </c>
      <c r="O36" s="1"/>
      <c r="P36" s="1"/>
      <c r="Q36" s="3"/>
      <c r="R36" s="63" t="s">
        <v>502</v>
      </c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3"/>
      <c r="G37" s="57" t="s">
        <v>503</v>
      </c>
      <c r="H37" s="1"/>
      <c r="I37" s="1"/>
      <c r="J37" s="1"/>
      <c r="K37" s="1"/>
      <c r="L37" s="71"/>
      <c r="M37" s="3"/>
      <c r="N37" s="62" t="s">
        <v>504</v>
      </c>
      <c r="O37" s="1"/>
      <c r="P37" s="1"/>
      <c r="Q37" s="3"/>
      <c r="R37" s="63" t="s">
        <v>505</v>
      </c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3"/>
      <c r="G38" s="57" t="s">
        <v>506</v>
      </c>
      <c r="H38" s="1"/>
      <c r="I38" s="1"/>
      <c r="J38" s="1"/>
      <c r="K38" s="1"/>
      <c r="L38" s="71"/>
      <c r="M38" s="3"/>
      <c r="N38" s="62" t="s">
        <v>507</v>
      </c>
      <c r="O38" s="1"/>
      <c r="P38" s="1"/>
      <c r="Q38" s="3"/>
      <c r="R38" s="63" t="s">
        <v>508</v>
      </c>
      <c r="S38" s="1"/>
      <c r="T38" s="1"/>
      <c r="U38" s="1"/>
      <c r="V38" s="1"/>
      <c r="W38" s="1"/>
      <c r="X38" s="1"/>
      <c r="Y38" s="1"/>
      <c r="Z38" s="1"/>
    </row>
    <row r="39" spans="1:26" ht="120">
      <c r="A39" s="1"/>
      <c r="B39" s="1"/>
      <c r="C39" s="1"/>
      <c r="D39" s="1"/>
      <c r="E39" s="1"/>
      <c r="F39" s="3"/>
      <c r="G39" s="57" t="s">
        <v>509</v>
      </c>
      <c r="H39" s="1"/>
      <c r="I39" s="1"/>
      <c r="J39" s="1"/>
      <c r="K39" s="1"/>
      <c r="L39" s="71"/>
      <c r="M39" s="3"/>
      <c r="N39" s="62" t="s">
        <v>510</v>
      </c>
      <c r="O39" s="1"/>
      <c r="P39" s="1"/>
      <c r="Q39" s="3"/>
      <c r="R39" s="63" t="s">
        <v>511</v>
      </c>
      <c r="S39" s="1"/>
      <c r="T39" s="1"/>
      <c r="U39" s="1"/>
      <c r="V39" s="1"/>
      <c r="W39" s="1"/>
      <c r="X39" s="1"/>
      <c r="Y39" s="1"/>
      <c r="Z39" s="1"/>
    </row>
    <row r="40" spans="1:26" ht="75">
      <c r="A40" s="1"/>
      <c r="B40" s="1"/>
      <c r="C40" s="1"/>
      <c r="D40" s="1"/>
      <c r="E40" s="1"/>
      <c r="F40" s="3"/>
      <c r="G40" s="57" t="s">
        <v>512</v>
      </c>
      <c r="H40" s="1"/>
      <c r="I40" s="1"/>
      <c r="J40" s="1"/>
      <c r="K40" s="1"/>
      <c r="L40" s="71"/>
      <c r="M40" s="3"/>
      <c r="N40" s="62" t="s">
        <v>513</v>
      </c>
      <c r="O40" s="1"/>
      <c r="P40" s="1"/>
      <c r="Q40" s="3"/>
      <c r="R40" s="63" t="s">
        <v>514</v>
      </c>
      <c r="S40" s="1"/>
      <c r="T40" s="1"/>
      <c r="U40" s="1"/>
      <c r="V40" s="1"/>
      <c r="W40" s="1"/>
      <c r="X40" s="1"/>
      <c r="Y40" s="1"/>
      <c r="Z40" s="1"/>
    </row>
    <row r="41" spans="1:26" ht="165">
      <c r="A41" s="1"/>
      <c r="B41" s="1"/>
      <c r="C41" s="1"/>
      <c r="D41" s="1"/>
      <c r="E41" s="1"/>
      <c r="F41" s="3"/>
      <c r="G41" s="57" t="s">
        <v>515</v>
      </c>
      <c r="H41" s="1"/>
      <c r="I41" s="1"/>
      <c r="J41" s="1"/>
      <c r="K41" s="1"/>
      <c r="L41" s="71"/>
      <c r="M41" s="3"/>
      <c r="N41" s="62" t="s">
        <v>516</v>
      </c>
      <c r="O41" s="1"/>
      <c r="P41" s="1"/>
      <c r="Q41" s="3"/>
      <c r="R41" s="63" t="s">
        <v>517</v>
      </c>
      <c r="S41" s="1"/>
      <c r="T41" s="1"/>
      <c r="U41" s="1"/>
      <c r="V41" s="1"/>
      <c r="W41" s="1"/>
      <c r="X41" s="1"/>
      <c r="Y41" s="1"/>
      <c r="Z41" s="1"/>
    </row>
    <row r="42" spans="1:26" ht="195">
      <c r="A42" s="1"/>
      <c r="B42" s="1"/>
      <c r="C42" s="1"/>
      <c r="D42" s="1"/>
      <c r="E42" s="1"/>
      <c r="F42" s="3"/>
      <c r="G42" s="57" t="s">
        <v>518</v>
      </c>
      <c r="H42" s="1"/>
      <c r="I42" s="1"/>
      <c r="J42" s="1"/>
      <c r="K42" s="1"/>
      <c r="L42" s="71"/>
      <c r="M42" s="3"/>
      <c r="N42" s="68" t="s">
        <v>519</v>
      </c>
      <c r="O42" s="1"/>
      <c r="P42" s="1"/>
      <c r="Q42" s="3"/>
      <c r="R42" s="63" t="s">
        <v>520</v>
      </c>
      <c r="S42" s="1"/>
      <c r="T42" s="1"/>
      <c r="U42" s="1"/>
      <c r="V42" s="1"/>
      <c r="W42" s="1"/>
      <c r="X42" s="1"/>
      <c r="Y42" s="1"/>
      <c r="Z42" s="1"/>
    </row>
    <row r="43" spans="1:26" ht="150">
      <c r="A43" s="1"/>
      <c r="B43" s="1"/>
      <c r="C43" s="1"/>
      <c r="D43" s="1"/>
      <c r="E43" s="1"/>
      <c r="F43" s="3"/>
      <c r="G43" s="57" t="s">
        <v>521</v>
      </c>
      <c r="H43" s="1"/>
      <c r="I43" s="1"/>
      <c r="J43" s="1"/>
      <c r="K43" s="1"/>
      <c r="L43" s="71"/>
      <c r="M43" s="3"/>
      <c r="N43" s="62" t="s">
        <v>522</v>
      </c>
      <c r="O43" s="1"/>
      <c r="P43" s="1"/>
      <c r="Q43" s="3"/>
      <c r="R43" s="63" t="s">
        <v>523</v>
      </c>
      <c r="S43" s="1"/>
      <c r="T43" s="1"/>
      <c r="U43" s="1"/>
      <c r="V43" s="1"/>
      <c r="W43" s="1"/>
      <c r="X43" s="1"/>
      <c r="Y43" s="1"/>
      <c r="Z43" s="1"/>
    </row>
    <row r="44" spans="1:26" ht="150">
      <c r="A44" s="1"/>
      <c r="B44" s="1"/>
      <c r="C44" s="1"/>
      <c r="D44" s="1"/>
      <c r="E44" s="1"/>
      <c r="F44" s="3"/>
      <c r="G44" s="57" t="s">
        <v>524</v>
      </c>
      <c r="H44" s="1"/>
      <c r="I44" s="1"/>
      <c r="J44" s="1"/>
      <c r="K44" s="1"/>
      <c r="L44" s="71"/>
      <c r="M44" s="3"/>
      <c r="N44" s="62" t="s">
        <v>525</v>
      </c>
      <c r="O44" s="1"/>
      <c r="P44" s="1"/>
      <c r="Q44" s="3"/>
      <c r="R44" s="63" t="s">
        <v>526</v>
      </c>
      <c r="S44" s="1"/>
      <c r="T44" s="1"/>
      <c r="U44" s="1"/>
      <c r="V44" s="1"/>
      <c r="W44" s="1"/>
      <c r="X44" s="1"/>
      <c r="Y44" s="1"/>
      <c r="Z44" s="1"/>
    </row>
    <row r="45" spans="1:26" ht="135">
      <c r="A45" s="1"/>
      <c r="B45" s="1"/>
      <c r="C45" s="1"/>
      <c r="D45" s="1"/>
      <c r="E45" s="1"/>
      <c r="F45" s="3"/>
      <c r="G45" s="57" t="s">
        <v>527</v>
      </c>
      <c r="H45" s="1"/>
      <c r="I45" s="1"/>
      <c r="J45" s="1"/>
      <c r="K45" s="1"/>
      <c r="L45" s="71"/>
      <c r="M45" s="3"/>
      <c r="N45" s="62" t="s">
        <v>528</v>
      </c>
      <c r="O45" s="1"/>
      <c r="P45" s="1"/>
      <c r="Q45" s="3"/>
      <c r="R45" s="63" t="s">
        <v>529</v>
      </c>
      <c r="S45" s="1"/>
      <c r="T45" s="1"/>
      <c r="U45" s="1"/>
      <c r="V45" s="1"/>
      <c r="W45" s="1"/>
      <c r="X45" s="1"/>
      <c r="Y45" s="1"/>
      <c r="Z45" s="1"/>
    </row>
    <row r="46" spans="1:26" ht="75">
      <c r="A46" s="1"/>
      <c r="B46" s="1"/>
      <c r="C46" s="1"/>
      <c r="D46" s="1"/>
      <c r="E46" s="1"/>
      <c r="F46" s="3"/>
      <c r="G46" s="57" t="s">
        <v>530</v>
      </c>
      <c r="H46" s="1"/>
      <c r="I46" s="1"/>
      <c r="J46" s="1"/>
      <c r="K46" s="1"/>
      <c r="L46" s="71"/>
      <c r="M46" s="3"/>
      <c r="N46" s="62" t="s">
        <v>531</v>
      </c>
      <c r="O46" s="1"/>
      <c r="P46" s="1"/>
      <c r="Q46" s="3"/>
      <c r="R46" s="63" t="s">
        <v>532</v>
      </c>
      <c r="S46" s="1"/>
      <c r="T46" s="1"/>
      <c r="U46" s="1"/>
      <c r="V46" s="1"/>
      <c r="W46" s="1"/>
      <c r="X46" s="1"/>
      <c r="Y46" s="1"/>
      <c r="Z46" s="1"/>
    </row>
    <row r="47" spans="1:26" ht="285">
      <c r="A47" s="1"/>
      <c r="B47" s="1"/>
      <c r="C47" s="1"/>
      <c r="D47" s="1"/>
      <c r="E47" s="1"/>
      <c r="F47" s="3"/>
      <c r="G47" s="57" t="s">
        <v>533</v>
      </c>
      <c r="H47" s="1"/>
      <c r="I47" s="1"/>
      <c r="J47" s="1"/>
      <c r="K47" s="1"/>
      <c r="L47" s="71"/>
      <c r="M47" s="3"/>
      <c r="N47" s="62" t="s">
        <v>534</v>
      </c>
      <c r="O47" s="1"/>
      <c r="P47" s="1"/>
      <c r="Q47" s="3"/>
      <c r="R47" s="63" t="s">
        <v>535</v>
      </c>
      <c r="S47" s="1"/>
      <c r="T47" s="1"/>
      <c r="U47" s="1"/>
      <c r="V47" s="1"/>
      <c r="W47" s="1"/>
      <c r="X47" s="1"/>
      <c r="Y47" s="1"/>
      <c r="Z47" s="1"/>
    </row>
    <row r="48" spans="1:26" ht="195">
      <c r="A48" s="1"/>
      <c r="B48" s="1"/>
      <c r="C48" s="1"/>
      <c r="D48" s="1"/>
      <c r="E48" s="1"/>
      <c r="F48" s="3"/>
      <c r="G48" s="57" t="s">
        <v>536</v>
      </c>
      <c r="H48" s="1"/>
      <c r="I48" s="1"/>
      <c r="J48" s="1"/>
      <c r="K48" s="1"/>
      <c r="L48" s="71"/>
      <c r="M48" s="3"/>
      <c r="N48" s="62" t="s">
        <v>537</v>
      </c>
      <c r="O48" s="1"/>
      <c r="P48" s="1"/>
      <c r="Q48" s="3"/>
      <c r="R48" s="63" t="s">
        <v>538</v>
      </c>
      <c r="S48" s="1"/>
      <c r="T48" s="1"/>
      <c r="U48" s="1"/>
      <c r="V48" s="1"/>
      <c r="W48" s="1"/>
      <c r="X48" s="1"/>
      <c r="Y48" s="1"/>
      <c r="Z48" s="1"/>
    </row>
    <row r="49" spans="1:26" ht="150">
      <c r="A49" s="1"/>
      <c r="B49" s="1"/>
      <c r="C49" s="1"/>
      <c r="D49" s="1"/>
      <c r="E49" s="1"/>
      <c r="F49" s="3"/>
      <c r="G49" s="57" t="s">
        <v>539</v>
      </c>
      <c r="H49" s="1"/>
      <c r="I49" s="1"/>
      <c r="J49" s="1"/>
      <c r="K49" s="1"/>
      <c r="L49" s="71"/>
      <c r="M49" s="3"/>
      <c r="N49" s="62" t="s">
        <v>540</v>
      </c>
      <c r="O49" s="1"/>
      <c r="P49" s="1"/>
      <c r="Q49" s="3"/>
      <c r="R49" s="63" t="s">
        <v>541</v>
      </c>
      <c r="S49" s="1"/>
      <c r="T49" s="1"/>
      <c r="U49" s="1"/>
      <c r="V49" s="1"/>
      <c r="W49" s="1"/>
      <c r="X49" s="1"/>
      <c r="Y49" s="1"/>
      <c r="Z49" s="1"/>
    </row>
    <row r="50" spans="1:26" ht="180">
      <c r="A50" s="1"/>
      <c r="B50" s="1"/>
      <c r="C50" s="1"/>
      <c r="D50" s="1"/>
      <c r="E50" s="1"/>
      <c r="F50" s="3"/>
      <c r="G50" s="57" t="s">
        <v>542</v>
      </c>
      <c r="H50" s="1"/>
      <c r="I50" s="1"/>
      <c r="J50" s="1"/>
      <c r="K50" s="1"/>
      <c r="L50" s="71"/>
      <c r="M50" s="3"/>
      <c r="N50" s="68" t="s">
        <v>543</v>
      </c>
      <c r="O50" s="1"/>
      <c r="P50" s="1"/>
      <c r="Q50" s="3"/>
      <c r="R50" s="63" t="s">
        <v>544</v>
      </c>
      <c r="S50" s="1"/>
      <c r="T50" s="1"/>
      <c r="U50" s="1"/>
      <c r="V50" s="1"/>
      <c r="W50" s="1"/>
      <c r="X50" s="1"/>
      <c r="Y50" s="1"/>
      <c r="Z50" s="1"/>
    </row>
    <row r="51" spans="1:26" ht="150">
      <c r="A51" s="1"/>
      <c r="B51" s="1"/>
      <c r="C51" s="1"/>
      <c r="D51" s="1"/>
      <c r="E51" s="1"/>
      <c r="F51" s="3"/>
      <c r="G51" s="57" t="s">
        <v>545</v>
      </c>
      <c r="H51" s="1"/>
      <c r="I51" s="1"/>
      <c r="J51" s="1"/>
      <c r="K51" s="1"/>
      <c r="L51" s="71"/>
      <c r="M51" s="3"/>
      <c r="N51" s="62" t="s">
        <v>546</v>
      </c>
      <c r="O51" s="1"/>
      <c r="P51" s="1"/>
      <c r="Q51" s="3"/>
      <c r="R51" s="63" t="s">
        <v>547</v>
      </c>
      <c r="S51" s="1"/>
      <c r="T51" s="1"/>
      <c r="U51" s="1"/>
      <c r="V51" s="1"/>
      <c r="W51" s="1"/>
      <c r="X51" s="1"/>
      <c r="Y51" s="1"/>
      <c r="Z51" s="1"/>
    </row>
    <row r="52" spans="1:26" ht="180">
      <c r="A52" s="1"/>
      <c r="B52" s="1"/>
      <c r="C52" s="1"/>
      <c r="D52" s="1"/>
      <c r="E52" s="1"/>
      <c r="F52" s="3"/>
      <c r="G52" s="57" t="s">
        <v>548</v>
      </c>
      <c r="H52" s="1"/>
      <c r="I52" s="1"/>
      <c r="J52" s="1"/>
      <c r="K52" s="1"/>
      <c r="L52" s="71"/>
      <c r="M52" s="3"/>
      <c r="N52" s="62" t="s">
        <v>549</v>
      </c>
      <c r="O52" s="1"/>
      <c r="P52" s="1"/>
      <c r="Q52" s="3"/>
      <c r="R52" s="63" t="s">
        <v>550</v>
      </c>
      <c r="S52" s="1"/>
      <c r="T52" s="1"/>
      <c r="U52" s="1"/>
      <c r="V52" s="1"/>
      <c r="W52" s="1"/>
      <c r="X52" s="1"/>
      <c r="Y52" s="1"/>
      <c r="Z52" s="1"/>
    </row>
    <row r="53" spans="1:26" ht="180">
      <c r="A53" s="1"/>
      <c r="B53" s="1"/>
      <c r="C53" s="1"/>
      <c r="D53" s="1"/>
      <c r="E53" s="1"/>
      <c r="F53" s="3"/>
      <c r="G53" s="57" t="s">
        <v>551</v>
      </c>
      <c r="H53" s="1"/>
      <c r="I53" s="1"/>
      <c r="J53" s="1"/>
      <c r="K53" s="1"/>
      <c r="L53" s="71"/>
      <c r="M53" s="3"/>
      <c r="N53" s="68" t="s">
        <v>552</v>
      </c>
      <c r="O53" s="1"/>
      <c r="P53" s="1"/>
      <c r="Q53" s="3"/>
      <c r="R53" s="63" t="s">
        <v>553</v>
      </c>
      <c r="S53" s="1"/>
      <c r="T53" s="1"/>
      <c r="U53" s="1"/>
      <c r="V53" s="1"/>
      <c r="W53" s="1"/>
      <c r="X53" s="1"/>
      <c r="Y53" s="1"/>
      <c r="Z53" s="1"/>
    </row>
    <row r="54" spans="1:26" ht="135">
      <c r="A54" s="1"/>
      <c r="B54" s="1"/>
      <c r="C54" s="1"/>
      <c r="D54" s="1"/>
      <c r="E54" s="1"/>
      <c r="F54" s="3"/>
      <c r="G54" s="74" t="s">
        <v>554</v>
      </c>
      <c r="H54" s="1"/>
      <c r="I54" s="1"/>
      <c r="J54" s="1"/>
      <c r="K54" s="1"/>
      <c r="L54" s="71"/>
      <c r="M54" s="3"/>
      <c r="N54" s="62" t="s">
        <v>555</v>
      </c>
      <c r="O54" s="1"/>
      <c r="P54" s="1"/>
      <c r="Q54" s="3"/>
      <c r="R54" s="63" t="s">
        <v>556</v>
      </c>
      <c r="S54" s="1"/>
      <c r="T54" s="1"/>
      <c r="U54" s="1"/>
      <c r="V54" s="1"/>
      <c r="W54" s="1"/>
      <c r="X54" s="1"/>
      <c r="Y54" s="1"/>
      <c r="Z54" s="1"/>
    </row>
    <row r="55" spans="1:26" ht="120">
      <c r="A55" s="1"/>
      <c r="B55" s="1"/>
      <c r="C55" s="1"/>
      <c r="D55" s="1"/>
      <c r="E55" s="1"/>
      <c r="F55" s="3"/>
      <c r="G55" s="57" t="s">
        <v>557</v>
      </c>
      <c r="H55" s="1"/>
      <c r="I55" s="1"/>
      <c r="J55" s="1"/>
      <c r="K55" s="1"/>
      <c r="L55" s="71"/>
      <c r="M55" s="3"/>
      <c r="N55" s="62" t="s">
        <v>558</v>
      </c>
      <c r="O55" s="1"/>
      <c r="P55" s="1"/>
      <c r="Q55" s="3"/>
      <c r="R55" s="63" t="s">
        <v>559</v>
      </c>
      <c r="S55" s="1"/>
      <c r="T55" s="1"/>
      <c r="U55" s="1"/>
      <c r="V55" s="1"/>
      <c r="W55" s="1"/>
      <c r="X55" s="1"/>
      <c r="Y55" s="1"/>
      <c r="Z55" s="1"/>
    </row>
    <row r="56" spans="1:26" ht="90">
      <c r="A56" s="1"/>
      <c r="B56" s="1"/>
      <c r="C56" s="1"/>
      <c r="D56" s="1"/>
      <c r="E56" s="1"/>
      <c r="F56" s="3"/>
      <c r="G56" s="57" t="s">
        <v>560</v>
      </c>
      <c r="H56" s="1"/>
      <c r="I56" s="1"/>
      <c r="J56" s="1"/>
      <c r="K56" s="1"/>
      <c r="L56" s="71"/>
      <c r="M56" s="3"/>
      <c r="N56" s="62" t="s">
        <v>561</v>
      </c>
      <c r="O56" s="1"/>
      <c r="P56" s="1"/>
      <c r="Q56" s="3"/>
      <c r="R56" s="63" t="s">
        <v>562</v>
      </c>
      <c r="S56" s="1"/>
      <c r="T56" s="1"/>
      <c r="U56" s="1"/>
      <c r="V56" s="1"/>
      <c r="W56" s="1"/>
      <c r="X56" s="1"/>
      <c r="Y56" s="1"/>
      <c r="Z56" s="1"/>
    </row>
    <row r="57" spans="1:26" ht="270">
      <c r="A57" s="1"/>
      <c r="B57" s="1"/>
      <c r="C57" s="1"/>
      <c r="D57" s="1"/>
      <c r="E57" s="1"/>
      <c r="F57" s="3"/>
      <c r="G57" s="57" t="s">
        <v>563</v>
      </c>
      <c r="H57" s="1"/>
      <c r="I57" s="1"/>
      <c r="J57" s="1"/>
      <c r="K57" s="1"/>
      <c r="L57" s="71"/>
      <c r="M57" s="3"/>
      <c r="N57" s="62" t="s">
        <v>564</v>
      </c>
      <c r="O57" s="1"/>
      <c r="P57" s="1"/>
      <c r="Q57" s="3"/>
      <c r="R57" s="63" t="s">
        <v>565</v>
      </c>
      <c r="S57" s="1"/>
      <c r="T57" s="1"/>
      <c r="U57" s="1"/>
      <c r="V57" s="1"/>
      <c r="W57" s="1"/>
      <c r="X57" s="1"/>
      <c r="Y57" s="1"/>
      <c r="Z57" s="1"/>
    </row>
    <row r="58" spans="1:26" ht="315">
      <c r="A58" s="1"/>
      <c r="B58" s="1"/>
      <c r="C58" s="1"/>
      <c r="D58" s="1"/>
      <c r="E58" s="1"/>
      <c r="F58" s="3"/>
      <c r="G58" s="57" t="s">
        <v>566</v>
      </c>
      <c r="H58" s="1"/>
      <c r="I58" s="1"/>
      <c r="J58" s="1"/>
      <c r="K58" s="1"/>
      <c r="L58" s="71"/>
      <c r="M58" s="3"/>
      <c r="N58" s="62" t="s">
        <v>567</v>
      </c>
      <c r="O58" s="1"/>
      <c r="P58" s="1"/>
      <c r="Q58" s="3"/>
      <c r="R58" s="63" t="s">
        <v>568</v>
      </c>
      <c r="S58" s="1"/>
      <c r="T58" s="1"/>
      <c r="U58" s="1"/>
      <c r="V58" s="1"/>
      <c r="W58" s="1"/>
      <c r="X58" s="1"/>
      <c r="Y58" s="1"/>
      <c r="Z58" s="1"/>
    </row>
    <row r="59" spans="1:26" ht="360">
      <c r="A59" s="1"/>
      <c r="B59" s="1"/>
      <c r="C59" s="1"/>
      <c r="D59" s="1"/>
      <c r="E59" s="1"/>
      <c r="F59" s="3"/>
      <c r="G59" s="57" t="s">
        <v>569</v>
      </c>
      <c r="H59" s="1"/>
      <c r="I59" s="1"/>
      <c r="J59" s="1"/>
      <c r="K59" s="1"/>
      <c r="L59" s="71"/>
      <c r="M59" s="3"/>
      <c r="N59" s="62" t="s">
        <v>570</v>
      </c>
      <c r="O59" s="1"/>
      <c r="P59" s="1"/>
      <c r="Q59" s="3"/>
      <c r="R59" s="63" t="s">
        <v>571</v>
      </c>
      <c r="S59" s="1"/>
      <c r="T59" s="1"/>
      <c r="U59" s="1"/>
      <c r="V59" s="1"/>
      <c r="W59" s="1"/>
      <c r="X59" s="1"/>
      <c r="Y59" s="1"/>
      <c r="Z59" s="1"/>
    </row>
    <row r="60" spans="1:26" ht="375">
      <c r="A60" s="1"/>
      <c r="B60" s="1"/>
      <c r="C60" s="1"/>
      <c r="D60" s="1"/>
      <c r="E60" s="1"/>
      <c r="F60" s="3"/>
      <c r="G60" s="57" t="s">
        <v>572</v>
      </c>
      <c r="H60" s="1"/>
      <c r="I60" s="1"/>
      <c r="J60" s="1"/>
      <c r="K60" s="1"/>
      <c r="L60" s="71"/>
      <c r="M60" s="3"/>
      <c r="N60" s="62" t="s">
        <v>573</v>
      </c>
      <c r="O60" s="1"/>
      <c r="P60" s="1"/>
      <c r="Q60" s="3"/>
      <c r="R60" s="63" t="s">
        <v>574</v>
      </c>
      <c r="S60" s="1"/>
      <c r="T60" s="1"/>
      <c r="U60" s="1"/>
      <c r="V60" s="1"/>
      <c r="W60" s="1"/>
      <c r="X60" s="1"/>
      <c r="Y60" s="1"/>
      <c r="Z60" s="1"/>
    </row>
    <row r="61" spans="1:26" ht="120">
      <c r="A61" s="1"/>
      <c r="B61" s="1"/>
      <c r="C61" s="1"/>
      <c r="D61" s="1"/>
      <c r="E61" s="1"/>
      <c r="F61" s="3"/>
      <c r="G61" s="57" t="s">
        <v>575</v>
      </c>
      <c r="H61" s="1"/>
      <c r="I61" s="1"/>
      <c r="J61" s="1"/>
      <c r="K61" s="1"/>
      <c r="L61" s="71"/>
      <c r="M61" s="3"/>
      <c r="N61" s="62" t="s">
        <v>576</v>
      </c>
      <c r="O61" s="1"/>
      <c r="P61" s="1"/>
      <c r="Q61" s="3"/>
      <c r="R61" s="63" t="s">
        <v>577</v>
      </c>
      <c r="S61" s="1"/>
      <c r="T61" s="1"/>
      <c r="U61" s="1"/>
      <c r="V61" s="1"/>
      <c r="W61" s="1"/>
      <c r="X61" s="1"/>
      <c r="Y61" s="1"/>
      <c r="Z61" s="1"/>
    </row>
    <row r="62" spans="1:26" ht="90">
      <c r="A62" s="1"/>
      <c r="B62" s="1"/>
      <c r="C62" s="1"/>
      <c r="D62" s="1"/>
      <c r="E62" s="1"/>
      <c r="F62" s="3"/>
      <c r="G62" s="57" t="s">
        <v>578</v>
      </c>
      <c r="H62" s="1"/>
      <c r="I62" s="1"/>
      <c r="J62" s="1"/>
      <c r="K62" s="1"/>
      <c r="L62" s="71"/>
      <c r="M62" s="3"/>
      <c r="N62" s="62" t="s">
        <v>579</v>
      </c>
      <c r="O62" s="1"/>
      <c r="P62" s="1"/>
      <c r="Q62" s="3"/>
      <c r="R62" s="63" t="s">
        <v>580</v>
      </c>
      <c r="S62" s="1"/>
      <c r="T62" s="1"/>
      <c r="U62" s="1"/>
      <c r="V62" s="1"/>
      <c r="W62" s="1"/>
      <c r="X62" s="1"/>
      <c r="Y62" s="1"/>
      <c r="Z62" s="1"/>
    </row>
    <row r="63" spans="1:26" ht="105">
      <c r="A63" s="1"/>
      <c r="B63" s="1"/>
      <c r="C63" s="1"/>
      <c r="D63" s="1"/>
      <c r="E63" s="1"/>
      <c r="F63" s="3"/>
      <c r="G63" s="57" t="s">
        <v>581</v>
      </c>
      <c r="H63" s="1"/>
      <c r="I63" s="1"/>
      <c r="J63" s="1"/>
      <c r="K63" s="1"/>
      <c r="L63" s="71"/>
      <c r="M63" s="3"/>
      <c r="N63" s="62" t="s">
        <v>582</v>
      </c>
      <c r="O63" s="1"/>
      <c r="P63" s="1"/>
      <c r="Q63" s="3"/>
      <c r="R63" s="63" t="s">
        <v>583</v>
      </c>
      <c r="S63" s="1"/>
      <c r="T63" s="1"/>
      <c r="U63" s="1"/>
      <c r="V63" s="1"/>
      <c r="W63" s="1"/>
      <c r="X63" s="1"/>
      <c r="Y63" s="1"/>
      <c r="Z63" s="1"/>
    </row>
    <row r="64" spans="1:26" ht="270">
      <c r="A64" s="1"/>
      <c r="B64" s="1"/>
      <c r="C64" s="1"/>
      <c r="D64" s="1"/>
      <c r="E64" s="1"/>
      <c r="F64" s="3"/>
      <c r="G64" s="57" t="s">
        <v>584</v>
      </c>
      <c r="H64" s="1"/>
      <c r="I64" s="1"/>
      <c r="J64" s="1"/>
      <c r="K64" s="1"/>
      <c r="L64" s="71"/>
      <c r="M64" s="3"/>
      <c r="N64" s="62" t="s">
        <v>585</v>
      </c>
      <c r="O64" s="1"/>
      <c r="P64" s="1"/>
      <c r="Q64" s="3"/>
      <c r="R64" s="63" t="s">
        <v>586</v>
      </c>
      <c r="S64" s="1"/>
      <c r="T64" s="1"/>
      <c r="U64" s="1"/>
      <c r="V64" s="1"/>
      <c r="W64" s="1"/>
      <c r="X64" s="1"/>
      <c r="Y64" s="1"/>
      <c r="Z64" s="1"/>
    </row>
    <row r="65" spans="1:26" ht="150">
      <c r="A65" s="1"/>
      <c r="B65" s="1"/>
      <c r="C65" s="1"/>
      <c r="D65" s="1"/>
      <c r="E65" s="1"/>
      <c r="F65" s="3"/>
      <c r="G65" s="57" t="s">
        <v>587</v>
      </c>
      <c r="H65" s="1"/>
      <c r="I65" s="1"/>
      <c r="J65" s="1"/>
      <c r="K65" s="1"/>
      <c r="L65" s="71"/>
      <c r="M65" s="3"/>
      <c r="N65" s="62" t="s">
        <v>588</v>
      </c>
      <c r="O65" s="1"/>
      <c r="P65" s="1"/>
      <c r="Q65" s="3"/>
      <c r="R65" s="63" t="s">
        <v>589</v>
      </c>
      <c r="S65" s="1"/>
      <c r="T65" s="1"/>
      <c r="U65" s="1"/>
      <c r="V65" s="1"/>
      <c r="W65" s="1"/>
      <c r="X65" s="1"/>
      <c r="Y65" s="1"/>
      <c r="Z65" s="1"/>
    </row>
    <row r="66" spans="1:26" ht="90">
      <c r="A66" s="1"/>
      <c r="B66" s="1"/>
      <c r="C66" s="1"/>
      <c r="D66" s="1"/>
      <c r="E66" s="1"/>
      <c r="F66" s="3"/>
      <c r="G66" s="57" t="s">
        <v>590</v>
      </c>
      <c r="H66" s="1"/>
      <c r="I66" s="1"/>
      <c r="J66" s="1"/>
      <c r="K66" s="1"/>
      <c r="L66" s="71"/>
      <c r="M66" s="3"/>
      <c r="N66" s="62" t="s">
        <v>591</v>
      </c>
      <c r="O66" s="1"/>
      <c r="P66" s="1"/>
      <c r="Q66" s="3"/>
      <c r="R66" s="63" t="s">
        <v>592</v>
      </c>
      <c r="S66" s="1"/>
      <c r="T66" s="1"/>
      <c r="U66" s="1"/>
      <c r="V66" s="1"/>
      <c r="W66" s="1"/>
      <c r="X66" s="1"/>
      <c r="Y66" s="1"/>
      <c r="Z66" s="1"/>
    </row>
    <row r="67" spans="1:26" ht="150">
      <c r="A67" s="1"/>
      <c r="B67" s="1"/>
      <c r="C67" s="1"/>
      <c r="D67" s="1"/>
      <c r="E67" s="1"/>
      <c r="F67" s="3"/>
      <c r="G67" s="57" t="s">
        <v>593</v>
      </c>
      <c r="H67" s="1"/>
      <c r="I67" s="1"/>
      <c r="J67" s="1"/>
      <c r="K67" s="1"/>
      <c r="L67" s="71"/>
      <c r="M67" s="3"/>
      <c r="N67" s="62" t="s">
        <v>594</v>
      </c>
      <c r="O67" s="1"/>
      <c r="P67" s="1"/>
      <c r="Q67" s="3"/>
      <c r="R67" s="63" t="s">
        <v>595</v>
      </c>
      <c r="S67" s="1"/>
      <c r="T67" s="1"/>
      <c r="U67" s="1"/>
      <c r="V67" s="1"/>
      <c r="W67" s="1"/>
      <c r="X67" s="1"/>
      <c r="Y67" s="1"/>
      <c r="Z67" s="1"/>
    </row>
    <row r="68" spans="1:26" ht="165">
      <c r="A68" s="1"/>
      <c r="B68" s="1"/>
      <c r="C68" s="1"/>
      <c r="D68" s="1"/>
      <c r="E68" s="1"/>
      <c r="F68" s="3"/>
      <c r="G68" s="57" t="s">
        <v>17</v>
      </c>
      <c r="H68" s="1"/>
      <c r="I68" s="1"/>
      <c r="J68" s="1"/>
      <c r="K68" s="1"/>
      <c r="L68" s="71"/>
      <c r="M68" s="3"/>
      <c r="N68" s="62" t="s">
        <v>596</v>
      </c>
      <c r="O68" s="1"/>
      <c r="P68" s="1"/>
      <c r="Q68" s="3"/>
      <c r="R68" s="63" t="s">
        <v>597</v>
      </c>
      <c r="S68" s="1"/>
      <c r="T68" s="1"/>
      <c r="U68" s="1"/>
      <c r="V68" s="1"/>
      <c r="W68" s="1"/>
      <c r="X68" s="1"/>
      <c r="Y68" s="1"/>
      <c r="Z68" s="1"/>
    </row>
    <row r="69" spans="1:26" ht="120">
      <c r="A69" s="1"/>
      <c r="B69" s="1"/>
      <c r="C69" s="1"/>
      <c r="D69" s="1"/>
      <c r="E69" s="1"/>
      <c r="F69" s="3"/>
      <c r="G69" s="57" t="s">
        <v>598</v>
      </c>
      <c r="H69" s="1"/>
      <c r="I69" s="1"/>
      <c r="J69" s="1"/>
      <c r="K69" s="1"/>
      <c r="L69" s="71"/>
      <c r="M69" s="3"/>
      <c r="N69" s="62" t="s">
        <v>599</v>
      </c>
      <c r="O69" s="1"/>
      <c r="P69" s="1"/>
      <c r="Q69" s="3"/>
      <c r="R69" s="63" t="s">
        <v>600</v>
      </c>
      <c r="S69" s="1"/>
      <c r="T69" s="1"/>
      <c r="U69" s="1"/>
      <c r="V69" s="1"/>
      <c r="W69" s="1"/>
      <c r="X69" s="1"/>
      <c r="Y69" s="1"/>
      <c r="Z69" s="1"/>
    </row>
    <row r="70" spans="1:26" ht="90">
      <c r="A70" s="1"/>
      <c r="B70" s="1"/>
      <c r="C70" s="1"/>
      <c r="D70" s="1"/>
      <c r="E70" s="1"/>
      <c r="F70" s="3"/>
      <c r="G70" s="59" t="s">
        <v>601</v>
      </c>
      <c r="H70" s="1"/>
      <c r="I70" s="1"/>
      <c r="J70" s="1"/>
      <c r="K70" s="1"/>
      <c r="L70" s="71"/>
      <c r="M70" s="3"/>
      <c r="N70" s="62" t="s">
        <v>602</v>
      </c>
      <c r="O70" s="1"/>
      <c r="P70" s="1"/>
      <c r="Q70" s="3"/>
      <c r="R70" s="63" t="s">
        <v>603</v>
      </c>
      <c r="S70" s="1"/>
      <c r="T70" s="1"/>
      <c r="U70" s="1"/>
      <c r="V70" s="1"/>
      <c r="W70" s="1"/>
      <c r="X70" s="1"/>
      <c r="Y70" s="1"/>
      <c r="Z70" s="1"/>
    </row>
    <row r="71" spans="1:26" ht="105">
      <c r="A71" s="1"/>
      <c r="B71" s="1"/>
      <c r="C71" s="1"/>
      <c r="D71" s="1"/>
      <c r="E71" s="1"/>
      <c r="F71" s="3"/>
      <c r="G71" s="57" t="s">
        <v>604</v>
      </c>
      <c r="H71" s="1"/>
      <c r="I71" s="1"/>
      <c r="J71" s="1"/>
      <c r="K71" s="1"/>
      <c r="L71" s="71"/>
      <c r="M71" s="3"/>
      <c r="N71" s="62" t="s">
        <v>605</v>
      </c>
      <c r="O71" s="1"/>
      <c r="P71" s="1"/>
      <c r="Q71" s="3"/>
      <c r="R71" s="63" t="s">
        <v>606</v>
      </c>
      <c r="S71" s="1"/>
      <c r="T71" s="1"/>
      <c r="U71" s="1"/>
      <c r="V71" s="1"/>
      <c r="W71" s="1"/>
      <c r="X71" s="1"/>
      <c r="Y71" s="1"/>
      <c r="Z71" s="1"/>
    </row>
    <row r="72" spans="1:26" ht="180">
      <c r="A72" s="1"/>
      <c r="B72" s="1"/>
      <c r="C72" s="1"/>
      <c r="D72" s="1"/>
      <c r="E72" s="1"/>
      <c r="F72" s="3"/>
      <c r="G72" s="57" t="s">
        <v>607</v>
      </c>
      <c r="H72" s="1"/>
      <c r="I72" s="1"/>
      <c r="J72" s="1"/>
      <c r="K72" s="1"/>
      <c r="L72" s="71"/>
      <c r="M72" s="3"/>
      <c r="N72" s="62" t="s">
        <v>608</v>
      </c>
      <c r="O72" s="1"/>
      <c r="P72" s="1"/>
      <c r="Q72" s="3"/>
      <c r="R72" s="63" t="s">
        <v>609</v>
      </c>
      <c r="S72" s="1"/>
      <c r="T72" s="1"/>
      <c r="U72" s="1"/>
      <c r="V72" s="1"/>
      <c r="W72" s="1"/>
      <c r="X72" s="1"/>
      <c r="Y72" s="1"/>
      <c r="Z72" s="1"/>
    </row>
    <row r="73" spans="1:26" ht="165">
      <c r="A73" s="1"/>
      <c r="B73" s="1"/>
      <c r="C73" s="1"/>
      <c r="D73" s="1"/>
      <c r="E73" s="1"/>
      <c r="F73" s="3"/>
      <c r="G73" s="57" t="s">
        <v>610</v>
      </c>
      <c r="H73" s="1"/>
      <c r="I73" s="1"/>
      <c r="J73" s="1"/>
      <c r="K73" s="1"/>
      <c r="L73" s="71"/>
      <c r="M73" s="3"/>
      <c r="N73" s="62" t="s">
        <v>611</v>
      </c>
      <c r="O73" s="1"/>
      <c r="P73" s="1"/>
      <c r="Q73" s="3"/>
      <c r="R73" s="63" t="s">
        <v>612</v>
      </c>
      <c r="S73" s="1"/>
      <c r="T73" s="1"/>
      <c r="U73" s="1"/>
      <c r="V73" s="1"/>
      <c r="W73" s="1"/>
      <c r="X73" s="1"/>
      <c r="Y73" s="1"/>
      <c r="Z73" s="1"/>
    </row>
    <row r="74" spans="1:26" ht="75">
      <c r="A74" s="1"/>
      <c r="B74" s="1"/>
      <c r="C74" s="1"/>
      <c r="D74" s="1"/>
      <c r="E74" s="1"/>
      <c r="F74" s="3"/>
      <c r="G74" s="57" t="s">
        <v>613</v>
      </c>
      <c r="H74" s="1"/>
      <c r="I74" s="1"/>
      <c r="J74" s="1"/>
      <c r="K74" s="1"/>
      <c r="L74" s="71"/>
      <c r="M74" s="3"/>
      <c r="N74" s="62" t="s">
        <v>614</v>
      </c>
      <c r="O74" s="1"/>
      <c r="P74" s="1"/>
      <c r="Q74" s="3"/>
      <c r="R74" s="63" t="s">
        <v>615</v>
      </c>
      <c r="S74" s="1"/>
      <c r="T74" s="1"/>
      <c r="U74" s="1"/>
      <c r="V74" s="1"/>
      <c r="W74" s="1"/>
      <c r="X74" s="1"/>
      <c r="Y74" s="1"/>
      <c r="Z74" s="1"/>
    </row>
    <row r="75" spans="1:26" ht="225">
      <c r="A75" s="1"/>
      <c r="B75" s="1"/>
      <c r="C75" s="1"/>
      <c r="D75" s="1"/>
      <c r="E75" s="1"/>
      <c r="F75" s="3"/>
      <c r="G75" s="57" t="s">
        <v>616</v>
      </c>
      <c r="H75" s="1"/>
      <c r="I75" s="1"/>
      <c r="J75" s="1"/>
      <c r="K75" s="1"/>
      <c r="L75" s="71"/>
      <c r="M75" s="3"/>
      <c r="N75" s="62" t="s">
        <v>617</v>
      </c>
      <c r="O75" s="1"/>
      <c r="P75" s="1"/>
      <c r="Q75" s="3"/>
      <c r="R75" s="63" t="s">
        <v>618</v>
      </c>
      <c r="S75" s="1"/>
      <c r="T75" s="1"/>
      <c r="U75" s="1"/>
      <c r="V75" s="1"/>
      <c r="W75" s="1"/>
      <c r="X75" s="1"/>
      <c r="Y75" s="1"/>
      <c r="Z75" s="1"/>
    </row>
    <row r="76" spans="1:26" ht="195">
      <c r="A76" s="1"/>
      <c r="B76" s="1"/>
      <c r="C76" s="1"/>
      <c r="D76" s="1"/>
      <c r="E76" s="1"/>
      <c r="F76" s="3"/>
      <c r="G76" s="57" t="s">
        <v>619</v>
      </c>
      <c r="H76" s="1"/>
      <c r="I76" s="1"/>
      <c r="J76" s="1"/>
      <c r="K76" s="1"/>
      <c r="L76" s="71"/>
      <c r="M76" s="3"/>
      <c r="N76" s="62" t="s">
        <v>620</v>
      </c>
      <c r="O76" s="1"/>
      <c r="P76" s="1"/>
      <c r="Q76" s="3"/>
      <c r="R76" s="63" t="s">
        <v>621</v>
      </c>
      <c r="S76" s="1"/>
      <c r="T76" s="1"/>
      <c r="U76" s="1"/>
      <c r="V76" s="1"/>
      <c r="W76" s="1"/>
      <c r="X76" s="1"/>
      <c r="Y76" s="1"/>
      <c r="Z76" s="1"/>
    </row>
    <row r="77" spans="1:26" ht="225">
      <c r="A77" s="1"/>
      <c r="B77" s="1"/>
      <c r="C77" s="1"/>
      <c r="D77" s="1"/>
      <c r="E77" s="1"/>
      <c r="F77" s="3"/>
      <c r="G77" s="57" t="s">
        <v>622</v>
      </c>
      <c r="H77" s="1"/>
      <c r="I77" s="1"/>
      <c r="J77" s="1"/>
      <c r="K77" s="1"/>
      <c r="L77" s="71"/>
      <c r="M77" s="3"/>
      <c r="N77" s="62" t="s">
        <v>623</v>
      </c>
      <c r="O77" s="1"/>
      <c r="P77" s="1"/>
      <c r="Q77" s="3"/>
      <c r="R77" s="63" t="s">
        <v>624</v>
      </c>
      <c r="S77" s="1"/>
      <c r="T77" s="1"/>
      <c r="U77" s="1"/>
      <c r="V77" s="1"/>
      <c r="W77" s="1"/>
      <c r="X77" s="1"/>
      <c r="Y77" s="1"/>
      <c r="Z77" s="1"/>
    </row>
    <row r="78" spans="1:26" ht="150">
      <c r="A78" s="1"/>
      <c r="B78" s="1"/>
      <c r="C78" s="1"/>
      <c r="D78" s="1"/>
      <c r="E78" s="1"/>
      <c r="F78" s="3"/>
      <c r="G78" s="57" t="s">
        <v>625</v>
      </c>
      <c r="H78" s="1"/>
      <c r="I78" s="1"/>
      <c r="J78" s="1"/>
      <c r="K78" s="1"/>
      <c r="L78" s="71"/>
      <c r="M78" s="3"/>
      <c r="N78" s="62" t="s">
        <v>626</v>
      </c>
      <c r="O78" s="1"/>
      <c r="P78" s="1"/>
      <c r="Q78" s="3"/>
      <c r="R78" s="63" t="s">
        <v>627</v>
      </c>
      <c r="S78" s="1"/>
      <c r="T78" s="1"/>
      <c r="U78" s="1"/>
      <c r="V78" s="1"/>
      <c r="W78" s="1"/>
      <c r="X78" s="1"/>
      <c r="Y78" s="1"/>
      <c r="Z78" s="1"/>
    </row>
    <row r="79" spans="1:26" ht="105">
      <c r="A79" s="1"/>
      <c r="B79" s="1"/>
      <c r="C79" s="1"/>
      <c r="D79" s="1"/>
      <c r="E79" s="1"/>
      <c r="F79" s="3"/>
      <c r="G79" s="57" t="s">
        <v>628</v>
      </c>
      <c r="H79" s="1"/>
      <c r="I79" s="1"/>
      <c r="J79" s="1"/>
      <c r="K79" s="1"/>
      <c r="L79" s="71"/>
      <c r="M79" s="3"/>
      <c r="N79" s="62" t="s">
        <v>629</v>
      </c>
      <c r="O79" s="1"/>
      <c r="P79" s="1"/>
      <c r="Q79" s="3"/>
      <c r="R79" s="63" t="s">
        <v>630</v>
      </c>
      <c r="S79" s="1"/>
      <c r="T79" s="1"/>
      <c r="U79" s="1"/>
      <c r="V79" s="1"/>
      <c r="W79" s="1"/>
      <c r="X79" s="1"/>
      <c r="Y79" s="1"/>
      <c r="Z79" s="1"/>
    </row>
    <row r="80" spans="1:26" ht="120">
      <c r="A80" s="1"/>
      <c r="B80" s="1"/>
      <c r="C80" s="1"/>
      <c r="D80" s="1"/>
      <c r="E80" s="1"/>
      <c r="F80" s="3"/>
      <c r="G80" s="57" t="s">
        <v>631</v>
      </c>
      <c r="H80" s="1"/>
      <c r="I80" s="1"/>
      <c r="J80" s="1"/>
      <c r="K80" s="1"/>
      <c r="L80" s="71"/>
      <c r="M80" s="3"/>
      <c r="N80" s="62" t="s">
        <v>632</v>
      </c>
      <c r="O80" s="1"/>
      <c r="P80" s="1"/>
      <c r="Q80" s="3"/>
      <c r="R80" s="63" t="s">
        <v>633</v>
      </c>
      <c r="S80" s="1"/>
      <c r="T80" s="1"/>
      <c r="U80" s="1"/>
      <c r="V80" s="1"/>
      <c r="W80" s="1"/>
      <c r="X80" s="1"/>
      <c r="Y80" s="1"/>
      <c r="Z80" s="1"/>
    </row>
    <row r="81" spans="1:26" ht="165">
      <c r="A81" s="1"/>
      <c r="B81" s="1"/>
      <c r="C81" s="1"/>
      <c r="D81" s="1"/>
      <c r="E81" s="1"/>
      <c r="F81" s="3"/>
      <c r="G81" s="57" t="s">
        <v>634</v>
      </c>
      <c r="H81" s="1"/>
      <c r="I81" s="1"/>
      <c r="J81" s="1"/>
      <c r="K81" s="1"/>
      <c r="L81" s="71"/>
      <c r="M81" s="3"/>
      <c r="N81" s="68" t="s">
        <v>635</v>
      </c>
      <c r="O81" s="1"/>
      <c r="P81" s="1"/>
      <c r="Q81" s="3"/>
      <c r="R81" s="63" t="s">
        <v>636</v>
      </c>
      <c r="S81" s="1"/>
      <c r="T81" s="1"/>
      <c r="U81" s="1"/>
      <c r="V81" s="1"/>
      <c r="W81" s="1"/>
      <c r="X81" s="1"/>
      <c r="Y81" s="1"/>
      <c r="Z81" s="1"/>
    </row>
    <row r="82" spans="1:26" ht="150">
      <c r="A82" s="1"/>
      <c r="B82" s="1"/>
      <c r="C82" s="1"/>
      <c r="D82" s="1"/>
      <c r="E82" s="1"/>
      <c r="F82" s="3"/>
      <c r="G82" s="57" t="s">
        <v>637</v>
      </c>
      <c r="H82" s="1"/>
      <c r="I82" s="1"/>
      <c r="J82" s="1"/>
      <c r="K82" s="1"/>
      <c r="L82" s="71"/>
      <c r="M82" s="3"/>
      <c r="N82" s="62" t="s">
        <v>638</v>
      </c>
      <c r="O82" s="1"/>
      <c r="P82" s="1"/>
      <c r="Q82" s="3"/>
      <c r="R82" s="63" t="s">
        <v>639</v>
      </c>
      <c r="S82" s="1"/>
      <c r="T82" s="1"/>
      <c r="U82" s="1"/>
      <c r="V82" s="1"/>
      <c r="W82" s="1"/>
      <c r="X82" s="1"/>
      <c r="Y82" s="1"/>
      <c r="Z82" s="1"/>
    </row>
    <row r="83" spans="1:26" ht="165">
      <c r="A83" s="1"/>
      <c r="B83" s="1"/>
      <c r="C83" s="1"/>
      <c r="D83" s="1"/>
      <c r="E83" s="1"/>
      <c r="F83" s="3"/>
      <c r="G83" s="57" t="s">
        <v>640</v>
      </c>
      <c r="H83" s="1"/>
      <c r="I83" s="1"/>
      <c r="J83" s="1"/>
      <c r="K83" s="1"/>
      <c r="L83" s="71"/>
      <c r="M83" s="3"/>
      <c r="N83" s="62" t="s">
        <v>641</v>
      </c>
      <c r="O83" s="1"/>
      <c r="P83" s="1"/>
      <c r="Q83" s="3"/>
      <c r="R83" s="63" t="s">
        <v>642</v>
      </c>
      <c r="S83" s="1"/>
      <c r="T83" s="1"/>
      <c r="U83" s="1"/>
      <c r="V83" s="1"/>
      <c r="W83" s="1"/>
      <c r="X83" s="1"/>
      <c r="Y83" s="1"/>
      <c r="Z83" s="1"/>
    </row>
    <row r="84" spans="1:26" ht="345">
      <c r="A84" s="1"/>
      <c r="B84" s="1"/>
      <c r="C84" s="1"/>
      <c r="D84" s="1"/>
      <c r="E84" s="1"/>
      <c r="F84" s="3"/>
      <c r="G84" s="57" t="s">
        <v>643</v>
      </c>
      <c r="H84" s="1"/>
      <c r="I84" s="1"/>
      <c r="J84" s="1"/>
      <c r="K84" s="1"/>
      <c r="L84" s="71"/>
      <c r="M84" s="3"/>
      <c r="N84" s="62" t="s">
        <v>644</v>
      </c>
      <c r="O84" s="1"/>
      <c r="P84" s="1"/>
      <c r="Q84" s="3"/>
      <c r="R84" s="63" t="s">
        <v>645</v>
      </c>
      <c r="S84" s="1"/>
      <c r="T84" s="1"/>
      <c r="U84" s="1"/>
      <c r="V84" s="1"/>
      <c r="W84" s="1"/>
      <c r="X84" s="1"/>
      <c r="Y84" s="1"/>
      <c r="Z84" s="1"/>
    </row>
    <row r="85" spans="1:26" ht="270">
      <c r="A85" s="1"/>
      <c r="B85" s="1"/>
      <c r="C85" s="1"/>
      <c r="D85" s="1"/>
      <c r="E85" s="1"/>
      <c r="F85" s="3"/>
      <c r="G85" s="74" t="s">
        <v>646</v>
      </c>
      <c r="H85" s="1"/>
      <c r="I85" s="1"/>
      <c r="J85" s="1"/>
      <c r="K85" s="1"/>
      <c r="L85" s="71"/>
      <c r="M85" s="3"/>
      <c r="N85" s="62" t="s">
        <v>647</v>
      </c>
      <c r="O85" s="1"/>
      <c r="P85" s="1"/>
      <c r="Q85" s="3"/>
      <c r="R85" s="63" t="s">
        <v>648</v>
      </c>
      <c r="S85" s="1"/>
      <c r="T85" s="1"/>
      <c r="U85" s="1"/>
      <c r="V85" s="1"/>
      <c r="W85" s="1"/>
      <c r="X85" s="1"/>
      <c r="Y85" s="1"/>
      <c r="Z85" s="1"/>
    </row>
    <row r="86" spans="1:26" ht="135">
      <c r="A86" s="1"/>
      <c r="B86" s="1"/>
      <c r="C86" s="1"/>
      <c r="D86" s="1"/>
      <c r="E86" s="1"/>
      <c r="F86" s="3"/>
      <c r="G86" s="57" t="s">
        <v>649</v>
      </c>
      <c r="H86" s="1"/>
      <c r="I86" s="1"/>
      <c r="J86" s="1"/>
      <c r="K86" s="1"/>
      <c r="L86" s="71"/>
      <c r="M86" s="3"/>
      <c r="N86" s="62" t="s">
        <v>650</v>
      </c>
      <c r="O86" s="1"/>
      <c r="P86" s="1"/>
      <c r="Q86" s="3"/>
      <c r="R86" s="63" t="s">
        <v>651</v>
      </c>
      <c r="S86" s="1"/>
      <c r="T86" s="1"/>
      <c r="U86" s="1"/>
      <c r="V86" s="1"/>
      <c r="W86" s="1"/>
      <c r="X86" s="1"/>
      <c r="Y86" s="1"/>
      <c r="Z86" s="1"/>
    </row>
    <row r="87" spans="1:26" ht="270">
      <c r="A87" s="1"/>
      <c r="B87" s="1"/>
      <c r="C87" s="1"/>
      <c r="D87" s="1"/>
      <c r="E87" s="1"/>
      <c r="F87" s="3"/>
      <c r="G87" s="59" t="s">
        <v>652</v>
      </c>
      <c r="H87" s="1"/>
      <c r="I87" s="1"/>
      <c r="J87" s="1"/>
      <c r="K87" s="1"/>
      <c r="L87" s="71"/>
      <c r="M87" s="3"/>
      <c r="N87" s="68" t="s">
        <v>653</v>
      </c>
      <c r="O87" s="1"/>
      <c r="P87" s="1"/>
      <c r="Q87" s="3"/>
      <c r="R87" s="63" t="s">
        <v>654</v>
      </c>
      <c r="S87" s="1"/>
      <c r="T87" s="1"/>
      <c r="U87" s="1"/>
      <c r="V87" s="1"/>
      <c r="W87" s="1"/>
      <c r="X87" s="1"/>
      <c r="Y87" s="1"/>
      <c r="Z87" s="1"/>
    </row>
    <row r="88" spans="1:26" ht="210">
      <c r="A88" s="1"/>
      <c r="B88" s="1"/>
      <c r="C88" s="1"/>
      <c r="D88" s="1"/>
      <c r="E88" s="1"/>
      <c r="F88" s="3"/>
      <c r="G88" s="57" t="s">
        <v>655</v>
      </c>
      <c r="H88" s="1"/>
      <c r="I88" s="1"/>
      <c r="J88" s="1"/>
      <c r="K88" s="1"/>
      <c r="L88" s="71"/>
      <c r="M88" s="3"/>
      <c r="N88" s="65" t="s">
        <v>656</v>
      </c>
      <c r="O88" s="1"/>
      <c r="P88" s="1"/>
      <c r="Q88" s="3"/>
      <c r="R88" s="63" t="s">
        <v>657</v>
      </c>
      <c r="S88" s="1"/>
      <c r="T88" s="1"/>
      <c r="U88" s="1"/>
      <c r="V88" s="1"/>
      <c r="W88" s="1"/>
      <c r="X88" s="1"/>
      <c r="Y88" s="1"/>
      <c r="Z88" s="1"/>
    </row>
    <row r="89" spans="1:26" ht="195">
      <c r="A89" s="1"/>
      <c r="B89" s="1"/>
      <c r="C89" s="1"/>
      <c r="D89" s="1"/>
      <c r="E89" s="1"/>
      <c r="F89" s="3"/>
      <c r="G89" s="57" t="s">
        <v>658</v>
      </c>
      <c r="H89" s="1"/>
      <c r="I89" s="1"/>
      <c r="J89" s="1"/>
      <c r="K89" s="1"/>
      <c r="L89" s="71"/>
      <c r="M89" s="3"/>
      <c r="N89" s="68" t="s">
        <v>659</v>
      </c>
      <c r="O89" s="1"/>
      <c r="P89" s="1"/>
      <c r="Q89" s="3"/>
      <c r="R89" s="63" t="s">
        <v>660</v>
      </c>
      <c r="S89" s="1"/>
      <c r="T89" s="1"/>
      <c r="U89" s="1"/>
      <c r="V89" s="1"/>
      <c r="W89" s="1"/>
      <c r="X89" s="1"/>
      <c r="Y89" s="1"/>
      <c r="Z89" s="1"/>
    </row>
    <row r="90" spans="1:26" ht="120">
      <c r="A90" s="1"/>
      <c r="B90" s="1"/>
      <c r="C90" s="1"/>
      <c r="D90" s="1"/>
      <c r="E90" s="1"/>
      <c r="F90" s="3"/>
      <c r="G90" s="57" t="s">
        <v>661</v>
      </c>
      <c r="H90" s="1"/>
      <c r="I90" s="1"/>
      <c r="J90" s="1"/>
      <c r="K90" s="1"/>
      <c r="L90" s="71"/>
      <c r="M90" s="3"/>
      <c r="N90" s="62" t="s">
        <v>662</v>
      </c>
      <c r="O90" s="1"/>
      <c r="P90" s="1"/>
      <c r="Q90" s="3"/>
      <c r="R90" s="63" t="s">
        <v>663</v>
      </c>
      <c r="S90" s="1"/>
      <c r="T90" s="1"/>
      <c r="U90" s="1"/>
      <c r="V90" s="1"/>
      <c r="W90" s="1"/>
      <c r="X90" s="1"/>
      <c r="Y90" s="1"/>
      <c r="Z90" s="1"/>
    </row>
    <row r="91" spans="1:26" ht="75">
      <c r="A91" s="1"/>
      <c r="B91" s="1"/>
      <c r="C91" s="1"/>
      <c r="D91" s="1"/>
      <c r="E91" s="1"/>
      <c r="F91" s="3"/>
      <c r="G91" s="57" t="s">
        <v>664</v>
      </c>
      <c r="H91" s="1"/>
      <c r="I91" s="1"/>
      <c r="J91" s="1"/>
      <c r="K91" s="1"/>
      <c r="L91" s="57"/>
      <c r="M91" s="3"/>
      <c r="N91" s="62" t="s">
        <v>665</v>
      </c>
      <c r="O91" s="1"/>
      <c r="P91" s="1"/>
      <c r="Q91" s="3"/>
      <c r="R91" s="63" t="s">
        <v>666</v>
      </c>
      <c r="S91" s="1"/>
      <c r="T91" s="1"/>
      <c r="U91" s="1"/>
      <c r="V91" s="1"/>
      <c r="W91" s="1"/>
      <c r="X91" s="1"/>
      <c r="Y91" s="1"/>
      <c r="Z91" s="1"/>
    </row>
    <row r="92" spans="1:26" ht="165">
      <c r="A92" s="1"/>
      <c r="B92" s="1"/>
      <c r="C92" s="1"/>
      <c r="D92" s="1"/>
      <c r="E92" s="1"/>
      <c r="F92" s="3"/>
      <c r="G92" s="74" t="s">
        <v>667</v>
      </c>
      <c r="H92" s="1"/>
      <c r="I92" s="1"/>
      <c r="J92" s="1"/>
      <c r="K92" s="1"/>
      <c r="L92" s="1"/>
      <c r="M92" s="3"/>
      <c r="N92" s="62" t="s">
        <v>668</v>
      </c>
      <c r="O92" s="1"/>
      <c r="P92" s="1"/>
      <c r="Q92" s="3"/>
      <c r="R92" s="63" t="s">
        <v>669</v>
      </c>
      <c r="S92" s="1"/>
      <c r="T92" s="1"/>
      <c r="U92" s="1"/>
      <c r="V92" s="1"/>
      <c r="W92" s="1"/>
      <c r="X92" s="1"/>
      <c r="Y92" s="1"/>
      <c r="Z92" s="1"/>
    </row>
    <row r="93" spans="1:26" ht="75">
      <c r="A93" s="1"/>
      <c r="B93" s="1"/>
      <c r="C93" s="1"/>
      <c r="D93" s="1"/>
      <c r="E93" s="1"/>
      <c r="F93" s="3"/>
      <c r="G93" s="57" t="s">
        <v>670</v>
      </c>
      <c r="H93" s="1"/>
      <c r="I93" s="1"/>
      <c r="J93" s="1"/>
      <c r="K93" s="1"/>
      <c r="L93" s="71"/>
      <c r="M93" s="3"/>
      <c r="N93" s="68" t="s">
        <v>671</v>
      </c>
      <c r="O93" s="1"/>
      <c r="P93" s="1"/>
      <c r="Q93" s="3"/>
      <c r="R93" s="63" t="s">
        <v>672</v>
      </c>
      <c r="S93" s="1"/>
      <c r="T93" s="1"/>
      <c r="U93" s="1"/>
      <c r="V93" s="1"/>
      <c r="W93" s="1"/>
      <c r="X93" s="1"/>
      <c r="Y93" s="1"/>
      <c r="Z93" s="1"/>
    </row>
    <row r="94" spans="1:26" ht="135">
      <c r="A94" s="1"/>
      <c r="B94" s="1"/>
      <c r="C94" s="1"/>
      <c r="D94" s="1"/>
      <c r="E94" s="1"/>
      <c r="F94" s="3"/>
      <c r="G94" s="59" t="s">
        <v>673</v>
      </c>
      <c r="H94" s="1"/>
      <c r="I94" s="1"/>
      <c r="J94" s="1"/>
      <c r="K94" s="1"/>
      <c r="L94" s="71"/>
      <c r="M94" s="3"/>
      <c r="N94" s="76" t="s">
        <v>674</v>
      </c>
      <c r="O94" s="1"/>
      <c r="P94" s="1"/>
      <c r="Q94" s="3"/>
      <c r="R94" s="63" t="s">
        <v>675</v>
      </c>
      <c r="S94" s="1"/>
      <c r="T94" s="1"/>
      <c r="U94" s="1"/>
      <c r="V94" s="1"/>
      <c r="W94" s="1"/>
      <c r="X94" s="1"/>
      <c r="Y94" s="1"/>
      <c r="Z94" s="1"/>
    </row>
    <row r="95" spans="1:26" ht="23.25">
      <c r="A95" s="1"/>
      <c r="B95" s="1"/>
      <c r="C95" s="1"/>
      <c r="D95" s="1"/>
      <c r="E95" s="1"/>
      <c r="F95" s="3"/>
      <c r="G95" s="57" t="s">
        <v>676</v>
      </c>
      <c r="H95" s="1"/>
      <c r="I95" s="1"/>
      <c r="J95" s="1"/>
      <c r="K95" s="1"/>
      <c r="L95" s="71"/>
      <c r="M95" s="1"/>
      <c r="N95" s="1"/>
      <c r="O95" s="1"/>
      <c r="P95" s="1"/>
      <c r="Q95" s="3"/>
      <c r="R95" s="63" t="s">
        <v>677</v>
      </c>
      <c r="S95" s="1"/>
      <c r="T95" s="1"/>
      <c r="U95" s="1"/>
      <c r="V95" s="1"/>
      <c r="W95" s="1"/>
      <c r="X95" s="1"/>
      <c r="Y95" s="1"/>
      <c r="Z95" s="1"/>
    </row>
    <row r="96" spans="1:26" ht="34.5">
      <c r="A96" s="1"/>
      <c r="B96" s="1"/>
      <c r="C96" s="1"/>
      <c r="D96" s="1"/>
      <c r="E96" s="1"/>
      <c r="F96" s="3"/>
      <c r="G96" s="57" t="s">
        <v>678</v>
      </c>
      <c r="H96" s="1"/>
      <c r="I96" s="1"/>
      <c r="J96" s="1"/>
      <c r="K96" s="1"/>
      <c r="L96" s="71"/>
      <c r="M96" s="1"/>
      <c r="N96" s="1"/>
      <c r="O96" s="1"/>
      <c r="P96" s="1"/>
      <c r="Q96" s="3"/>
      <c r="R96" s="63" t="s">
        <v>679</v>
      </c>
      <c r="S96" s="1"/>
      <c r="T96" s="1"/>
      <c r="U96" s="1"/>
      <c r="V96" s="1"/>
      <c r="W96" s="1"/>
      <c r="X96" s="1"/>
      <c r="Y96" s="1"/>
      <c r="Z96" s="1"/>
    </row>
    <row r="97" spans="1:26" ht="34.5">
      <c r="A97" s="1"/>
      <c r="B97" s="1"/>
      <c r="C97" s="1"/>
      <c r="D97" s="1"/>
      <c r="E97" s="1"/>
      <c r="F97" s="3"/>
      <c r="G97" s="57" t="s">
        <v>680</v>
      </c>
      <c r="H97" s="1"/>
      <c r="I97" s="1"/>
      <c r="J97" s="1"/>
      <c r="K97" s="1"/>
      <c r="L97" s="71"/>
      <c r="M97" s="1"/>
      <c r="N97" s="1"/>
      <c r="O97" s="1"/>
      <c r="P97" s="1"/>
      <c r="Q97" s="3"/>
      <c r="R97" s="63" t="s">
        <v>681</v>
      </c>
      <c r="S97" s="1"/>
      <c r="T97" s="1"/>
      <c r="U97" s="1"/>
      <c r="V97" s="1"/>
      <c r="W97" s="1"/>
      <c r="X97" s="1"/>
      <c r="Y97" s="1"/>
      <c r="Z97" s="1"/>
    </row>
    <row r="98" spans="1:26" ht="34.5">
      <c r="A98" s="1"/>
      <c r="B98" s="1"/>
      <c r="C98" s="1"/>
      <c r="D98" s="1"/>
      <c r="E98" s="1"/>
      <c r="F98" s="3"/>
      <c r="G98" s="57" t="s">
        <v>682</v>
      </c>
      <c r="H98" s="1"/>
      <c r="I98" s="1"/>
      <c r="J98" s="1"/>
      <c r="K98" s="1"/>
      <c r="L98" s="71"/>
      <c r="M98" s="1"/>
      <c r="N98" s="1"/>
      <c r="O98" s="1"/>
      <c r="P98" s="1"/>
      <c r="Q98" s="3"/>
      <c r="R98" s="63" t="s">
        <v>683</v>
      </c>
      <c r="S98" s="1"/>
      <c r="T98" s="1"/>
      <c r="U98" s="1"/>
      <c r="V98" s="1"/>
      <c r="W98" s="1"/>
      <c r="X98" s="1"/>
      <c r="Y98" s="1"/>
      <c r="Z98" s="1"/>
    </row>
    <row r="99" spans="1:26" ht="15">
      <c r="A99" s="1"/>
      <c r="B99" s="1"/>
      <c r="C99" s="1"/>
      <c r="D99" s="1"/>
      <c r="E99" s="1"/>
      <c r="F99" s="3"/>
      <c r="G99" s="57" t="s">
        <v>684</v>
      </c>
      <c r="H99" s="1"/>
      <c r="I99" s="1"/>
      <c r="J99" s="1"/>
      <c r="K99" s="1"/>
      <c r="L99" s="71"/>
      <c r="M99" s="1"/>
      <c r="N99" s="1"/>
      <c r="O99" s="1"/>
      <c r="P99" s="1"/>
      <c r="Q99" s="3"/>
      <c r="R99" s="63" t="s">
        <v>685</v>
      </c>
      <c r="S99" s="1"/>
      <c r="T99" s="1"/>
      <c r="U99" s="1"/>
      <c r="V99" s="1"/>
      <c r="W99" s="1"/>
      <c r="X99" s="1"/>
      <c r="Y99" s="1"/>
      <c r="Z99" s="1"/>
    </row>
    <row r="100" spans="1:26" ht="15">
      <c r="A100" s="1"/>
      <c r="B100" s="1"/>
      <c r="C100" s="1"/>
      <c r="D100" s="1"/>
      <c r="E100" s="1"/>
      <c r="F100" s="3"/>
      <c r="G100" s="57" t="s">
        <v>686</v>
      </c>
      <c r="H100" s="1"/>
      <c r="I100" s="1"/>
      <c r="J100" s="1"/>
      <c r="K100" s="1"/>
      <c r="L100" s="71"/>
      <c r="M100" s="1"/>
      <c r="N100" s="1"/>
      <c r="O100" s="1"/>
      <c r="P100" s="1"/>
      <c r="Q100" s="1"/>
      <c r="R100" s="77"/>
      <c r="S100" s="1"/>
      <c r="T100" s="1"/>
      <c r="U100" s="1"/>
      <c r="V100" s="1"/>
      <c r="W100" s="1"/>
      <c r="X100" s="1"/>
      <c r="Y100" s="1"/>
      <c r="Z100" s="1"/>
    </row>
    <row r="101" spans="1:26" ht="15">
      <c r="A101" s="1"/>
      <c r="B101" s="1"/>
      <c r="C101" s="1"/>
      <c r="D101" s="1"/>
      <c r="E101" s="1"/>
      <c r="F101" s="3"/>
      <c r="G101" s="74" t="s">
        <v>687</v>
      </c>
      <c r="H101" s="1"/>
      <c r="I101" s="1"/>
      <c r="J101" s="1"/>
      <c r="K101" s="1"/>
      <c r="L101" s="7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>
      <c r="A102" s="1"/>
      <c r="B102" s="1"/>
      <c r="C102" s="1"/>
      <c r="D102" s="1"/>
      <c r="E102" s="1"/>
      <c r="F102" s="3"/>
      <c r="G102" s="57" t="s">
        <v>688</v>
      </c>
      <c r="H102" s="1"/>
      <c r="I102" s="1"/>
      <c r="J102" s="1"/>
      <c r="K102" s="1"/>
      <c r="L102" s="7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>
      <c r="A103" s="1"/>
      <c r="B103" s="1"/>
      <c r="C103" s="1"/>
      <c r="D103" s="1"/>
      <c r="E103" s="1"/>
      <c r="F103" s="3"/>
      <c r="G103" s="57" t="s">
        <v>689</v>
      </c>
      <c r="H103" s="1"/>
      <c r="I103" s="1"/>
      <c r="J103" s="1"/>
      <c r="K103" s="1"/>
      <c r="L103" s="7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>
      <c r="A104" s="1"/>
      <c r="B104" s="1"/>
      <c r="C104" s="1"/>
      <c r="D104" s="1"/>
      <c r="E104" s="1"/>
      <c r="F104" s="3"/>
      <c r="G104" s="57" t="s">
        <v>690</v>
      </c>
      <c r="H104" s="1"/>
      <c r="I104" s="1"/>
      <c r="J104" s="1"/>
      <c r="K104" s="1"/>
      <c r="L104" s="7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>
      <c r="A105" s="1"/>
      <c r="B105" s="1"/>
      <c r="C105" s="1"/>
      <c r="D105" s="1"/>
      <c r="E105" s="1"/>
      <c r="F105" s="3"/>
      <c r="G105" s="57" t="s">
        <v>691</v>
      </c>
      <c r="H105" s="1"/>
      <c r="I105" s="1"/>
      <c r="J105" s="1"/>
      <c r="K105" s="1"/>
      <c r="L105" s="7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>
      <c r="A106" s="1"/>
      <c r="B106" s="1"/>
      <c r="C106" s="1"/>
      <c r="D106" s="1"/>
      <c r="E106" s="1"/>
      <c r="F106" s="3"/>
      <c r="G106" s="74" t="s">
        <v>692</v>
      </c>
      <c r="H106" s="1"/>
      <c r="I106" s="1"/>
      <c r="J106" s="1"/>
      <c r="K106" s="1"/>
      <c r="L106" s="7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>
      <c r="A107" s="1"/>
      <c r="B107" s="1"/>
      <c r="C107" s="1"/>
      <c r="D107" s="1"/>
      <c r="E107" s="1"/>
      <c r="F107" s="3"/>
      <c r="G107" s="74" t="s">
        <v>693</v>
      </c>
      <c r="H107" s="1"/>
      <c r="I107" s="1"/>
      <c r="J107" s="1"/>
      <c r="K107" s="1"/>
      <c r="L107" s="7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>
      <c r="A108" s="1"/>
      <c r="B108" s="1"/>
      <c r="C108" s="1"/>
      <c r="D108" s="1"/>
      <c r="E108" s="1"/>
      <c r="F108" s="3"/>
      <c r="G108" s="74" t="s">
        <v>694</v>
      </c>
      <c r="H108" s="1"/>
      <c r="I108" s="1"/>
      <c r="J108" s="1"/>
      <c r="K108" s="1"/>
      <c r="L108" s="7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>
      <c r="A109" s="1"/>
      <c r="B109" s="1"/>
      <c r="C109" s="1"/>
      <c r="D109" s="1"/>
      <c r="E109" s="1"/>
      <c r="F109" s="3"/>
      <c r="G109" s="57" t="s">
        <v>695</v>
      </c>
      <c r="H109" s="1"/>
      <c r="I109" s="1"/>
      <c r="J109" s="1"/>
      <c r="K109" s="1"/>
      <c r="L109" s="7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>
      <c r="A110" s="1"/>
      <c r="B110" s="1"/>
      <c r="C110" s="1"/>
      <c r="D110" s="1"/>
      <c r="E110" s="1"/>
      <c r="F110" s="3"/>
      <c r="G110" s="57" t="s">
        <v>696</v>
      </c>
      <c r="H110" s="1"/>
      <c r="I110" s="1"/>
      <c r="J110" s="1"/>
      <c r="K110" s="1"/>
      <c r="L110" s="7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>
      <c r="A111" s="1"/>
      <c r="B111" s="1"/>
      <c r="C111" s="1"/>
      <c r="D111" s="1"/>
      <c r="E111" s="1"/>
      <c r="F111" s="3"/>
      <c r="G111" s="57" t="s">
        <v>697</v>
      </c>
      <c r="H111" s="1"/>
      <c r="I111" s="1"/>
      <c r="J111" s="1"/>
      <c r="K111" s="1"/>
      <c r="L111" s="7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>
      <c r="A112" s="1"/>
      <c r="B112" s="1"/>
      <c r="C112" s="1"/>
      <c r="D112" s="1"/>
      <c r="E112" s="1"/>
      <c r="F112" s="3"/>
      <c r="G112" s="78" t="s">
        <v>698</v>
      </c>
      <c r="H112" s="1"/>
      <c r="I112" s="1"/>
      <c r="J112" s="1"/>
      <c r="K112" s="1"/>
      <c r="L112" s="7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>
      <c r="A113" s="1"/>
      <c r="B113" s="1"/>
      <c r="C113" s="1"/>
      <c r="D113" s="1"/>
      <c r="E113" s="1"/>
      <c r="F113" s="3"/>
      <c r="G113" s="59" t="s">
        <v>699</v>
      </c>
      <c r="H113" s="1"/>
      <c r="I113" s="1"/>
      <c r="J113" s="1"/>
      <c r="K113" s="1"/>
      <c r="L113" s="7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7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7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7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7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7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7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7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7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7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7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7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7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7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7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7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7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7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7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7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7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7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7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7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7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7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7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7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7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7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7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7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7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57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D22:D23"/>
    <mergeCell ref="D25:D28"/>
    <mergeCell ref="D29:D31"/>
    <mergeCell ref="D3:D5"/>
    <mergeCell ref="D9:D10"/>
    <mergeCell ref="D11:D13"/>
    <mergeCell ref="D14:D15"/>
    <mergeCell ref="D18:D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615"/>
  <sheetViews>
    <sheetView workbookViewId="0"/>
  </sheetViews>
  <sheetFormatPr baseColWidth="10" defaultColWidth="12.5703125" defaultRowHeight="15.75" customHeight="1"/>
  <sheetData>
    <row r="1" spans="1:3">
      <c r="A1" s="79" t="str">
        <f ca="1">IFERROR(__xludf.DUMMYFUNCTION("QUERY(IMPORTRANGE(""1zyBd8IQlNAQI1DEiTZxkkEb6cvqE5P_ZcRvK_jum_2c"",""'Campos meta'!A:C""),""SELECT *"",1)"),"ID")</f>
        <v>ID</v>
      </c>
      <c r="B1" s="79" t="str">
        <f ca="1">IFERROR(__xludf.DUMMYFUNCTION("""COMPUTED_VALUE"""),"UNIDAD DE MEDIDA")</f>
        <v>UNIDAD DE MEDIDA</v>
      </c>
      <c r="C1" s="79" t="str">
        <f ca="1">IFERROR(__xludf.DUMMYFUNCTION("""COMPUTED_VALUE"""),"META PROGRAMADA")</f>
        <v>META PROGRAMADA</v>
      </c>
    </row>
    <row r="2" spans="1:3">
      <c r="A2" s="79" t="str">
        <f ca="1">IFERROR(__xludf.DUMMYFUNCTION("""COMPUTED_VALUE"""),"1.0.0.0")</f>
        <v>1.0.0.0</v>
      </c>
      <c r="B2" s="79" t="str">
        <f ca="1">IFERROR(__xludf.DUMMYFUNCTION("""COMPUTED_VALUE"""),"Porcentaje")</f>
        <v>Porcentaje</v>
      </c>
      <c r="C2" s="80">
        <f ca="1">IFERROR(__xludf.DUMMYFUNCTION("""COMPUTED_VALUE"""),8)</f>
        <v>8</v>
      </c>
    </row>
    <row r="3" spans="1:3">
      <c r="A3" s="79" t="str">
        <f ca="1">IFERROR(__xludf.DUMMYFUNCTION("""COMPUTED_VALUE"""),"1.1.0.0")</f>
        <v>1.1.0.0</v>
      </c>
      <c r="B3" s="79" t="str">
        <f ca="1">IFERROR(__xludf.DUMMYFUNCTION("""COMPUTED_VALUE"""),"Porcentaje")</f>
        <v>Porcentaje</v>
      </c>
      <c r="C3" s="80">
        <f ca="1">IFERROR(__xludf.DUMMYFUNCTION("""COMPUTED_VALUE"""),7865)</f>
        <v>7865</v>
      </c>
    </row>
    <row r="4" spans="1:3">
      <c r="A4" s="79" t="str">
        <f ca="1">IFERROR(__xludf.DUMMYFUNCTION("""COMPUTED_VALUE"""),"1.1.1.0")</f>
        <v>1.1.1.0</v>
      </c>
      <c r="B4" s="79" t="str">
        <f ca="1">IFERROR(__xludf.DUMMYFUNCTION("""COMPUTED_VALUE"""),"Porcentaje")</f>
        <v>Porcentaje</v>
      </c>
      <c r="C4" s="80">
        <f ca="1">IFERROR(__xludf.DUMMYFUNCTION("""COMPUTED_VALUE"""),500)</f>
        <v>500</v>
      </c>
    </row>
    <row r="5" spans="1:3">
      <c r="A5" s="79" t="str">
        <f ca="1">IFERROR(__xludf.DUMMYFUNCTION("""COMPUTED_VALUE"""),"1.1.1.1")</f>
        <v>1.1.1.1</v>
      </c>
      <c r="B5" s="79" t="str">
        <f ca="1">IFERROR(__xludf.DUMMYFUNCTION("""COMPUTED_VALUE"""),"Porcentaje")</f>
        <v>Porcentaje</v>
      </c>
      <c r="C5" s="80">
        <f ca="1">IFERROR(__xludf.DUMMYFUNCTION("""COMPUTED_VALUE"""),24)</f>
        <v>24</v>
      </c>
    </row>
    <row r="6" spans="1:3">
      <c r="A6" s="79" t="str">
        <f ca="1">IFERROR(__xludf.DUMMYFUNCTION("""COMPUTED_VALUE"""),"1.1.1.2")</f>
        <v>1.1.1.2</v>
      </c>
      <c r="B6" s="79" t="str">
        <f ca="1">IFERROR(__xludf.DUMMYFUNCTION("""COMPUTED_VALUE"""),"Porcentaje")</f>
        <v>Porcentaje</v>
      </c>
      <c r="C6" s="80">
        <f ca="1">IFERROR(__xludf.DUMMYFUNCTION("""COMPUTED_VALUE"""),11)</f>
        <v>11</v>
      </c>
    </row>
    <row r="7" spans="1:3">
      <c r="A7" s="79" t="str">
        <f ca="1">IFERROR(__xludf.DUMMYFUNCTION("""COMPUTED_VALUE"""),"1.1.1.3")</f>
        <v>1.1.1.3</v>
      </c>
      <c r="B7" s="79" t="str">
        <f ca="1">IFERROR(__xludf.DUMMYFUNCTION("""COMPUTED_VALUE"""),"Promedio")</f>
        <v>Promedio</v>
      </c>
      <c r="C7" s="80">
        <f ca="1">IFERROR(__xludf.DUMMYFUNCTION("""COMPUTED_VALUE"""),270)</f>
        <v>270</v>
      </c>
    </row>
    <row r="8" spans="1:3">
      <c r="A8" s="79" t="str">
        <f ca="1">IFERROR(__xludf.DUMMYFUNCTION("""COMPUTED_VALUE"""),"1.1.1.4")</f>
        <v>1.1.1.4</v>
      </c>
      <c r="B8" s="79" t="str">
        <f ca="1">IFERROR(__xludf.DUMMYFUNCTION("""COMPUTED_VALUE"""),"Porcentaje")</f>
        <v>Porcentaje</v>
      </c>
      <c r="C8" s="80">
        <f ca="1">IFERROR(__xludf.DUMMYFUNCTION("""COMPUTED_VALUE"""),7)</f>
        <v>7</v>
      </c>
    </row>
    <row r="9" spans="1:3">
      <c r="A9" s="79" t="str">
        <f ca="1">IFERROR(__xludf.DUMMYFUNCTION("""COMPUTED_VALUE"""),"1.1.1.5")</f>
        <v>1.1.1.5</v>
      </c>
      <c r="B9" s="79" t="str">
        <f ca="1">IFERROR(__xludf.DUMMYFUNCTION("""COMPUTED_VALUE"""),"Porcentaje")</f>
        <v>Porcentaje</v>
      </c>
      <c r="C9" s="80">
        <f ca="1">IFERROR(__xludf.DUMMYFUNCTION("""COMPUTED_VALUE"""),422)</f>
        <v>422</v>
      </c>
    </row>
    <row r="10" spans="1:3">
      <c r="A10" s="79" t="str">
        <f ca="1">IFERROR(__xludf.DUMMYFUNCTION("""COMPUTED_VALUE"""),"1.1.2.0")</f>
        <v>1.1.2.0</v>
      </c>
      <c r="B10" s="79" t="str">
        <f ca="1">IFERROR(__xludf.DUMMYFUNCTION("""COMPUTED_VALUE"""),"Porcentaje")</f>
        <v>Porcentaje</v>
      </c>
      <c r="C10" s="80">
        <f ca="1">IFERROR(__xludf.DUMMYFUNCTION("""COMPUTED_VALUE"""),6)</f>
        <v>6</v>
      </c>
    </row>
    <row r="11" spans="1:3">
      <c r="A11" s="79" t="str">
        <f ca="1">IFERROR(__xludf.DUMMYFUNCTION("""COMPUTED_VALUE"""),"1.1.2.1")</f>
        <v>1.1.2.1</v>
      </c>
      <c r="B11" s="79" t="str">
        <f ca="1">IFERROR(__xludf.DUMMYFUNCTION("""COMPUTED_VALUE"""),"Porcentaje")</f>
        <v>Porcentaje</v>
      </c>
      <c r="C11" s="80">
        <f ca="1">IFERROR(__xludf.DUMMYFUNCTION("""COMPUTED_VALUE"""),2)</f>
        <v>2</v>
      </c>
    </row>
    <row r="12" spans="1:3">
      <c r="A12" s="79" t="str">
        <f ca="1">IFERROR(__xludf.DUMMYFUNCTION("""COMPUTED_VALUE"""),"1.1.3.0")</f>
        <v>1.1.3.0</v>
      </c>
      <c r="B12" s="79" t="str">
        <f ca="1">IFERROR(__xludf.DUMMYFUNCTION("""COMPUTED_VALUE"""),"Porcentaje")</f>
        <v>Porcentaje</v>
      </c>
      <c r="C12" s="80">
        <f ca="1">IFERROR(__xludf.DUMMYFUNCTION("""COMPUTED_VALUE"""),2)</f>
        <v>2</v>
      </c>
    </row>
    <row r="13" spans="1:3">
      <c r="A13" s="79" t="str">
        <f ca="1">IFERROR(__xludf.DUMMYFUNCTION("""COMPUTED_VALUE"""),"1.1.3.1")</f>
        <v>1.1.3.1</v>
      </c>
      <c r="B13" s="79" t="str">
        <f ca="1">IFERROR(__xludf.DUMMYFUNCTION("""COMPUTED_VALUE"""),"Porcentaje")</f>
        <v>Porcentaje</v>
      </c>
      <c r="C13" s="80">
        <f ca="1">IFERROR(__xludf.DUMMYFUNCTION("""COMPUTED_VALUE"""),12)</f>
        <v>12</v>
      </c>
    </row>
    <row r="14" spans="1:3">
      <c r="A14" s="79" t="str">
        <f ca="1">IFERROR(__xludf.DUMMYFUNCTION("""COMPUTED_VALUE"""),"1.1.4.0")</f>
        <v>1.1.4.0</v>
      </c>
      <c r="B14" s="79" t="str">
        <f ca="1">IFERROR(__xludf.DUMMYFUNCTION("""COMPUTED_VALUE"""),"Porcentaje")</f>
        <v>Porcentaje</v>
      </c>
      <c r="C14" s="80">
        <f ca="1">IFERROR(__xludf.DUMMYFUNCTION("""COMPUTED_VALUE"""),120)</f>
        <v>120</v>
      </c>
    </row>
    <row r="15" spans="1:3">
      <c r="A15" s="79" t="str">
        <f ca="1">IFERROR(__xludf.DUMMYFUNCTION("""COMPUTED_VALUE"""),"1.1.4.1")</f>
        <v>1.1.4.1</v>
      </c>
      <c r="B15" s="79" t="str">
        <f ca="1">IFERROR(__xludf.DUMMYFUNCTION("""COMPUTED_VALUE"""),"Porcentaje")</f>
        <v>Porcentaje</v>
      </c>
      <c r="C15" s="80">
        <f ca="1">IFERROR(__xludf.DUMMYFUNCTION("""COMPUTED_VALUE"""),3500)</f>
        <v>3500</v>
      </c>
    </row>
    <row r="16" spans="1:3">
      <c r="A16" s="79" t="str">
        <f ca="1">IFERROR(__xludf.DUMMYFUNCTION("""COMPUTED_VALUE"""),"1.1.4.2")</f>
        <v>1.1.4.2</v>
      </c>
      <c r="B16" s="79" t="str">
        <f ca="1">IFERROR(__xludf.DUMMYFUNCTION("""COMPUTED_VALUE"""),"Porcentaje")</f>
        <v>Porcentaje</v>
      </c>
      <c r="C16" s="80">
        <f ca="1">IFERROR(__xludf.DUMMYFUNCTION("""COMPUTED_VALUE"""),90)</f>
        <v>90</v>
      </c>
    </row>
    <row r="17" spans="1:3">
      <c r="A17" s="79" t="str">
        <f ca="1">IFERROR(__xludf.DUMMYFUNCTION("""COMPUTED_VALUE"""),"1.1.4.3")</f>
        <v>1.1.4.3</v>
      </c>
      <c r="B17" s="79" t="str">
        <f ca="1">IFERROR(__xludf.DUMMYFUNCTION("""COMPUTED_VALUE"""),"Porcentaje")</f>
        <v>Porcentaje</v>
      </c>
      <c r="C17" s="80">
        <f ca="1">IFERROR(__xludf.DUMMYFUNCTION("""COMPUTED_VALUE"""),200)</f>
        <v>200</v>
      </c>
    </row>
    <row r="18" spans="1:3">
      <c r="A18" s="79" t="str">
        <f ca="1">IFERROR(__xludf.DUMMYFUNCTION("""COMPUTED_VALUE"""),"1.1.4.4")</f>
        <v>1.1.4.4</v>
      </c>
      <c r="B18" s="79" t="str">
        <f ca="1">IFERROR(__xludf.DUMMYFUNCTION("""COMPUTED_VALUE"""),"Porcentaje")</f>
        <v>Porcentaje</v>
      </c>
      <c r="C18" s="80">
        <f ca="1">IFERROR(__xludf.DUMMYFUNCTION("""COMPUTED_VALUE"""),250)</f>
        <v>250</v>
      </c>
    </row>
    <row r="19" spans="1:3">
      <c r="A19" s="79" t="str">
        <f ca="1">IFERROR(__xludf.DUMMYFUNCTION("""COMPUTED_VALUE"""),"1.1.5.0")</f>
        <v>1.1.5.0</v>
      </c>
      <c r="B19" s="79" t="str">
        <f ca="1">IFERROR(__xludf.DUMMYFUNCTION("""COMPUTED_VALUE"""),"Porcentaje")</f>
        <v>Porcentaje</v>
      </c>
      <c r="C19" s="80">
        <f ca="1">IFERROR(__xludf.DUMMYFUNCTION("""COMPUTED_VALUE"""),80)</f>
        <v>80</v>
      </c>
    </row>
    <row r="20" spans="1:3">
      <c r="A20" s="79" t="str">
        <f ca="1">IFERROR(__xludf.DUMMYFUNCTION("""COMPUTED_VALUE"""),"1.1.5.1")</f>
        <v>1.1.5.1</v>
      </c>
      <c r="B20" s="79" t="str">
        <f ca="1">IFERROR(__xludf.DUMMYFUNCTION("""COMPUTED_VALUE"""),"Porcentaje")</f>
        <v>Porcentaje</v>
      </c>
      <c r="C20" s="80">
        <f ca="1">IFERROR(__xludf.DUMMYFUNCTION("""COMPUTED_VALUE"""),2)</f>
        <v>2</v>
      </c>
    </row>
    <row r="21" spans="1:3">
      <c r="A21" s="79" t="str">
        <f ca="1">IFERROR(__xludf.DUMMYFUNCTION("""COMPUTED_VALUE"""),"1.1.5.2")</f>
        <v>1.1.5.2</v>
      </c>
      <c r="B21" s="79" t="str">
        <f ca="1">IFERROR(__xludf.DUMMYFUNCTION("""COMPUTED_VALUE"""),"Porcentaje")</f>
        <v>Porcentaje</v>
      </c>
      <c r="C21" s="80">
        <f ca="1">IFERROR(__xludf.DUMMYFUNCTION("""COMPUTED_VALUE"""),1300)</f>
        <v>1300</v>
      </c>
    </row>
    <row r="22" spans="1:3">
      <c r="A22" s="79" t="str">
        <f ca="1">IFERROR(__xludf.DUMMYFUNCTION("""COMPUTED_VALUE"""),"1.1.5.3")</f>
        <v>1.1.5.3</v>
      </c>
      <c r="B22" s="79" t="str">
        <f ca="1">IFERROR(__xludf.DUMMYFUNCTION("""COMPUTED_VALUE"""),"Porcentaje")</f>
        <v>Porcentaje</v>
      </c>
      <c r="C22" s="80">
        <f ca="1">IFERROR(__xludf.DUMMYFUNCTION("""COMPUTED_VALUE"""),12)</f>
        <v>12</v>
      </c>
    </row>
    <row r="23" spans="1:3">
      <c r="A23" s="79" t="str">
        <f ca="1">IFERROR(__xludf.DUMMYFUNCTION("""COMPUTED_VALUE"""),"1.1.6.0")</f>
        <v>1.1.6.0</v>
      </c>
      <c r="B23" s="79" t="str">
        <f ca="1">IFERROR(__xludf.DUMMYFUNCTION("""COMPUTED_VALUE"""),"Porcentaje")</f>
        <v>Porcentaje</v>
      </c>
      <c r="C23" s="80">
        <f ca="1">IFERROR(__xludf.DUMMYFUNCTION("""COMPUTED_VALUE"""),2400)</f>
        <v>2400</v>
      </c>
    </row>
    <row r="24" spans="1:3">
      <c r="A24" s="79" t="str">
        <f ca="1">IFERROR(__xludf.DUMMYFUNCTION("""COMPUTED_VALUE"""),"1.1.6.1")</f>
        <v>1.1.6.1</v>
      </c>
      <c r="B24" s="79" t="str">
        <f ca="1">IFERROR(__xludf.DUMMYFUNCTION("""COMPUTED_VALUE"""),"Porcentaje")</f>
        <v>Porcentaje</v>
      </c>
      <c r="C24" s="80">
        <f ca="1">IFERROR(__xludf.DUMMYFUNCTION("""COMPUTED_VALUE"""),200)</f>
        <v>200</v>
      </c>
    </row>
    <row r="25" spans="1:3">
      <c r="A25" s="79" t="str">
        <f ca="1">IFERROR(__xludf.DUMMYFUNCTION("""COMPUTED_VALUE"""),"1.1.7.0")</f>
        <v>1.1.7.0</v>
      </c>
      <c r="B25" s="79" t="str">
        <f ca="1">IFERROR(__xludf.DUMMYFUNCTION("""COMPUTED_VALUE"""),"Porcentaje")</f>
        <v>Porcentaje</v>
      </c>
      <c r="C25" s="80">
        <f ca="1">IFERROR(__xludf.DUMMYFUNCTION("""COMPUTED_VALUE"""),2500)</f>
        <v>2500</v>
      </c>
    </row>
    <row r="26" spans="1:3">
      <c r="A26" s="79" t="str">
        <f ca="1">IFERROR(__xludf.DUMMYFUNCTION("""COMPUTED_VALUE"""),"1.1.7.1")</f>
        <v>1.1.7.1</v>
      </c>
      <c r="B26" s="79" t="str">
        <f ca="1">IFERROR(__xludf.DUMMYFUNCTION("""COMPUTED_VALUE"""),"Porcentaje")</f>
        <v>Porcentaje</v>
      </c>
      <c r="C26" s="80">
        <f ca="1">IFERROR(__xludf.DUMMYFUNCTION("""COMPUTED_VALUE"""),45)</f>
        <v>45</v>
      </c>
    </row>
    <row r="27" spans="1:3">
      <c r="A27" s="79" t="str">
        <f ca="1">IFERROR(__xludf.DUMMYFUNCTION("""COMPUTED_VALUE"""),"1.1.7.2")</f>
        <v>1.1.7.2</v>
      </c>
      <c r="B27" s="79" t="str">
        <f ca="1">IFERROR(__xludf.DUMMYFUNCTION("""COMPUTED_VALUE"""),"Porcentaje")</f>
        <v>Porcentaje</v>
      </c>
      <c r="C27" s="80">
        <f ca="1">IFERROR(__xludf.DUMMYFUNCTION("""COMPUTED_VALUE"""),180)</f>
        <v>180</v>
      </c>
    </row>
    <row r="28" spans="1:3">
      <c r="A28" s="79" t="str">
        <f ca="1">IFERROR(__xludf.DUMMYFUNCTION("""COMPUTED_VALUE"""),"1.1.7.3")</f>
        <v>1.1.7.3</v>
      </c>
      <c r="B28" s="79" t="str">
        <f ca="1">IFERROR(__xludf.DUMMYFUNCTION("""COMPUTED_VALUE"""),"Porcentaje")</f>
        <v>Porcentaje</v>
      </c>
      <c r="C28" s="80">
        <f ca="1">IFERROR(__xludf.DUMMYFUNCTION("""COMPUTED_VALUE"""),720)</f>
        <v>720</v>
      </c>
    </row>
    <row r="29" spans="1:3">
      <c r="A29" s="79" t="str">
        <f ca="1">IFERROR(__xludf.DUMMYFUNCTION("""COMPUTED_VALUE"""),"1.1.8.0")</f>
        <v>1.1.8.0</v>
      </c>
      <c r="B29" s="79" t="str">
        <f ca="1">IFERROR(__xludf.DUMMYFUNCTION("""COMPUTED_VALUE"""),"Porcentaje")</f>
        <v>Porcentaje</v>
      </c>
      <c r="C29" s="80">
        <f ca="1">IFERROR(__xludf.DUMMYFUNCTION("""COMPUTED_VALUE"""),440)</f>
        <v>440</v>
      </c>
    </row>
    <row r="30" spans="1:3">
      <c r="A30" s="79" t="str">
        <f ca="1">IFERROR(__xludf.DUMMYFUNCTION("""COMPUTED_VALUE"""),"1.1.8.1")</f>
        <v>1.1.8.1</v>
      </c>
      <c r="B30" s="79" t="str">
        <f ca="1">IFERROR(__xludf.DUMMYFUNCTION("""COMPUTED_VALUE"""),"Porcentaje")</f>
        <v>Porcentaje</v>
      </c>
      <c r="C30" s="80">
        <f ca="1">IFERROR(__xludf.DUMMYFUNCTION("""COMPUTED_VALUE"""),410)</f>
        <v>410</v>
      </c>
    </row>
    <row r="31" spans="1:3">
      <c r="A31" s="79" t="str">
        <f ca="1">IFERROR(__xludf.DUMMYFUNCTION("""COMPUTED_VALUE"""),"1.1.8.2")</f>
        <v>1.1.8.2</v>
      </c>
      <c r="B31" s="79" t="str">
        <f ca="1">IFERROR(__xludf.DUMMYFUNCTION("""COMPUTED_VALUE"""),"Porcentaje")</f>
        <v>Porcentaje</v>
      </c>
      <c r="C31" s="80">
        <f ca="1">IFERROR(__xludf.DUMMYFUNCTION("""COMPUTED_VALUE"""),30)</f>
        <v>30</v>
      </c>
    </row>
    <row r="32" spans="1:3">
      <c r="A32" s="79" t="str">
        <f ca="1">IFERROR(__xludf.DUMMYFUNCTION("""COMPUTED_VALUE"""),"1.1.9.0")</f>
        <v>1.1.9.0</v>
      </c>
      <c r="B32" s="79" t="str">
        <f ca="1">IFERROR(__xludf.DUMMYFUNCTION("""COMPUTED_VALUE"""),"Porcentaje")</f>
        <v>Porcentaje</v>
      </c>
      <c r="C32" s="80">
        <f ca="1">IFERROR(__xludf.DUMMYFUNCTION("""COMPUTED_VALUE"""),50)</f>
        <v>50</v>
      </c>
    </row>
    <row r="33" spans="1:3">
      <c r="A33" s="79" t="str">
        <f ca="1">IFERROR(__xludf.DUMMYFUNCTION("""COMPUTED_VALUE"""),"1.1.9.1")</f>
        <v>1.1.9.1</v>
      </c>
      <c r="B33" s="79" t="str">
        <f ca="1">IFERROR(__xludf.DUMMYFUNCTION("""COMPUTED_VALUE"""),"Porcentaje")</f>
        <v>Porcentaje</v>
      </c>
      <c r="C33" s="80">
        <f ca="1">IFERROR(__xludf.DUMMYFUNCTION("""COMPUTED_VALUE"""),400)</f>
        <v>400</v>
      </c>
    </row>
    <row r="34" spans="1:3">
      <c r="A34" s="79" t="str">
        <f ca="1">IFERROR(__xludf.DUMMYFUNCTION("""COMPUTED_VALUE"""),"1.1.9.2")</f>
        <v>1.1.9.2</v>
      </c>
      <c r="B34" s="79" t="str">
        <f ca="1">IFERROR(__xludf.DUMMYFUNCTION("""COMPUTED_VALUE"""),"Porcentaje")</f>
        <v>Porcentaje</v>
      </c>
      <c r="C34" s="80">
        <f ca="1">IFERROR(__xludf.DUMMYFUNCTION("""COMPUTED_VALUE"""),40)</f>
        <v>40</v>
      </c>
    </row>
    <row r="35" spans="1:3">
      <c r="A35" s="79" t="str">
        <f ca="1">IFERROR(__xludf.DUMMYFUNCTION("""COMPUTED_VALUE"""),"1.1.9.3")</f>
        <v>1.1.9.3</v>
      </c>
      <c r="B35" s="79" t="str">
        <f ca="1">IFERROR(__xludf.DUMMYFUNCTION("""COMPUTED_VALUE"""),"Porcentaje")</f>
        <v>Porcentaje</v>
      </c>
      <c r="C35" s="80">
        <f ca="1">IFERROR(__xludf.DUMMYFUNCTION("""COMPUTED_VALUE"""),20)</f>
        <v>20</v>
      </c>
    </row>
    <row r="36" spans="1:3">
      <c r="A36" s="79" t="str">
        <f ca="1">IFERROR(__xludf.DUMMYFUNCTION("""COMPUTED_VALUE"""),"2.0.0.0")</f>
        <v>2.0.0.0</v>
      </c>
      <c r="B36" s="79" t="str">
        <f ca="1">IFERROR(__xludf.DUMMYFUNCTION("""COMPUTED_VALUE"""),"Porcentaje")</f>
        <v>Porcentaje</v>
      </c>
      <c r="C36" s="80">
        <f ca="1">IFERROR(__xludf.DUMMYFUNCTION("""COMPUTED_VALUE"""),44359)</f>
        <v>44359</v>
      </c>
    </row>
    <row r="37" spans="1:3">
      <c r="A37" s="79" t="str">
        <f ca="1">IFERROR(__xludf.DUMMYFUNCTION("""COMPUTED_VALUE"""),"2.1.0.0")</f>
        <v>2.1.0.0</v>
      </c>
      <c r="B37" s="79" t="str">
        <f ca="1">IFERROR(__xludf.DUMMYFUNCTION("""COMPUTED_VALUE"""),"Porcentaje")</f>
        <v>Porcentaje</v>
      </c>
      <c r="C37" s="80">
        <f ca="1">IFERROR(__xludf.DUMMYFUNCTION("""COMPUTED_VALUE"""),1531976)</f>
        <v>1531976</v>
      </c>
    </row>
    <row r="38" spans="1:3">
      <c r="A38" s="79" t="str">
        <f ca="1">IFERROR(__xludf.DUMMYFUNCTION("""COMPUTED_VALUE"""),"2.1.1.0")</f>
        <v>2.1.1.0</v>
      </c>
      <c r="B38" s="79" t="str">
        <f ca="1">IFERROR(__xludf.DUMMYFUNCTION("""COMPUTED_VALUE"""),"Porcentaje")</f>
        <v>Porcentaje</v>
      </c>
      <c r="C38" s="80">
        <f ca="1">IFERROR(__xludf.DUMMYFUNCTION("""COMPUTED_VALUE"""),9)</f>
        <v>9</v>
      </c>
    </row>
    <row r="39" spans="1:3">
      <c r="A39" s="79" t="str">
        <f ca="1">IFERROR(__xludf.DUMMYFUNCTION("""COMPUTED_VALUE"""),"2.1.1.1")</f>
        <v>2.1.1.1</v>
      </c>
      <c r="B39" s="79" t="str">
        <f ca="1">IFERROR(__xludf.DUMMYFUNCTION("""COMPUTED_VALUE"""),"Porcentaje")</f>
        <v>Porcentaje</v>
      </c>
      <c r="C39" s="80">
        <f ca="1">IFERROR(__xludf.DUMMYFUNCTION("""COMPUTED_VALUE"""),7500)</f>
        <v>7500</v>
      </c>
    </row>
    <row r="40" spans="1:3">
      <c r="A40" s="79" t="str">
        <f ca="1">IFERROR(__xludf.DUMMYFUNCTION("""COMPUTED_VALUE"""),"2.1.1.2")</f>
        <v>2.1.1.2</v>
      </c>
      <c r="B40" s="79" t="str">
        <f ca="1">IFERROR(__xludf.DUMMYFUNCTION("""COMPUTED_VALUE"""),"Porcentaje")</f>
        <v>Porcentaje</v>
      </c>
      <c r="C40" s="80">
        <f ca="1">IFERROR(__xludf.DUMMYFUNCTION("""COMPUTED_VALUE"""),1500)</f>
        <v>1500</v>
      </c>
    </row>
    <row r="41" spans="1:3">
      <c r="A41" s="79" t="str">
        <f ca="1">IFERROR(__xludf.DUMMYFUNCTION("""COMPUTED_VALUE"""),"2.1.1.3")</f>
        <v>2.1.1.3</v>
      </c>
      <c r="B41" s="79" t="str">
        <f ca="1">IFERROR(__xludf.DUMMYFUNCTION("""COMPUTED_VALUE"""),"Porcentaje")</f>
        <v>Porcentaje</v>
      </c>
      <c r="C41" s="80">
        <f ca="1">IFERROR(__xludf.DUMMYFUNCTION("""COMPUTED_VALUE"""),5000)</f>
        <v>5000</v>
      </c>
    </row>
    <row r="42" spans="1:3">
      <c r="A42" s="79" t="str">
        <f ca="1">IFERROR(__xludf.DUMMYFUNCTION("""COMPUTED_VALUE"""),"2.1.1.4")</f>
        <v>2.1.1.4</v>
      </c>
      <c r="B42" s="79" t="str">
        <f ca="1">IFERROR(__xludf.DUMMYFUNCTION("""COMPUTED_VALUE"""),"Porcentaje")</f>
        <v>Porcentaje</v>
      </c>
      <c r="C42" s="80">
        <f ca="1">IFERROR(__xludf.DUMMYFUNCTION("""COMPUTED_VALUE"""),8769)</f>
        <v>8769</v>
      </c>
    </row>
    <row r="43" spans="1:3">
      <c r="A43" s="79" t="str">
        <f ca="1">IFERROR(__xludf.DUMMYFUNCTION("""COMPUTED_VALUE"""),"2.1.1.5")</f>
        <v>2.1.1.5</v>
      </c>
      <c r="B43" s="79" t="str">
        <f ca="1">IFERROR(__xludf.DUMMYFUNCTION("""COMPUTED_VALUE"""),"Porcentaje")</f>
        <v>Porcentaje</v>
      </c>
      <c r="C43" s="80">
        <f ca="1">IFERROR(__xludf.DUMMYFUNCTION("""COMPUTED_VALUE"""),1190350)</f>
        <v>1190350</v>
      </c>
    </row>
    <row r="44" spans="1:3">
      <c r="A44" s="79" t="str">
        <f ca="1">IFERROR(__xludf.DUMMYFUNCTION("""COMPUTED_VALUE"""),"2.1.1.6")</f>
        <v>2.1.1.6</v>
      </c>
      <c r="B44" s="79" t="str">
        <f ca="1">IFERROR(__xludf.DUMMYFUNCTION("""COMPUTED_VALUE"""),"Porcentaje")</f>
        <v>Porcentaje</v>
      </c>
      <c r="C44" s="80">
        <f ca="1">IFERROR(__xludf.DUMMYFUNCTION("""COMPUTED_VALUE"""),27852)</f>
        <v>27852</v>
      </c>
    </row>
    <row r="45" spans="1:3">
      <c r="A45" s="79" t="str">
        <f ca="1">IFERROR(__xludf.DUMMYFUNCTION("""COMPUTED_VALUE"""),"2.1.1.7")</f>
        <v>2.1.1.7</v>
      </c>
      <c r="B45" s="79" t="str">
        <f ca="1">IFERROR(__xludf.DUMMYFUNCTION("""COMPUTED_VALUE"""),"Porcentaje")</f>
        <v>Porcentaje</v>
      </c>
      <c r="C45" s="80">
        <f ca="1">IFERROR(__xludf.DUMMYFUNCTION("""COMPUTED_VALUE"""),2196)</f>
        <v>2196</v>
      </c>
    </row>
    <row r="46" spans="1:3">
      <c r="A46" s="79" t="str">
        <f ca="1">IFERROR(__xludf.DUMMYFUNCTION("""COMPUTED_VALUE"""),"2.1.1.8")</f>
        <v>2.1.1.8</v>
      </c>
      <c r="B46" s="79" t="str">
        <f ca="1">IFERROR(__xludf.DUMMYFUNCTION("""COMPUTED_VALUE"""),"Porcentaje")</f>
        <v>Porcentaje</v>
      </c>
      <c r="C46" s="80">
        <f ca="1">IFERROR(__xludf.DUMMYFUNCTION("""COMPUTED_VALUE"""),6500)</f>
        <v>6500</v>
      </c>
    </row>
    <row r="47" spans="1:3">
      <c r="A47" s="79" t="str">
        <f ca="1">IFERROR(__xludf.DUMMYFUNCTION("""COMPUTED_VALUE"""),"2.1.1.9")</f>
        <v>2.1.1.9</v>
      </c>
      <c r="B47" s="79" t="str">
        <f ca="1">IFERROR(__xludf.DUMMYFUNCTION("""COMPUTED_VALUE"""),"Promedio")</f>
        <v>Promedio</v>
      </c>
      <c r="C47" s="80">
        <f ca="1">IFERROR(__xludf.DUMMYFUNCTION("""COMPUTED_VALUE"""),2280)</f>
        <v>2280</v>
      </c>
    </row>
    <row r="48" spans="1:3">
      <c r="A48" s="79" t="str">
        <f ca="1">IFERROR(__xludf.DUMMYFUNCTION("""COMPUTED_VALUE"""),"2.1.1.10")</f>
        <v>2.1.1.10</v>
      </c>
      <c r="B48" s="79" t="str">
        <f ca="1">IFERROR(__xludf.DUMMYFUNCTION("""COMPUTED_VALUE"""),"Porcentaje")</f>
        <v>Porcentaje</v>
      </c>
      <c r="C48" s="80">
        <f ca="1">IFERROR(__xludf.DUMMYFUNCTION("""COMPUTED_VALUE"""),14000)</f>
        <v>14000</v>
      </c>
    </row>
    <row r="49" spans="1:3">
      <c r="A49" s="79" t="str">
        <f ca="1">IFERROR(__xludf.DUMMYFUNCTION("""COMPUTED_VALUE"""),"2.1.1.11")</f>
        <v>2.1.1.11</v>
      </c>
      <c r="B49" s="79" t="str">
        <f ca="1">IFERROR(__xludf.DUMMYFUNCTION("""COMPUTED_VALUE"""),"Porcentaje")</f>
        <v>Porcentaje</v>
      </c>
      <c r="C49" s="80">
        <f ca="1">IFERROR(__xludf.DUMMYFUNCTION("""COMPUTED_VALUE"""),29000)</f>
        <v>29000</v>
      </c>
    </row>
    <row r="50" spans="1:3">
      <c r="A50" s="79" t="str">
        <f ca="1">IFERROR(__xludf.DUMMYFUNCTION("""COMPUTED_VALUE"""),"2.1.1.12")</f>
        <v>2.1.1.12</v>
      </c>
      <c r="B50" s="79" t="str">
        <f ca="1">IFERROR(__xludf.DUMMYFUNCTION("""COMPUTED_VALUE"""),"Promedio")</f>
        <v>Promedio</v>
      </c>
      <c r="C50" s="80">
        <f ca="1">IFERROR(__xludf.DUMMYFUNCTION("""COMPUTED_VALUE"""),1650)</f>
        <v>1650</v>
      </c>
    </row>
    <row r="51" spans="1:3">
      <c r="A51" s="79" t="str">
        <f ca="1">IFERROR(__xludf.DUMMYFUNCTION("""COMPUTED_VALUE"""),"2.1.1.13")</f>
        <v>2.1.1.13</v>
      </c>
      <c r="B51" s="79" t="str">
        <f ca="1">IFERROR(__xludf.DUMMYFUNCTION("""COMPUTED_VALUE"""),"Porcentaje")</f>
        <v>Porcentaje</v>
      </c>
      <c r="C51" s="80">
        <f ca="1">IFERROR(__xludf.DUMMYFUNCTION("""COMPUTED_VALUE"""),250000)</f>
        <v>250000</v>
      </c>
    </row>
    <row r="52" spans="1:3">
      <c r="A52" s="79" t="str">
        <f ca="1">IFERROR(__xludf.DUMMYFUNCTION("""COMPUTED_VALUE"""),"2.1.1.14")</f>
        <v>2.1.1.14</v>
      </c>
      <c r="B52" s="79" t="str">
        <f ca="1">IFERROR(__xludf.DUMMYFUNCTION("""COMPUTED_VALUE"""),"Promedio")</f>
        <v>Promedio</v>
      </c>
      <c r="C52" s="80">
        <f ca="1">IFERROR(__xludf.DUMMYFUNCTION("""COMPUTED_VALUE"""),4500)</f>
        <v>4500</v>
      </c>
    </row>
    <row r="53" spans="1:3">
      <c r="A53" s="79" t="str">
        <f ca="1">IFERROR(__xludf.DUMMYFUNCTION("""COMPUTED_VALUE"""),"2.1.1.15")</f>
        <v>2.1.1.15</v>
      </c>
      <c r="B53" s="79" t="str">
        <f ca="1">IFERROR(__xludf.DUMMYFUNCTION("""COMPUTED_VALUE"""),"Promedio")</f>
        <v>Promedio</v>
      </c>
      <c r="C53" s="80">
        <f ca="1">IFERROR(__xludf.DUMMYFUNCTION("""COMPUTED_VALUE"""),780)</f>
        <v>780</v>
      </c>
    </row>
    <row r="54" spans="1:3">
      <c r="A54" s="79" t="str">
        <f ca="1">IFERROR(__xludf.DUMMYFUNCTION("""COMPUTED_VALUE"""),"2.1.1.16")</f>
        <v>2.1.1.16</v>
      </c>
      <c r="B54" s="79" t="str">
        <f ca="1">IFERROR(__xludf.DUMMYFUNCTION("""COMPUTED_VALUE"""),"Porcentaje")</f>
        <v>Porcentaje</v>
      </c>
      <c r="C54" s="80">
        <f ca="1">IFERROR(__xludf.DUMMYFUNCTION("""COMPUTED_VALUE"""),2030)</f>
        <v>2030</v>
      </c>
    </row>
    <row r="55" spans="1:3">
      <c r="A55" s="79" t="str">
        <f ca="1">IFERROR(__xludf.DUMMYFUNCTION("""COMPUTED_VALUE"""),"2.1.1.17")</f>
        <v>2.1.1.17</v>
      </c>
      <c r="B55" s="79" t="str">
        <f ca="1">IFERROR(__xludf.DUMMYFUNCTION("""COMPUTED_VALUE"""),"Porcentaje")</f>
        <v>Porcentaje</v>
      </c>
      <c r="C55" s="80">
        <f ca="1">IFERROR(__xludf.DUMMYFUNCTION("""COMPUTED_VALUE"""),1188)</f>
        <v>1188</v>
      </c>
    </row>
    <row r="56" spans="1:3">
      <c r="A56" s="79" t="str">
        <f ca="1">IFERROR(__xludf.DUMMYFUNCTION("""COMPUTED_VALUE"""),"2.1.2.0")</f>
        <v>2.1.2.0</v>
      </c>
      <c r="B56" s="79" t="str">
        <f ca="1">IFERROR(__xludf.DUMMYFUNCTION("""COMPUTED_VALUE"""),"Porcentaje")</f>
        <v>Porcentaje</v>
      </c>
      <c r="C56" s="80">
        <f ca="1">IFERROR(__xludf.DUMMYFUNCTION("""COMPUTED_VALUE"""),5000)</f>
        <v>5000</v>
      </c>
    </row>
    <row r="57" spans="1:3">
      <c r="A57" s="79" t="str">
        <f ca="1">IFERROR(__xludf.DUMMYFUNCTION("""COMPUTED_VALUE"""),"2.1.2.1")</f>
        <v>2.1.2.1</v>
      </c>
      <c r="B57" s="79" t="str">
        <f ca="1">IFERROR(__xludf.DUMMYFUNCTION("""COMPUTED_VALUE"""),"Porcentaje")</f>
        <v>Porcentaje</v>
      </c>
      <c r="C57" s="80">
        <f ca="1">IFERROR(__xludf.DUMMYFUNCTION("""COMPUTED_VALUE"""),10)</f>
        <v>10</v>
      </c>
    </row>
    <row r="58" spans="1:3">
      <c r="A58" s="79" t="str">
        <f ca="1">IFERROR(__xludf.DUMMYFUNCTION("""COMPUTED_VALUE"""),"2.1.3.0")</f>
        <v>2.1.3.0</v>
      </c>
      <c r="B58" s="79" t="str">
        <f ca="1">IFERROR(__xludf.DUMMYFUNCTION("""COMPUTED_VALUE"""),"Porcentaje")</f>
        <v>Porcentaje</v>
      </c>
      <c r="C58" s="80">
        <f ca="1">IFERROR(__xludf.DUMMYFUNCTION("""COMPUTED_VALUE"""),1250)</f>
        <v>1250</v>
      </c>
    </row>
    <row r="59" spans="1:3">
      <c r="A59" s="79" t="str">
        <f ca="1">IFERROR(__xludf.DUMMYFUNCTION("""COMPUTED_VALUE"""),"2.1.3.1")</f>
        <v>2.1.3.1</v>
      </c>
      <c r="B59" s="79" t="str">
        <f ca="1">IFERROR(__xludf.DUMMYFUNCTION("""COMPUTED_VALUE"""),"Porcentaje")</f>
        <v>Porcentaje</v>
      </c>
      <c r="C59" s="80">
        <f ca="1">IFERROR(__xludf.DUMMYFUNCTION("""COMPUTED_VALUE"""),800)</f>
        <v>800</v>
      </c>
    </row>
    <row r="60" spans="1:3">
      <c r="A60" s="79" t="str">
        <f ca="1">IFERROR(__xludf.DUMMYFUNCTION("""COMPUTED_VALUE"""),"2.1.3.2")</f>
        <v>2.1.3.2</v>
      </c>
      <c r="B60" s="79" t="str">
        <f ca="1">IFERROR(__xludf.DUMMYFUNCTION("""COMPUTED_VALUE"""),"Porcentaje")</f>
        <v>Porcentaje</v>
      </c>
      <c r="C60" s="80">
        <f ca="1">IFERROR(__xludf.DUMMYFUNCTION("""COMPUTED_VALUE"""),450)</f>
        <v>450</v>
      </c>
    </row>
    <row r="61" spans="1:3">
      <c r="A61" s="79" t="str">
        <f ca="1">IFERROR(__xludf.DUMMYFUNCTION("""COMPUTED_VALUE"""),"2.1.4.0")</f>
        <v>2.1.4.0</v>
      </c>
      <c r="B61" s="79" t="str">
        <f ca="1">IFERROR(__xludf.DUMMYFUNCTION("""COMPUTED_VALUE"""),"Porcentaje")</f>
        <v>Porcentaje</v>
      </c>
      <c r="C61" s="80">
        <f ca="1">IFERROR(__xludf.DUMMYFUNCTION("""COMPUTED_VALUE"""),11)</f>
        <v>11</v>
      </c>
    </row>
    <row r="62" spans="1:3">
      <c r="A62" s="79" t="str">
        <f ca="1">IFERROR(__xludf.DUMMYFUNCTION("""COMPUTED_VALUE"""),"2.1.4.1")</f>
        <v>2.1.4.1</v>
      </c>
      <c r="B62" s="79" t="str">
        <f ca="1">IFERROR(__xludf.DUMMYFUNCTION("""COMPUTED_VALUE"""),"Promedio")</f>
        <v>Promedio</v>
      </c>
      <c r="C62" s="80">
        <f ca="1">IFERROR(__xludf.DUMMYFUNCTION("""COMPUTED_VALUE"""),330)</f>
        <v>330</v>
      </c>
    </row>
    <row r="63" spans="1:3">
      <c r="A63" s="79" t="str">
        <f ca="1">IFERROR(__xludf.DUMMYFUNCTION("""COMPUTED_VALUE"""),"2.1.4.2")</f>
        <v>2.1.4.2</v>
      </c>
      <c r="B63" s="79" t="str">
        <f ca="1">IFERROR(__xludf.DUMMYFUNCTION("""COMPUTED_VALUE"""),"Porcentaje")</f>
        <v>Porcentaje</v>
      </c>
      <c r="C63" s="80">
        <f ca="1">IFERROR(__xludf.DUMMYFUNCTION("""COMPUTED_VALUE"""),1900)</f>
        <v>1900</v>
      </c>
    </row>
    <row r="64" spans="1:3">
      <c r="A64" s="79" t="str">
        <f ca="1">IFERROR(__xludf.DUMMYFUNCTION("""COMPUTED_VALUE"""),"3.0.0.0")</f>
        <v>3.0.0.0</v>
      </c>
      <c r="B64" s="79" t="str">
        <f ca="1">IFERROR(__xludf.DUMMYFUNCTION("""COMPUTED_VALUE"""),"Porcentaje")</f>
        <v>Porcentaje</v>
      </c>
      <c r="C64" s="80">
        <f ca="1">IFERROR(__xludf.DUMMYFUNCTION("""COMPUTED_VALUE"""),1140)</f>
        <v>1140</v>
      </c>
    </row>
    <row r="65" spans="1:3">
      <c r="A65" s="79" t="str">
        <f ca="1">IFERROR(__xludf.DUMMYFUNCTION("""COMPUTED_VALUE"""),"3.1.0.0")</f>
        <v>3.1.0.0</v>
      </c>
      <c r="B65" s="79" t="str">
        <f ca="1">IFERROR(__xludf.DUMMYFUNCTION("""COMPUTED_VALUE"""),"Porcentaje")</f>
        <v>Porcentaje</v>
      </c>
      <c r="C65" s="80">
        <f ca="1">IFERROR(__xludf.DUMMYFUNCTION("""COMPUTED_VALUE"""),110873)</f>
        <v>110873</v>
      </c>
    </row>
    <row r="66" spans="1:3">
      <c r="A66" s="79" t="str">
        <f ca="1">IFERROR(__xludf.DUMMYFUNCTION("""COMPUTED_VALUE"""),"3.1.1.0")</f>
        <v>3.1.1.0</v>
      </c>
      <c r="B66" s="79" t="str">
        <f ca="1">IFERROR(__xludf.DUMMYFUNCTION("""COMPUTED_VALUE"""),"Porcentaje")</f>
        <v>Porcentaje</v>
      </c>
      <c r="C66" s="80">
        <f ca="1">IFERROR(__xludf.DUMMYFUNCTION("""COMPUTED_VALUE"""),50)</f>
        <v>50</v>
      </c>
    </row>
    <row r="67" spans="1:3">
      <c r="A67" s="79" t="str">
        <f ca="1">IFERROR(__xludf.DUMMYFUNCTION("""COMPUTED_VALUE"""),"3.1.1.1")</f>
        <v>3.1.1.1</v>
      </c>
      <c r="B67" s="79" t="str">
        <f ca="1">IFERROR(__xludf.DUMMYFUNCTION("""COMPUTED_VALUE"""),"Porcentaje")</f>
        <v>Porcentaje</v>
      </c>
      <c r="C67" s="80">
        <f ca="1">IFERROR(__xludf.DUMMYFUNCTION("""COMPUTED_VALUE"""),1500)</f>
        <v>1500</v>
      </c>
    </row>
    <row r="68" spans="1:3">
      <c r="A68" s="79" t="str">
        <f ca="1">IFERROR(__xludf.DUMMYFUNCTION("""COMPUTED_VALUE"""),"3.1.2.0")</f>
        <v>3.1.2.0</v>
      </c>
      <c r="B68" s="79" t="str">
        <f ca="1">IFERROR(__xludf.DUMMYFUNCTION("""COMPUTED_VALUE"""),"Promedio")</f>
        <v>Promedio</v>
      </c>
      <c r="C68" s="80">
        <f ca="1">IFERROR(__xludf.DUMMYFUNCTION("""COMPUTED_VALUE"""),240)</f>
        <v>240</v>
      </c>
    </row>
    <row r="69" spans="1:3">
      <c r="A69" s="79" t="str">
        <f ca="1">IFERROR(__xludf.DUMMYFUNCTION("""COMPUTED_VALUE"""),"3.1.2.1")</f>
        <v>3.1.2.1</v>
      </c>
      <c r="B69" s="79" t="str">
        <f ca="1">IFERROR(__xludf.DUMMYFUNCTION("""COMPUTED_VALUE"""),"Porcentaje")</f>
        <v>Porcentaje</v>
      </c>
      <c r="C69" s="80">
        <f ca="1">IFERROR(__xludf.DUMMYFUNCTION("""COMPUTED_VALUE"""),25)</f>
        <v>25</v>
      </c>
    </row>
    <row r="70" spans="1:3">
      <c r="A70" s="79" t="str">
        <f ca="1">IFERROR(__xludf.DUMMYFUNCTION("""COMPUTED_VALUE"""),"3.1.3.0")</f>
        <v>3.1.3.0</v>
      </c>
      <c r="B70" s="79" t="str">
        <f ca="1">IFERROR(__xludf.DUMMYFUNCTION("""COMPUTED_VALUE"""),"Porcentaje")</f>
        <v>Porcentaje</v>
      </c>
      <c r="C70" s="80">
        <f ca="1">IFERROR(__xludf.DUMMYFUNCTION("""COMPUTED_VALUE"""),109348)</f>
        <v>109348</v>
      </c>
    </row>
    <row r="71" spans="1:3">
      <c r="A71" s="79" t="str">
        <f ca="1">IFERROR(__xludf.DUMMYFUNCTION("""COMPUTED_VALUE"""),"3.1.3.1")</f>
        <v>3.1.3.1</v>
      </c>
      <c r="B71" s="79" t="str">
        <f ca="1">IFERROR(__xludf.DUMMYFUNCTION("""COMPUTED_VALUE"""),"Porcentaje")</f>
        <v>Porcentaje</v>
      </c>
      <c r="C71" s="80">
        <f ca="1">IFERROR(__xludf.DUMMYFUNCTION("""COMPUTED_VALUE"""),2200)</f>
        <v>2200</v>
      </c>
    </row>
    <row r="72" spans="1:3">
      <c r="A72" s="79" t="str">
        <f ca="1">IFERROR(__xludf.DUMMYFUNCTION("""COMPUTED_VALUE"""),"3.1.3.2")</f>
        <v>3.1.3.2</v>
      </c>
      <c r="B72" s="79" t="str">
        <f ca="1">IFERROR(__xludf.DUMMYFUNCTION("""COMPUTED_VALUE"""),"Porcentaje")</f>
        <v>Porcentaje</v>
      </c>
      <c r="C72" s="80">
        <f ca="1">IFERROR(__xludf.DUMMYFUNCTION("""COMPUTED_VALUE"""),1098)</f>
        <v>1098</v>
      </c>
    </row>
    <row r="73" spans="1:3">
      <c r="A73" s="79" t="str">
        <f ca="1">IFERROR(__xludf.DUMMYFUNCTION("""COMPUTED_VALUE"""),"3.1.3.3")</f>
        <v>3.1.3.3</v>
      </c>
      <c r="B73" s="79" t="str">
        <f ca="1">IFERROR(__xludf.DUMMYFUNCTION("""COMPUTED_VALUE"""),"Porcentaje")</f>
        <v>Porcentaje</v>
      </c>
      <c r="C73" s="80">
        <f ca="1">IFERROR(__xludf.DUMMYFUNCTION("""COMPUTED_VALUE"""),104000)</f>
        <v>104000</v>
      </c>
    </row>
    <row r="74" spans="1:3">
      <c r="A74" s="79" t="str">
        <f ca="1">IFERROR(__xludf.DUMMYFUNCTION("""COMPUTED_VALUE"""),"3.1.3.4")</f>
        <v>3.1.3.4</v>
      </c>
      <c r="B74" s="79" t="str">
        <f ca="1">IFERROR(__xludf.DUMMYFUNCTION("""COMPUTED_VALUE"""),"Porcentaje")</f>
        <v>Porcentaje</v>
      </c>
      <c r="C74" s="80">
        <f ca="1">IFERROR(__xludf.DUMMYFUNCTION("""COMPUTED_VALUE"""),1200)</f>
        <v>1200</v>
      </c>
    </row>
    <row r="75" spans="1:3">
      <c r="A75" s="79" t="str">
        <f ca="1">IFERROR(__xludf.DUMMYFUNCTION("""COMPUTED_VALUE"""),"3.1.3.5")</f>
        <v>3.1.3.5</v>
      </c>
      <c r="B75" s="79" t="str">
        <f ca="1">IFERROR(__xludf.DUMMYFUNCTION("""COMPUTED_VALUE"""),"Porcentaje")</f>
        <v>Porcentaje</v>
      </c>
      <c r="C75" s="80">
        <f ca="1">IFERROR(__xludf.DUMMYFUNCTION("""COMPUTED_VALUE"""),850)</f>
        <v>850</v>
      </c>
    </row>
    <row r="76" spans="1:3">
      <c r="A76" s="79" t="str">
        <f ca="1">IFERROR(__xludf.DUMMYFUNCTION("""COMPUTED_VALUE"""),"4.0.0.0")</f>
        <v>4.0.0.0</v>
      </c>
      <c r="B76" s="79" t="str">
        <f ca="1">IFERROR(__xludf.DUMMYFUNCTION("""COMPUTED_VALUE"""),"Porcentaje")</f>
        <v>Porcentaje</v>
      </c>
      <c r="C76" s="80">
        <f ca="1">IFERROR(__xludf.DUMMYFUNCTION("""COMPUTED_VALUE"""),29697)</f>
        <v>29697</v>
      </c>
    </row>
    <row r="77" spans="1:3">
      <c r="A77" s="79" t="str">
        <f ca="1">IFERROR(__xludf.DUMMYFUNCTION("""COMPUTED_VALUE"""),"4.1.0.0")</f>
        <v>4.1.0.0</v>
      </c>
      <c r="B77" s="79" t="str">
        <f ca="1">IFERROR(__xludf.DUMMYFUNCTION("""COMPUTED_VALUE"""),"Porcentaje")</f>
        <v>Porcentaje</v>
      </c>
      <c r="C77" s="80">
        <f ca="1">IFERROR(__xludf.DUMMYFUNCTION("""COMPUTED_VALUE"""),11000)</f>
        <v>11000</v>
      </c>
    </row>
    <row r="78" spans="1:3">
      <c r="A78" s="79" t="str">
        <f ca="1">IFERROR(__xludf.DUMMYFUNCTION("""COMPUTED_VALUE"""),"4.1.1.0")</f>
        <v>4.1.1.0</v>
      </c>
      <c r="B78" s="79" t="str">
        <f ca="1">IFERROR(__xludf.DUMMYFUNCTION("""COMPUTED_VALUE"""),"Porcentaje")</f>
        <v>Porcentaje</v>
      </c>
      <c r="C78" s="80">
        <f ca="1">IFERROR(__xludf.DUMMYFUNCTION("""COMPUTED_VALUE"""),7000)</f>
        <v>7000</v>
      </c>
    </row>
    <row r="79" spans="1:3">
      <c r="A79" s="79" t="str">
        <f ca="1">IFERROR(__xludf.DUMMYFUNCTION("""COMPUTED_VALUE"""),"4.1.1.1")</f>
        <v>4.1.1.1</v>
      </c>
      <c r="B79" s="79" t="str">
        <f ca="1">IFERROR(__xludf.DUMMYFUNCTION("""COMPUTED_VALUE"""),"Porcentaje")</f>
        <v>Porcentaje</v>
      </c>
      <c r="C79" s="80">
        <f ca="1">IFERROR(__xludf.DUMMYFUNCTION("""COMPUTED_VALUE"""),5000)</f>
        <v>5000</v>
      </c>
    </row>
    <row r="80" spans="1:3">
      <c r="A80" s="79" t="str">
        <f ca="1">IFERROR(__xludf.DUMMYFUNCTION("""COMPUTED_VALUE"""),"4.1.1.2")</f>
        <v>4.1.1.2</v>
      </c>
      <c r="B80" s="79" t="str">
        <f ca="1">IFERROR(__xludf.DUMMYFUNCTION("""COMPUTED_VALUE"""),"Porcentaje")</f>
        <v>Porcentaje</v>
      </c>
      <c r="C80" s="80">
        <f ca="1">IFERROR(__xludf.DUMMYFUNCTION("""COMPUTED_VALUE"""),2000)</f>
        <v>2000</v>
      </c>
    </row>
    <row r="81" spans="1:3">
      <c r="A81" s="79" t="str">
        <f ca="1">IFERROR(__xludf.DUMMYFUNCTION("""COMPUTED_VALUE"""),"4.1.2.0")</f>
        <v>4.1.2.0</v>
      </c>
      <c r="B81" s="79" t="str">
        <f ca="1">IFERROR(__xludf.DUMMYFUNCTION("""COMPUTED_VALUE"""),"Porcentaje")</f>
        <v>Porcentaje</v>
      </c>
      <c r="C81" s="80">
        <f ca="1">IFERROR(__xludf.DUMMYFUNCTION("""COMPUTED_VALUE"""),10600)</f>
        <v>10600</v>
      </c>
    </row>
    <row r="82" spans="1:3">
      <c r="A82" s="79" t="str">
        <f ca="1">IFERROR(__xludf.DUMMYFUNCTION("""COMPUTED_VALUE"""),"4.1.2.1")</f>
        <v>4.1.2.1</v>
      </c>
      <c r="B82" s="79" t="str">
        <f ca="1">IFERROR(__xludf.DUMMYFUNCTION("""COMPUTED_VALUE"""),"Porcentaje")</f>
        <v>Porcentaje</v>
      </c>
      <c r="C82" s="80">
        <f ca="1">IFERROR(__xludf.DUMMYFUNCTION("""COMPUTED_VALUE"""),3100)</f>
        <v>3100</v>
      </c>
    </row>
    <row r="83" spans="1:3">
      <c r="A83" s="79" t="str">
        <f ca="1">IFERROR(__xludf.DUMMYFUNCTION("""COMPUTED_VALUE"""),"4.1.2.2")</f>
        <v>4.1.2.2</v>
      </c>
      <c r="B83" s="79" t="str">
        <f ca="1">IFERROR(__xludf.DUMMYFUNCTION("""COMPUTED_VALUE"""),"Porcentaje")</f>
        <v>Porcentaje</v>
      </c>
      <c r="C83" s="80">
        <f ca="1">IFERROR(__xludf.DUMMYFUNCTION("""COMPUTED_VALUE"""),7500)</f>
        <v>7500</v>
      </c>
    </row>
    <row r="84" spans="1:3">
      <c r="A84" s="79" t="str">
        <f ca="1">IFERROR(__xludf.DUMMYFUNCTION("""COMPUTED_VALUE"""),"4.1.3.0")</f>
        <v>4.1.3.0</v>
      </c>
      <c r="B84" s="79" t="str">
        <f ca="1">IFERROR(__xludf.DUMMYFUNCTION("""COMPUTED_VALUE"""),"Porcentaje")</f>
        <v>Porcentaje</v>
      </c>
      <c r="C84" s="80">
        <f ca="1">IFERROR(__xludf.DUMMYFUNCTION("""COMPUTED_VALUE"""),1400)</f>
        <v>1400</v>
      </c>
    </row>
    <row r="85" spans="1:3">
      <c r="A85" s="79" t="str">
        <f ca="1">IFERROR(__xludf.DUMMYFUNCTION("""COMPUTED_VALUE"""),"4.1.3.1")</f>
        <v>4.1.3.1</v>
      </c>
      <c r="B85" s="79" t="str">
        <f ca="1">IFERROR(__xludf.DUMMYFUNCTION("""COMPUTED_VALUE"""),"Porcentaje")</f>
        <v>Porcentaje</v>
      </c>
      <c r="C85" s="80">
        <f ca="1">IFERROR(__xludf.DUMMYFUNCTION("""COMPUTED_VALUE"""),200)</f>
        <v>200</v>
      </c>
    </row>
    <row r="86" spans="1:3">
      <c r="A86" s="79" t="str">
        <f ca="1">IFERROR(__xludf.DUMMYFUNCTION("""COMPUTED_VALUE"""),"4.1.3.2")</f>
        <v>4.1.3.2</v>
      </c>
      <c r="B86" s="79" t="str">
        <f ca="1">IFERROR(__xludf.DUMMYFUNCTION("""COMPUTED_VALUE"""),"Porcentaje")</f>
        <v>Porcentaje</v>
      </c>
      <c r="C86" s="80">
        <f ca="1">IFERROR(__xludf.DUMMYFUNCTION("""COMPUTED_VALUE"""),1265)</f>
        <v>1265</v>
      </c>
    </row>
    <row r="87" spans="1:3">
      <c r="A87" s="79" t="str">
        <f ca="1">IFERROR(__xludf.DUMMYFUNCTION("""COMPUTED_VALUE"""),"4.1.3.3")</f>
        <v>4.1.3.3</v>
      </c>
      <c r="B87" s="79" t="str">
        <f ca="1">IFERROR(__xludf.DUMMYFUNCTION("""COMPUTED_VALUE"""),"Porcentaje")</f>
        <v>Porcentaje</v>
      </c>
      <c r="C87" s="80">
        <f ca="1">IFERROR(__xludf.DUMMYFUNCTION("""COMPUTED_VALUE"""),200)</f>
        <v>200</v>
      </c>
    </row>
    <row r="88" spans="1:3">
      <c r="A88" s="79" t="str">
        <f ca="1">IFERROR(__xludf.DUMMYFUNCTION("""COMPUTED_VALUE"""),"4.1.3.4")</f>
        <v>4.1.3.4</v>
      </c>
      <c r="B88" s="79" t="str">
        <f ca="1">IFERROR(__xludf.DUMMYFUNCTION("""COMPUTED_VALUE"""),"Porcentaje")</f>
        <v>Porcentaje</v>
      </c>
      <c r="C88" s="80">
        <f ca="1">IFERROR(__xludf.DUMMYFUNCTION("""COMPUTED_VALUE"""),150)</f>
        <v>150</v>
      </c>
    </row>
    <row r="89" spans="1:3">
      <c r="A89" s="79" t="str">
        <f ca="1">IFERROR(__xludf.DUMMYFUNCTION("""COMPUTED_VALUE"""),"4.1.3.5")</f>
        <v>4.1.3.5</v>
      </c>
      <c r="B89" s="79" t="str">
        <f ca="1">IFERROR(__xludf.DUMMYFUNCTION("""COMPUTED_VALUE"""),"Porcentaje")</f>
        <v>Porcentaje</v>
      </c>
      <c r="C89" s="80">
        <f ca="1">IFERROR(__xludf.DUMMYFUNCTION("""COMPUTED_VALUE"""),700)</f>
        <v>700</v>
      </c>
    </row>
    <row r="90" spans="1:3">
      <c r="A90" s="79" t="str">
        <f ca="1">IFERROR(__xludf.DUMMYFUNCTION("""COMPUTED_VALUE"""),"5.0.0.0")</f>
        <v>5.0.0.0</v>
      </c>
      <c r="B90" s="79" t="str">
        <f ca="1">IFERROR(__xludf.DUMMYFUNCTION("""COMPUTED_VALUE"""),"Porcentaje")</f>
        <v>Porcentaje</v>
      </c>
      <c r="C90" s="80">
        <f ca="1">IFERROR(__xludf.DUMMYFUNCTION("""COMPUTED_VALUE"""),1650)</f>
        <v>1650</v>
      </c>
    </row>
    <row r="91" spans="1:3">
      <c r="A91" s="79" t="str">
        <f ca="1">IFERROR(__xludf.DUMMYFUNCTION("""COMPUTED_VALUE"""),"5.1.0.0")</f>
        <v>5.1.0.0</v>
      </c>
      <c r="B91" s="79" t="str">
        <f ca="1">IFERROR(__xludf.DUMMYFUNCTION("""COMPUTED_VALUE"""),"Porcentaje")</f>
        <v>Porcentaje</v>
      </c>
      <c r="C91" s="80">
        <f ca="1">IFERROR(__xludf.DUMMYFUNCTION("""COMPUTED_VALUE"""),54400)</f>
        <v>54400</v>
      </c>
    </row>
    <row r="92" spans="1:3">
      <c r="A92" s="79" t="str">
        <f ca="1">IFERROR(__xludf.DUMMYFUNCTION("""COMPUTED_VALUE"""),"5.1.1.0")</f>
        <v>5.1.1.0</v>
      </c>
      <c r="B92" s="79" t="str">
        <f ca="1">IFERROR(__xludf.DUMMYFUNCTION("""COMPUTED_VALUE"""),"Porcentaje")</f>
        <v>Porcentaje</v>
      </c>
      <c r="C92" s="80">
        <f ca="1">IFERROR(__xludf.DUMMYFUNCTION("""COMPUTED_VALUE"""),550)</f>
        <v>550</v>
      </c>
    </row>
    <row r="93" spans="1:3">
      <c r="A93" s="79" t="str">
        <f ca="1">IFERROR(__xludf.DUMMYFUNCTION("""COMPUTED_VALUE"""),"5.1.1.1")</f>
        <v>5.1.1.1</v>
      </c>
      <c r="B93" s="79" t="str">
        <f ca="1">IFERROR(__xludf.DUMMYFUNCTION("""COMPUTED_VALUE"""),"Porcentaje")</f>
        <v>Porcentaje</v>
      </c>
      <c r="C93" s="80">
        <f ca="1">IFERROR(__xludf.DUMMYFUNCTION("""COMPUTED_VALUE"""),1550)</f>
        <v>1550</v>
      </c>
    </row>
    <row r="94" spans="1:3">
      <c r="A94" s="79" t="str">
        <f ca="1">IFERROR(__xludf.DUMMYFUNCTION("""COMPUTED_VALUE"""),"5.1.1.2")</f>
        <v>5.1.1.2</v>
      </c>
      <c r="B94" s="79" t="str">
        <f ca="1">IFERROR(__xludf.DUMMYFUNCTION("""COMPUTED_VALUE"""),"Porcentaje")</f>
        <v>Porcentaje</v>
      </c>
      <c r="C94" s="80">
        <f ca="1">IFERROR(__xludf.DUMMYFUNCTION("""COMPUTED_VALUE"""),48000)</f>
        <v>48000</v>
      </c>
    </row>
    <row r="95" spans="1:3">
      <c r="A95" s="79" t="str">
        <f ca="1">IFERROR(__xludf.DUMMYFUNCTION("""COMPUTED_VALUE"""),"5.1.2.0")</f>
        <v>5.1.2.0</v>
      </c>
      <c r="B95" s="79" t="str">
        <f ca="1">IFERROR(__xludf.DUMMYFUNCTION("""COMPUTED_VALUE"""),"Promedio")</f>
        <v>Promedio</v>
      </c>
      <c r="C95" s="80">
        <f ca="1">IFERROR(__xludf.DUMMYFUNCTION("""COMPUTED_VALUE"""),300)</f>
        <v>300</v>
      </c>
    </row>
    <row r="96" spans="1:3">
      <c r="A96" s="79" t="str">
        <f ca="1">IFERROR(__xludf.DUMMYFUNCTION("""COMPUTED_VALUE"""),"5.1.2.1")</f>
        <v>5.1.2.1</v>
      </c>
      <c r="B96" s="79" t="str">
        <f ca="1">IFERROR(__xludf.DUMMYFUNCTION("""COMPUTED_VALUE"""),"Porcentaje")</f>
        <v>Porcentaje</v>
      </c>
      <c r="C96" s="80">
        <f ca="1">IFERROR(__xludf.DUMMYFUNCTION("""COMPUTED_VALUE"""),160)</f>
        <v>160</v>
      </c>
    </row>
    <row r="97" spans="1:3">
      <c r="A97" s="79" t="str">
        <f ca="1">IFERROR(__xludf.DUMMYFUNCTION("""COMPUTED_VALUE"""),"5.1.2.2")</f>
        <v>5.1.2.2</v>
      </c>
      <c r="B97" s="79" t="str">
        <f ca="1">IFERROR(__xludf.DUMMYFUNCTION("""COMPUTED_VALUE"""),"Porcentaje")</f>
        <v>Porcentaje</v>
      </c>
      <c r="C97" s="80">
        <f ca="1">IFERROR(__xludf.DUMMYFUNCTION("""COMPUTED_VALUE"""),6400)</f>
        <v>6400</v>
      </c>
    </row>
    <row r="98" spans="1:3">
      <c r="A98" s="79" t="str">
        <f ca="1">IFERROR(__xludf.DUMMYFUNCTION("""COMPUTED_VALUE"""),"6.0.0.0")</f>
        <v>6.0.0.0</v>
      </c>
      <c r="B98" s="79" t="str">
        <f ca="1">IFERROR(__xludf.DUMMYFUNCTION("""COMPUTED_VALUE"""),"Porcentaje")</f>
        <v>Porcentaje</v>
      </c>
      <c r="C98" s="80">
        <f ca="1">IFERROR(__xludf.DUMMYFUNCTION("""COMPUTED_VALUE"""),19346)</f>
        <v>19346</v>
      </c>
    </row>
    <row r="99" spans="1:3">
      <c r="A99" s="79" t="str">
        <f ca="1">IFERROR(__xludf.DUMMYFUNCTION("""COMPUTED_VALUE"""),"6.1.0.0")</f>
        <v>6.1.0.0</v>
      </c>
      <c r="B99" s="79" t="str">
        <f ca="1">IFERROR(__xludf.DUMMYFUNCTION("""COMPUTED_VALUE"""),"Porcentaje")</f>
        <v>Porcentaje</v>
      </c>
      <c r="C99" s="80">
        <f ca="1">IFERROR(__xludf.DUMMYFUNCTION("""COMPUTED_VALUE"""),55686)</f>
        <v>55686</v>
      </c>
    </row>
    <row r="100" spans="1:3">
      <c r="A100" s="79" t="str">
        <f ca="1">IFERROR(__xludf.DUMMYFUNCTION("""COMPUTED_VALUE"""),"6.1.1.0")</f>
        <v>6.1.1.0</v>
      </c>
      <c r="B100" s="79" t="str">
        <f ca="1">IFERROR(__xludf.DUMMYFUNCTION("""COMPUTED_VALUE"""),"Promedio")</f>
        <v>Promedio</v>
      </c>
      <c r="C100" s="80">
        <f ca="1">IFERROR(__xludf.DUMMYFUNCTION("""COMPUTED_VALUE"""),415)</f>
        <v>415</v>
      </c>
    </row>
    <row r="101" spans="1:3">
      <c r="A101" s="79" t="str">
        <f ca="1">IFERROR(__xludf.DUMMYFUNCTION("""COMPUTED_VALUE"""),"6.1.1.1")</f>
        <v>6.1.1.1</v>
      </c>
      <c r="B101" s="79" t="str">
        <f ca="1">IFERROR(__xludf.DUMMYFUNCTION("""COMPUTED_VALUE"""),"Porcentaje")</f>
        <v>Porcentaje</v>
      </c>
      <c r="C101" s="80">
        <f ca="1">IFERROR(__xludf.DUMMYFUNCTION("""COMPUTED_VALUE"""),900)</f>
        <v>900</v>
      </c>
    </row>
    <row r="102" spans="1:3">
      <c r="A102" s="79" t="str">
        <f ca="1">IFERROR(__xludf.DUMMYFUNCTION("""COMPUTED_VALUE"""),"6.1.1.2")</f>
        <v>6.1.1.2</v>
      </c>
      <c r="B102" s="79" t="str">
        <f ca="1">IFERROR(__xludf.DUMMYFUNCTION("""COMPUTED_VALUE"""),"Porcentaje")</f>
        <v>Porcentaje</v>
      </c>
      <c r="C102" s="80">
        <f ca="1">IFERROR(__xludf.DUMMYFUNCTION("""COMPUTED_VALUE"""),1100)</f>
        <v>1100</v>
      </c>
    </row>
    <row r="103" spans="1:3">
      <c r="A103" s="79" t="str">
        <f ca="1">IFERROR(__xludf.DUMMYFUNCTION("""COMPUTED_VALUE"""),"6.1.2.0")</f>
        <v>6.1.2.0</v>
      </c>
      <c r="B103" s="79" t="str">
        <f ca="1">IFERROR(__xludf.DUMMYFUNCTION("""COMPUTED_VALUE"""),"Promedio")</f>
        <v>Promedio</v>
      </c>
      <c r="C103" s="80">
        <f ca="1">IFERROR(__xludf.DUMMYFUNCTION("""COMPUTED_VALUE"""),600)</f>
        <v>600</v>
      </c>
    </row>
    <row r="104" spans="1:3">
      <c r="A104" s="79" t="str">
        <f ca="1">IFERROR(__xludf.DUMMYFUNCTION("""COMPUTED_VALUE"""),"6.1.2.1")</f>
        <v>6.1.2.1</v>
      </c>
      <c r="B104" s="79" t="str">
        <f ca="1">IFERROR(__xludf.DUMMYFUNCTION("""COMPUTED_VALUE"""),"Porcentaje")</f>
        <v>Porcentaje</v>
      </c>
      <c r="C104" s="80">
        <f ca="1">IFERROR(__xludf.DUMMYFUNCTION("""COMPUTED_VALUE"""),14000)</f>
        <v>14000</v>
      </c>
    </row>
    <row r="105" spans="1:3">
      <c r="A105" s="79" t="str">
        <f ca="1">IFERROR(__xludf.DUMMYFUNCTION("""COMPUTED_VALUE"""),"6.1.3.0")</f>
        <v>6.1.3.0</v>
      </c>
      <c r="B105" s="79" t="str">
        <f ca="1">IFERROR(__xludf.DUMMYFUNCTION("""COMPUTED_VALUE"""),"Porcentaje")</f>
        <v>Porcentaje</v>
      </c>
      <c r="C105" s="80">
        <f ca="1">IFERROR(__xludf.DUMMYFUNCTION("""COMPUTED_VALUE"""),600)</f>
        <v>600</v>
      </c>
    </row>
    <row r="106" spans="1:3">
      <c r="A106" s="79" t="str">
        <f ca="1">IFERROR(__xludf.DUMMYFUNCTION("""COMPUTED_VALUE"""),"6.1.3.1")</f>
        <v>6.1.3.1</v>
      </c>
      <c r="B106" s="79" t="str">
        <f ca="1">IFERROR(__xludf.DUMMYFUNCTION("""COMPUTED_VALUE"""),"Promedio")</f>
        <v>Promedio</v>
      </c>
      <c r="C106" s="80">
        <f ca="1">IFERROR(__xludf.DUMMYFUNCTION("""COMPUTED_VALUE"""),86)</f>
        <v>86</v>
      </c>
    </row>
    <row r="107" spans="1:3">
      <c r="A107" s="79" t="str">
        <f ca="1">IFERROR(__xludf.DUMMYFUNCTION("""COMPUTED_VALUE"""),"6.1.3.2")</f>
        <v>6.1.3.2</v>
      </c>
      <c r="B107" s="79" t="str">
        <f ca="1">IFERROR(__xludf.DUMMYFUNCTION("""COMPUTED_VALUE"""),"Porcentaje")</f>
        <v>Porcentaje</v>
      </c>
      <c r="C107" s="80">
        <f ca="1">IFERROR(__xludf.DUMMYFUNCTION("""COMPUTED_VALUE"""),36)</f>
        <v>36</v>
      </c>
    </row>
    <row r="108" spans="1:3">
      <c r="A108" s="79" t="str">
        <f ca="1">IFERROR(__xludf.DUMMYFUNCTION("""COMPUTED_VALUE"""),"6.1.3.3")</f>
        <v>6.1.3.3</v>
      </c>
      <c r="B108" s="79" t="str">
        <f ca="1">IFERROR(__xludf.DUMMYFUNCTION("""COMPUTED_VALUE"""),"Porcentaje")</f>
        <v>Porcentaje</v>
      </c>
      <c r="C108" s="80">
        <f ca="1">IFERROR(__xludf.DUMMYFUNCTION("""COMPUTED_VALUE"""),45)</f>
        <v>45</v>
      </c>
    </row>
    <row r="109" spans="1:3">
      <c r="A109" s="79" t="str">
        <f ca="1">IFERROR(__xludf.DUMMYFUNCTION("""COMPUTED_VALUE"""),"6.1.4.0")</f>
        <v>6.1.4.0</v>
      </c>
      <c r="B109" s="79" t="str">
        <f ca="1">IFERROR(__xludf.DUMMYFUNCTION("""COMPUTED_VALUE"""),"Promedio")</f>
        <v>Promedio</v>
      </c>
      <c r="C109" s="80">
        <f ca="1">IFERROR(__xludf.DUMMYFUNCTION("""COMPUTED_VALUE"""),7000)</f>
        <v>7000</v>
      </c>
    </row>
    <row r="110" spans="1:3">
      <c r="A110" s="79" t="str">
        <f ca="1">IFERROR(__xludf.DUMMYFUNCTION("""COMPUTED_VALUE"""),"6.1.4.1")</f>
        <v>6.1.4.1</v>
      </c>
      <c r="B110" s="79" t="str">
        <f ca="1">IFERROR(__xludf.DUMMYFUNCTION("""COMPUTED_VALUE"""),"Porcentaje")</f>
        <v>Porcentaje</v>
      </c>
      <c r="C110" s="80">
        <f ca="1">IFERROR(__xludf.DUMMYFUNCTION("""COMPUTED_VALUE"""),25)</f>
        <v>25</v>
      </c>
    </row>
    <row r="111" spans="1:3">
      <c r="A111" s="79" t="str">
        <f ca="1">IFERROR(__xludf.DUMMYFUNCTION("""COMPUTED_VALUE"""),"6.1.4.2")</f>
        <v>6.1.4.2</v>
      </c>
      <c r="B111" s="79" t="str">
        <f ca="1">IFERROR(__xludf.DUMMYFUNCTION("""COMPUTED_VALUE"""),"Porcentaje")</f>
        <v>Porcentaje</v>
      </c>
      <c r="C111" s="80">
        <f ca="1">IFERROR(__xludf.DUMMYFUNCTION("""COMPUTED_VALUE"""),23540)</f>
        <v>23540</v>
      </c>
    </row>
    <row r="112" spans="1:3">
      <c r="A112" s="79" t="str">
        <f ca="1">IFERROR(__xludf.DUMMYFUNCTION("""COMPUTED_VALUE"""),"6.1.5.0")</f>
        <v>6.1.5.0</v>
      </c>
      <c r="B112" s="79" t="str">
        <f ca="1">IFERROR(__xludf.DUMMYFUNCTION("""COMPUTED_VALUE"""),"Porcentaje")</f>
        <v>Porcentaje</v>
      </c>
      <c r="C112" s="80">
        <f ca="1">IFERROR(__xludf.DUMMYFUNCTION("""COMPUTED_VALUE"""),16646)</f>
        <v>16646</v>
      </c>
    </row>
    <row r="113" spans="1:3">
      <c r="A113" s="79" t="str">
        <f ca="1">IFERROR(__xludf.DUMMYFUNCTION("""COMPUTED_VALUE"""),"6.1.5.1")</f>
        <v>6.1.5.1</v>
      </c>
      <c r="B113" s="79" t="str">
        <f ca="1">IFERROR(__xludf.DUMMYFUNCTION("""COMPUTED_VALUE"""),"Porcentaje")</f>
        <v>Porcentaje</v>
      </c>
      <c r="C113" s="80">
        <f ca="1">IFERROR(__xludf.DUMMYFUNCTION("""COMPUTED_VALUE"""),13688)</f>
        <v>13688</v>
      </c>
    </row>
    <row r="114" spans="1:3">
      <c r="A114" s="79" t="str">
        <f ca="1">IFERROR(__xludf.DUMMYFUNCTION("""COMPUTED_VALUE"""),"6.1.5.2")</f>
        <v>6.1.5.2</v>
      </c>
      <c r="B114" s="79" t="str">
        <f ca="1">IFERROR(__xludf.DUMMYFUNCTION("""COMPUTED_VALUE"""),"Porcentaje")</f>
        <v>Porcentaje</v>
      </c>
      <c r="C114" s="80">
        <f ca="1">IFERROR(__xludf.DUMMYFUNCTION("""COMPUTED_VALUE"""),2958)</f>
        <v>2958</v>
      </c>
    </row>
    <row r="115" spans="1:3">
      <c r="A115" s="79"/>
      <c r="B115" s="79"/>
      <c r="C115" s="80"/>
    </row>
    <row r="116" spans="1:3">
      <c r="A116" s="79"/>
      <c r="B116" s="79"/>
      <c r="C116" s="80"/>
    </row>
    <row r="117" spans="1:3">
      <c r="A117" s="79"/>
      <c r="B117" s="79"/>
      <c r="C117" s="80"/>
    </row>
    <row r="118" spans="1:3">
      <c r="A118" s="79"/>
      <c r="B118" s="79"/>
      <c r="C118" s="80"/>
    </row>
    <row r="119" spans="1:3">
      <c r="A119" s="79"/>
      <c r="B119" s="79"/>
      <c r="C119" s="80"/>
    </row>
    <row r="120" spans="1:3">
      <c r="A120" s="79"/>
      <c r="B120" s="79"/>
      <c r="C120" s="80"/>
    </row>
    <row r="121" spans="1:3">
      <c r="A121" s="79"/>
      <c r="B121" s="79"/>
      <c r="C121" s="80"/>
    </row>
    <row r="122" spans="1:3">
      <c r="A122" s="79"/>
      <c r="B122" s="79"/>
      <c r="C122" s="80"/>
    </row>
    <row r="123" spans="1:3">
      <c r="A123" s="79"/>
      <c r="B123" s="79"/>
      <c r="C123" s="80"/>
    </row>
    <row r="124" spans="1:3">
      <c r="A124" s="79"/>
      <c r="B124" s="79"/>
      <c r="C124" s="80"/>
    </row>
    <row r="125" spans="1:3">
      <c r="A125" s="79"/>
      <c r="B125" s="79"/>
      <c r="C125" s="80"/>
    </row>
    <row r="126" spans="1:3">
      <c r="A126" s="79"/>
      <c r="B126" s="79"/>
      <c r="C126" s="80"/>
    </row>
    <row r="127" spans="1:3">
      <c r="A127" s="79"/>
      <c r="B127" s="79"/>
      <c r="C127" s="80"/>
    </row>
    <row r="128" spans="1:3">
      <c r="A128" s="79"/>
      <c r="B128" s="79"/>
      <c r="C128" s="80"/>
    </row>
    <row r="129" spans="1:3">
      <c r="A129" s="79"/>
      <c r="B129" s="79"/>
      <c r="C129" s="80"/>
    </row>
    <row r="130" spans="1:3">
      <c r="A130" s="79"/>
      <c r="B130" s="79"/>
      <c r="C130" s="80"/>
    </row>
    <row r="131" spans="1:3">
      <c r="A131" s="79"/>
      <c r="B131" s="79"/>
      <c r="C131" s="80"/>
    </row>
    <row r="132" spans="1:3">
      <c r="A132" s="79"/>
      <c r="B132" s="79"/>
      <c r="C132" s="80"/>
    </row>
    <row r="133" spans="1:3">
      <c r="A133" s="79"/>
      <c r="B133" s="79"/>
      <c r="C133" s="80"/>
    </row>
    <row r="134" spans="1:3">
      <c r="A134" s="79"/>
      <c r="B134" s="79"/>
      <c r="C134" s="80"/>
    </row>
    <row r="135" spans="1:3">
      <c r="A135" s="79"/>
      <c r="B135" s="79"/>
      <c r="C135" s="80"/>
    </row>
    <row r="136" spans="1:3">
      <c r="A136" s="79"/>
      <c r="B136" s="79"/>
      <c r="C136" s="80"/>
    </row>
    <row r="137" spans="1:3">
      <c r="A137" s="79"/>
      <c r="B137" s="79"/>
      <c r="C137" s="80"/>
    </row>
    <row r="138" spans="1:3">
      <c r="A138" s="79"/>
      <c r="B138" s="79"/>
      <c r="C138" s="80"/>
    </row>
    <row r="139" spans="1:3">
      <c r="A139" s="79"/>
      <c r="B139" s="79"/>
      <c r="C139" s="80"/>
    </row>
    <row r="140" spans="1:3">
      <c r="A140" s="79"/>
      <c r="B140" s="79"/>
      <c r="C140" s="80"/>
    </row>
    <row r="141" spans="1:3">
      <c r="A141" s="79"/>
      <c r="B141" s="79"/>
      <c r="C141" s="80"/>
    </row>
    <row r="142" spans="1:3">
      <c r="A142" s="79"/>
      <c r="B142" s="79"/>
      <c r="C142" s="80"/>
    </row>
    <row r="143" spans="1:3">
      <c r="A143" s="79"/>
      <c r="B143" s="79"/>
      <c r="C143" s="80"/>
    </row>
    <row r="144" spans="1:3">
      <c r="A144" s="79"/>
      <c r="B144" s="79"/>
      <c r="C144" s="80"/>
    </row>
    <row r="145" spans="1:3">
      <c r="A145" s="79"/>
      <c r="B145" s="79"/>
      <c r="C145" s="80"/>
    </row>
    <row r="146" spans="1:3">
      <c r="A146" s="79"/>
      <c r="B146" s="79"/>
      <c r="C146" s="80"/>
    </row>
    <row r="147" spans="1:3">
      <c r="A147" s="79"/>
      <c r="B147" s="79"/>
      <c r="C147" s="80"/>
    </row>
    <row r="148" spans="1:3">
      <c r="A148" s="79"/>
      <c r="B148" s="79"/>
      <c r="C148" s="80"/>
    </row>
    <row r="149" spans="1:3">
      <c r="A149" s="79"/>
      <c r="B149" s="79"/>
      <c r="C149" s="80"/>
    </row>
    <row r="150" spans="1:3">
      <c r="A150" s="79"/>
      <c r="B150" s="79"/>
      <c r="C150" s="80"/>
    </row>
    <row r="151" spans="1:3">
      <c r="A151" s="79"/>
      <c r="B151" s="79"/>
      <c r="C151" s="80"/>
    </row>
    <row r="152" spans="1:3">
      <c r="A152" s="79"/>
      <c r="B152" s="79"/>
      <c r="C152" s="80"/>
    </row>
    <row r="153" spans="1:3">
      <c r="A153" s="79"/>
      <c r="B153" s="79"/>
      <c r="C153" s="80"/>
    </row>
    <row r="154" spans="1:3">
      <c r="A154" s="79"/>
      <c r="B154" s="79"/>
      <c r="C154" s="80"/>
    </row>
    <row r="155" spans="1:3">
      <c r="A155" s="79"/>
      <c r="B155" s="79"/>
      <c r="C155" s="80"/>
    </row>
    <row r="156" spans="1:3">
      <c r="A156" s="79"/>
      <c r="B156" s="79"/>
      <c r="C156" s="80"/>
    </row>
    <row r="157" spans="1:3">
      <c r="A157" s="79"/>
      <c r="B157" s="79"/>
      <c r="C157" s="80"/>
    </row>
    <row r="158" spans="1:3">
      <c r="A158" s="79"/>
      <c r="B158" s="79"/>
      <c r="C158" s="80"/>
    </row>
    <row r="159" spans="1:3">
      <c r="A159" s="79"/>
      <c r="B159" s="79"/>
      <c r="C159" s="80"/>
    </row>
    <row r="160" spans="1:3">
      <c r="A160" s="79"/>
      <c r="B160" s="79"/>
      <c r="C160" s="80"/>
    </row>
    <row r="161" spans="1:3">
      <c r="A161" s="79"/>
      <c r="B161" s="79"/>
      <c r="C161" s="80"/>
    </row>
    <row r="162" spans="1:3">
      <c r="A162" s="79"/>
      <c r="B162" s="79"/>
      <c r="C162" s="80"/>
    </row>
    <row r="163" spans="1:3">
      <c r="A163" s="79"/>
      <c r="B163" s="79"/>
      <c r="C163" s="80"/>
    </row>
    <row r="164" spans="1:3">
      <c r="A164" s="79"/>
      <c r="B164" s="79"/>
      <c r="C164" s="80"/>
    </row>
    <row r="165" spans="1:3">
      <c r="A165" s="79"/>
      <c r="B165" s="79"/>
      <c r="C165" s="80"/>
    </row>
    <row r="166" spans="1:3">
      <c r="A166" s="79"/>
      <c r="B166" s="79"/>
      <c r="C166" s="80"/>
    </row>
    <row r="167" spans="1:3">
      <c r="A167" s="79"/>
      <c r="B167" s="79"/>
      <c r="C167" s="80"/>
    </row>
    <row r="168" spans="1:3">
      <c r="A168" s="79"/>
      <c r="B168" s="79"/>
      <c r="C168" s="80"/>
    </row>
    <row r="169" spans="1:3">
      <c r="A169" s="79"/>
      <c r="B169" s="79"/>
      <c r="C169" s="80"/>
    </row>
    <row r="170" spans="1:3">
      <c r="A170" s="79"/>
      <c r="B170" s="79"/>
      <c r="C170" s="80"/>
    </row>
    <row r="171" spans="1:3">
      <c r="A171" s="79"/>
      <c r="B171" s="79"/>
      <c r="C171" s="80"/>
    </row>
    <row r="172" spans="1:3">
      <c r="A172" s="79"/>
      <c r="B172" s="79"/>
      <c r="C172" s="80"/>
    </row>
    <row r="173" spans="1:3">
      <c r="A173" s="79"/>
      <c r="B173" s="79"/>
      <c r="C173" s="80"/>
    </row>
    <row r="174" spans="1:3">
      <c r="A174" s="79"/>
      <c r="B174" s="79"/>
      <c r="C174" s="80"/>
    </row>
    <row r="175" spans="1:3">
      <c r="A175" s="79"/>
      <c r="B175" s="79"/>
      <c r="C175" s="80"/>
    </row>
    <row r="176" spans="1:3">
      <c r="A176" s="79"/>
      <c r="B176" s="79"/>
      <c r="C176" s="80"/>
    </row>
    <row r="177" spans="1:3">
      <c r="A177" s="79"/>
      <c r="B177" s="79"/>
      <c r="C177" s="80"/>
    </row>
    <row r="178" spans="1:3">
      <c r="A178" s="79"/>
      <c r="B178" s="79"/>
      <c r="C178" s="80"/>
    </row>
    <row r="179" spans="1:3">
      <c r="A179" s="79"/>
      <c r="B179" s="79"/>
      <c r="C179" s="80"/>
    </row>
    <row r="180" spans="1:3">
      <c r="A180" s="79"/>
      <c r="B180" s="79"/>
      <c r="C180" s="80"/>
    </row>
    <row r="181" spans="1:3">
      <c r="A181" s="79"/>
      <c r="B181" s="79"/>
      <c r="C181" s="80"/>
    </row>
    <row r="182" spans="1:3">
      <c r="A182" s="79"/>
      <c r="B182" s="79"/>
      <c r="C182" s="80"/>
    </row>
    <row r="183" spans="1:3">
      <c r="A183" s="79"/>
      <c r="B183" s="79"/>
      <c r="C183" s="80"/>
    </row>
    <row r="184" spans="1:3">
      <c r="A184" s="79"/>
      <c r="B184" s="79"/>
      <c r="C184" s="80"/>
    </row>
    <row r="185" spans="1:3">
      <c r="A185" s="79"/>
      <c r="B185" s="79"/>
      <c r="C185" s="80"/>
    </row>
    <row r="186" spans="1:3">
      <c r="A186" s="79"/>
      <c r="B186" s="79"/>
      <c r="C186" s="80"/>
    </row>
    <row r="187" spans="1:3">
      <c r="A187" s="79"/>
      <c r="B187" s="79"/>
      <c r="C187" s="80"/>
    </row>
    <row r="188" spans="1:3">
      <c r="A188" s="79"/>
      <c r="B188" s="79"/>
      <c r="C188" s="80"/>
    </row>
    <row r="189" spans="1:3">
      <c r="A189" s="79"/>
      <c r="B189" s="79"/>
      <c r="C189" s="80"/>
    </row>
    <row r="190" spans="1:3">
      <c r="A190" s="79"/>
      <c r="B190" s="79"/>
      <c r="C190" s="80"/>
    </row>
    <row r="191" spans="1:3">
      <c r="A191" s="79"/>
      <c r="B191" s="79"/>
      <c r="C191" s="80"/>
    </row>
    <row r="192" spans="1:3">
      <c r="A192" s="79"/>
      <c r="B192" s="79"/>
      <c r="C192" s="80"/>
    </row>
    <row r="193" spans="1:3">
      <c r="A193" s="79"/>
      <c r="B193" s="79"/>
      <c r="C193" s="80"/>
    </row>
    <row r="194" spans="1:3">
      <c r="A194" s="79"/>
      <c r="B194" s="79"/>
      <c r="C194" s="80"/>
    </row>
    <row r="195" spans="1:3">
      <c r="A195" s="79"/>
      <c r="B195" s="79"/>
      <c r="C195" s="80"/>
    </row>
    <row r="196" spans="1:3">
      <c r="A196" s="79"/>
      <c r="B196" s="79"/>
      <c r="C196" s="80"/>
    </row>
    <row r="197" spans="1:3">
      <c r="A197" s="79"/>
      <c r="B197" s="79"/>
      <c r="C197" s="80"/>
    </row>
    <row r="198" spans="1:3">
      <c r="A198" s="79"/>
      <c r="B198" s="79"/>
      <c r="C198" s="80"/>
    </row>
    <row r="199" spans="1:3">
      <c r="A199" s="79"/>
      <c r="B199" s="79"/>
      <c r="C199" s="80"/>
    </row>
    <row r="200" spans="1:3">
      <c r="A200" s="79"/>
      <c r="B200" s="79"/>
      <c r="C200" s="80"/>
    </row>
    <row r="201" spans="1:3">
      <c r="A201" s="79"/>
      <c r="B201" s="79"/>
      <c r="C201" s="80"/>
    </row>
    <row r="202" spans="1:3">
      <c r="A202" s="79"/>
      <c r="B202" s="79"/>
      <c r="C202" s="80"/>
    </row>
    <row r="203" spans="1:3">
      <c r="A203" s="79"/>
      <c r="B203" s="79"/>
      <c r="C203" s="80"/>
    </row>
    <row r="204" spans="1:3">
      <c r="A204" s="79"/>
      <c r="B204" s="79"/>
      <c r="C204" s="80"/>
    </row>
    <row r="205" spans="1:3">
      <c r="A205" s="79"/>
      <c r="B205" s="79"/>
      <c r="C205" s="80"/>
    </row>
    <row r="206" spans="1:3">
      <c r="A206" s="79"/>
      <c r="B206" s="79"/>
      <c r="C206" s="80"/>
    </row>
    <row r="207" spans="1:3">
      <c r="A207" s="79"/>
      <c r="B207" s="79"/>
      <c r="C207" s="80"/>
    </row>
    <row r="208" spans="1:3">
      <c r="A208" s="79"/>
      <c r="B208" s="79"/>
      <c r="C208" s="80"/>
    </row>
    <row r="209" spans="1:3">
      <c r="A209" s="79"/>
      <c r="B209" s="79"/>
      <c r="C209" s="80"/>
    </row>
    <row r="210" spans="1:3">
      <c r="A210" s="79"/>
      <c r="B210" s="79"/>
      <c r="C210" s="80"/>
    </row>
    <row r="211" spans="1:3">
      <c r="A211" s="79"/>
      <c r="B211" s="79"/>
      <c r="C211" s="80"/>
    </row>
    <row r="212" spans="1:3">
      <c r="A212" s="79"/>
      <c r="B212" s="79"/>
      <c r="C212" s="80"/>
    </row>
    <row r="213" spans="1:3">
      <c r="A213" s="79"/>
      <c r="B213" s="79"/>
      <c r="C213" s="80"/>
    </row>
    <row r="214" spans="1:3">
      <c r="A214" s="79"/>
      <c r="B214" s="79"/>
      <c r="C214" s="80"/>
    </row>
    <row r="215" spans="1:3">
      <c r="A215" s="79"/>
      <c r="B215" s="79"/>
      <c r="C215" s="80"/>
    </row>
    <row r="216" spans="1:3">
      <c r="A216" s="79"/>
      <c r="B216" s="79"/>
      <c r="C216" s="80"/>
    </row>
    <row r="217" spans="1:3">
      <c r="A217" s="79"/>
      <c r="B217" s="79"/>
      <c r="C217" s="80"/>
    </row>
    <row r="218" spans="1:3">
      <c r="A218" s="79"/>
      <c r="B218" s="79"/>
      <c r="C218" s="80"/>
    </row>
    <row r="219" spans="1:3">
      <c r="A219" s="79"/>
      <c r="B219" s="79"/>
      <c r="C219" s="80"/>
    </row>
    <row r="220" spans="1:3">
      <c r="A220" s="79"/>
      <c r="B220" s="79"/>
      <c r="C220" s="80"/>
    </row>
    <row r="221" spans="1:3">
      <c r="A221" s="79"/>
      <c r="B221" s="79"/>
      <c r="C221" s="80"/>
    </row>
    <row r="222" spans="1:3">
      <c r="A222" s="79"/>
      <c r="B222" s="79"/>
      <c r="C222" s="80"/>
    </row>
    <row r="223" spans="1:3">
      <c r="A223" s="79"/>
      <c r="B223" s="79"/>
      <c r="C223" s="80"/>
    </row>
    <row r="224" spans="1:3">
      <c r="A224" s="79"/>
      <c r="B224" s="79"/>
      <c r="C224" s="80"/>
    </row>
    <row r="225" spans="1:3">
      <c r="A225" s="79"/>
      <c r="B225" s="79"/>
      <c r="C225" s="80"/>
    </row>
    <row r="226" spans="1:3">
      <c r="A226" s="79"/>
      <c r="B226" s="79"/>
      <c r="C226" s="80"/>
    </row>
    <row r="227" spans="1:3">
      <c r="A227" s="79"/>
      <c r="B227" s="79"/>
      <c r="C227" s="80"/>
    </row>
    <row r="228" spans="1:3">
      <c r="A228" s="79"/>
      <c r="B228" s="79"/>
      <c r="C228" s="80"/>
    </row>
    <row r="229" spans="1:3">
      <c r="A229" s="79"/>
      <c r="B229" s="79"/>
      <c r="C229" s="80"/>
    </row>
    <row r="230" spans="1:3">
      <c r="A230" s="79"/>
      <c r="B230" s="79"/>
      <c r="C230" s="80"/>
    </row>
    <row r="231" spans="1:3">
      <c r="A231" s="79"/>
      <c r="B231" s="79"/>
      <c r="C231" s="80"/>
    </row>
    <row r="232" spans="1:3">
      <c r="A232" s="79"/>
      <c r="B232" s="79"/>
      <c r="C232" s="80"/>
    </row>
    <row r="233" spans="1:3">
      <c r="A233" s="79"/>
      <c r="B233" s="79"/>
      <c r="C233" s="80"/>
    </row>
    <row r="234" spans="1:3">
      <c r="A234" s="79"/>
      <c r="B234" s="79"/>
      <c r="C234" s="80"/>
    </row>
    <row r="235" spans="1:3">
      <c r="A235" s="79"/>
      <c r="B235" s="79"/>
      <c r="C235" s="80"/>
    </row>
    <row r="236" spans="1:3">
      <c r="A236" s="79"/>
      <c r="B236" s="79"/>
      <c r="C236" s="80"/>
    </row>
    <row r="237" spans="1:3">
      <c r="A237" s="79"/>
      <c r="B237" s="79"/>
      <c r="C237" s="80"/>
    </row>
    <row r="238" spans="1:3">
      <c r="A238" s="79"/>
      <c r="B238" s="79"/>
      <c r="C238" s="80"/>
    </row>
    <row r="239" spans="1:3">
      <c r="A239" s="79"/>
      <c r="B239" s="79"/>
      <c r="C239" s="80"/>
    </row>
    <row r="240" spans="1:3">
      <c r="A240" s="79"/>
      <c r="B240" s="79"/>
      <c r="C240" s="80"/>
    </row>
    <row r="241" spans="1:3">
      <c r="A241" s="79"/>
      <c r="B241" s="79"/>
      <c r="C241" s="80"/>
    </row>
    <row r="242" spans="1:3">
      <c r="A242" s="79"/>
      <c r="B242" s="79"/>
      <c r="C242" s="80"/>
    </row>
    <row r="243" spans="1:3">
      <c r="A243" s="79"/>
      <c r="B243" s="79"/>
      <c r="C243" s="80"/>
    </row>
    <row r="244" spans="1:3">
      <c r="A244" s="79"/>
      <c r="B244" s="79"/>
      <c r="C244" s="80"/>
    </row>
    <row r="245" spans="1:3">
      <c r="A245" s="79"/>
      <c r="B245" s="79"/>
      <c r="C245" s="80"/>
    </row>
    <row r="246" spans="1:3">
      <c r="A246" s="79"/>
      <c r="B246" s="79"/>
      <c r="C246" s="80"/>
    </row>
    <row r="247" spans="1:3">
      <c r="A247" s="79"/>
      <c r="B247" s="79"/>
      <c r="C247" s="80"/>
    </row>
    <row r="248" spans="1:3">
      <c r="A248" s="79"/>
      <c r="B248" s="79"/>
      <c r="C248" s="80"/>
    </row>
    <row r="249" spans="1:3">
      <c r="A249" s="79"/>
      <c r="B249" s="79"/>
      <c r="C249" s="80"/>
    </row>
    <row r="250" spans="1:3">
      <c r="A250" s="79"/>
      <c r="B250" s="79"/>
      <c r="C250" s="80"/>
    </row>
    <row r="251" spans="1:3">
      <c r="A251" s="79"/>
      <c r="B251" s="79"/>
      <c r="C251" s="80"/>
    </row>
    <row r="252" spans="1:3">
      <c r="A252" s="79"/>
      <c r="B252" s="79"/>
      <c r="C252" s="80"/>
    </row>
    <row r="253" spans="1:3">
      <c r="A253" s="79"/>
      <c r="B253" s="79"/>
      <c r="C253" s="80"/>
    </row>
    <row r="254" spans="1:3">
      <c r="A254" s="79"/>
      <c r="B254" s="79"/>
      <c r="C254" s="80"/>
    </row>
    <row r="255" spans="1:3">
      <c r="A255" s="79"/>
      <c r="B255" s="79"/>
      <c r="C255" s="80"/>
    </row>
    <row r="256" spans="1:3">
      <c r="A256" s="79"/>
      <c r="B256" s="79"/>
      <c r="C256" s="80"/>
    </row>
    <row r="257" spans="1:3">
      <c r="A257" s="79"/>
      <c r="B257" s="79"/>
      <c r="C257" s="80"/>
    </row>
    <row r="258" spans="1:3">
      <c r="A258" s="79"/>
      <c r="B258" s="79"/>
      <c r="C258" s="80"/>
    </row>
    <row r="259" spans="1:3">
      <c r="A259" s="79"/>
      <c r="B259" s="79"/>
      <c r="C259" s="80"/>
    </row>
    <row r="260" spans="1:3">
      <c r="A260" s="79"/>
      <c r="B260" s="79"/>
      <c r="C260" s="80"/>
    </row>
    <row r="261" spans="1:3">
      <c r="A261" s="79"/>
      <c r="B261" s="79"/>
      <c r="C261" s="80"/>
    </row>
    <row r="262" spans="1:3">
      <c r="A262" s="79"/>
      <c r="B262" s="79"/>
      <c r="C262" s="80"/>
    </row>
    <row r="263" spans="1:3">
      <c r="A263" s="79"/>
      <c r="B263" s="79"/>
      <c r="C263" s="80"/>
    </row>
    <row r="264" spans="1:3">
      <c r="A264" s="79"/>
      <c r="B264" s="79"/>
      <c r="C264" s="80"/>
    </row>
    <row r="265" spans="1:3">
      <c r="A265" s="79"/>
      <c r="B265" s="79"/>
      <c r="C265" s="80"/>
    </row>
    <row r="266" spans="1:3">
      <c r="A266" s="79"/>
      <c r="B266" s="79"/>
      <c r="C266" s="80"/>
    </row>
    <row r="267" spans="1:3">
      <c r="A267" s="79"/>
      <c r="B267" s="79"/>
      <c r="C267" s="80"/>
    </row>
    <row r="268" spans="1:3">
      <c r="A268" s="79"/>
      <c r="B268" s="79"/>
      <c r="C268" s="80"/>
    </row>
    <row r="269" spans="1:3">
      <c r="A269" s="79"/>
      <c r="B269" s="79"/>
      <c r="C269" s="80"/>
    </row>
    <row r="270" spans="1:3">
      <c r="A270" s="79"/>
      <c r="B270" s="79"/>
      <c r="C270" s="80"/>
    </row>
    <row r="271" spans="1:3">
      <c r="A271" s="79"/>
      <c r="B271" s="79"/>
      <c r="C271" s="80"/>
    </row>
    <row r="272" spans="1:3">
      <c r="A272" s="79"/>
      <c r="B272" s="79"/>
      <c r="C272" s="80"/>
    </row>
    <row r="273" spans="1:3">
      <c r="A273" s="79"/>
      <c r="B273" s="79"/>
      <c r="C273" s="80"/>
    </row>
    <row r="274" spans="1:3">
      <c r="A274" s="79"/>
      <c r="B274" s="79"/>
      <c r="C274" s="80"/>
    </row>
    <row r="275" spans="1:3">
      <c r="A275" s="79"/>
      <c r="B275" s="79"/>
      <c r="C275" s="80"/>
    </row>
    <row r="276" spans="1:3">
      <c r="A276" s="79"/>
      <c r="B276" s="79"/>
      <c r="C276" s="80"/>
    </row>
    <row r="277" spans="1:3">
      <c r="A277" s="79"/>
      <c r="B277" s="79"/>
      <c r="C277" s="80"/>
    </row>
    <row r="278" spans="1:3">
      <c r="A278" s="79"/>
      <c r="B278" s="79"/>
      <c r="C278" s="80"/>
    </row>
    <row r="279" spans="1:3">
      <c r="A279" s="79"/>
      <c r="B279" s="79"/>
      <c r="C279" s="80"/>
    </row>
    <row r="280" spans="1:3">
      <c r="A280" s="79"/>
      <c r="B280" s="79"/>
      <c r="C280" s="80"/>
    </row>
    <row r="281" spans="1:3">
      <c r="A281" s="79"/>
      <c r="B281" s="79"/>
      <c r="C281" s="80"/>
    </row>
    <row r="282" spans="1:3">
      <c r="A282" s="79"/>
      <c r="B282" s="79"/>
      <c r="C282" s="80"/>
    </row>
    <row r="283" spans="1:3">
      <c r="A283" s="79"/>
      <c r="B283" s="79"/>
      <c r="C283" s="80"/>
    </row>
    <row r="284" spans="1:3">
      <c r="A284" s="79"/>
      <c r="B284" s="79"/>
      <c r="C284" s="80"/>
    </row>
    <row r="285" spans="1:3">
      <c r="A285" s="79"/>
      <c r="B285" s="79"/>
      <c r="C285" s="80"/>
    </row>
    <row r="286" spans="1:3">
      <c r="A286" s="79"/>
      <c r="B286" s="79"/>
      <c r="C286" s="80"/>
    </row>
    <row r="287" spans="1:3">
      <c r="A287" s="79"/>
      <c r="B287" s="79"/>
      <c r="C287" s="80"/>
    </row>
    <row r="288" spans="1:3">
      <c r="A288" s="79"/>
      <c r="B288" s="79"/>
      <c r="C288" s="80"/>
    </row>
    <row r="289" spans="1:3">
      <c r="A289" s="79"/>
      <c r="B289" s="79"/>
      <c r="C289" s="80"/>
    </row>
    <row r="290" spans="1:3">
      <c r="A290" s="79"/>
      <c r="B290" s="79"/>
      <c r="C290" s="80"/>
    </row>
    <row r="291" spans="1:3">
      <c r="A291" s="79"/>
      <c r="B291" s="79"/>
      <c r="C291" s="80"/>
    </row>
    <row r="292" spans="1:3">
      <c r="A292" s="79"/>
      <c r="B292" s="79"/>
      <c r="C292" s="80"/>
    </row>
    <row r="293" spans="1:3">
      <c r="A293" s="79"/>
      <c r="B293" s="79"/>
      <c r="C293" s="80"/>
    </row>
    <row r="294" spans="1:3">
      <c r="A294" s="79"/>
      <c r="B294" s="79"/>
      <c r="C294" s="80"/>
    </row>
    <row r="295" spans="1:3">
      <c r="A295" s="79"/>
      <c r="B295" s="79"/>
      <c r="C295" s="80"/>
    </row>
    <row r="296" spans="1:3">
      <c r="A296" s="79"/>
      <c r="B296" s="79"/>
      <c r="C296" s="80"/>
    </row>
    <row r="297" spans="1:3">
      <c r="A297" s="79"/>
      <c r="B297" s="79"/>
      <c r="C297" s="80"/>
    </row>
    <row r="298" spans="1:3">
      <c r="A298" s="79"/>
      <c r="B298" s="79"/>
      <c r="C298" s="80"/>
    </row>
    <row r="299" spans="1:3">
      <c r="A299" s="79"/>
      <c r="B299" s="79"/>
      <c r="C299" s="80"/>
    </row>
    <row r="300" spans="1:3">
      <c r="A300" s="79"/>
      <c r="B300" s="79"/>
      <c r="C300" s="80"/>
    </row>
    <row r="301" spans="1:3">
      <c r="A301" s="79"/>
      <c r="B301" s="79"/>
      <c r="C301" s="80"/>
    </row>
    <row r="302" spans="1:3">
      <c r="A302" s="79"/>
      <c r="B302" s="79"/>
      <c r="C302" s="80"/>
    </row>
    <row r="303" spans="1:3">
      <c r="A303" s="79"/>
      <c r="B303" s="79"/>
      <c r="C303" s="80"/>
    </row>
    <row r="304" spans="1:3">
      <c r="A304" s="79"/>
      <c r="B304" s="79"/>
      <c r="C304" s="80"/>
    </row>
    <row r="305" spans="1:3">
      <c r="A305" s="79"/>
      <c r="B305" s="79"/>
      <c r="C305" s="80"/>
    </row>
    <row r="306" spans="1:3">
      <c r="A306" s="79"/>
      <c r="B306" s="79"/>
      <c r="C306" s="80"/>
    </row>
    <row r="307" spans="1:3">
      <c r="A307" s="79"/>
      <c r="B307" s="79"/>
      <c r="C307" s="80"/>
    </row>
    <row r="308" spans="1:3">
      <c r="A308" s="79"/>
      <c r="B308" s="79"/>
      <c r="C308" s="80"/>
    </row>
    <row r="309" spans="1:3">
      <c r="A309" s="79"/>
      <c r="B309" s="79"/>
      <c r="C309" s="80"/>
    </row>
    <row r="310" spans="1:3">
      <c r="A310" s="79"/>
      <c r="B310" s="79"/>
      <c r="C310" s="80"/>
    </row>
    <row r="311" spans="1:3">
      <c r="A311" s="79"/>
      <c r="B311" s="79"/>
      <c r="C311" s="80"/>
    </row>
    <row r="312" spans="1:3">
      <c r="A312" s="79"/>
      <c r="B312" s="79"/>
      <c r="C312" s="80"/>
    </row>
    <row r="313" spans="1:3">
      <c r="A313" s="79"/>
      <c r="B313" s="79"/>
      <c r="C313" s="80"/>
    </row>
    <row r="314" spans="1:3">
      <c r="A314" s="79"/>
      <c r="B314" s="79"/>
      <c r="C314" s="80"/>
    </row>
    <row r="315" spans="1:3">
      <c r="A315" s="79"/>
      <c r="B315" s="79"/>
      <c r="C315" s="80"/>
    </row>
    <row r="316" spans="1:3">
      <c r="A316" s="79"/>
      <c r="B316" s="79"/>
      <c r="C316" s="80"/>
    </row>
    <row r="317" spans="1:3">
      <c r="A317" s="79"/>
      <c r="B317" s="79"/>
      <c r="C317" s="80"/>
    </row>
    <row r="318" spans="1:3">
      <c r="A318" s="79"/>
      <c r="B318" s="79"/>
      <c r="C318" s="80"/>
    </row>
    <row r="319" spans="1:3">
      <c r="A319" s="79"/>
      <c r="B319" s="79"/>
      <c r="C319" s="80"/>
    </row>
    <row r="320" spans="1:3">
      <c r="A320" s="79"/>
      <c r="B320" s="79"/>
      <c r="C320" s="80"/>
    </row>
    <row r="321" spans="1:3">
      <c r="A321" s="79"/>
      <c r="B321" s="79"/>
      <c r="C321" s="80"/>
    </row>
    <row r="322" spans="1:3">
      <c r="A322" s="79"/>
      <c r="B322" s="79"/>
      <c r="C322" s="80"/>
    </row>
    <row r="323" spans="1:3">
      <c r="A323" s="79"/>
      <c r="B323" s="79"/>
      <c r="C323" s="80"/>
    </row>
    <row r="324" spans="1:3">
      <c r="A324" s="79"/>
      <c r="B324" s="79"/>
      <c r="C324" s="80"/>
    </row>
    <row r="325" spans="1:3">
      <c r="A325" s="79"/>
      <c r="B325" s="79"/>
      <c r="C325" s="80"/>
    </row>
    <row r="326" spans="1:3">
      <c r="A326" s="79"/>
      <c r="B326" s="79"/>
      <c r="C326" s="80"/>
    </row>
    <row r="327" spans="1:3">
      <c r="A327" s="79"/>
      <c r="B327" s="79"/>
      <c r="C327" s="80"/>
    </row>
    <row r="328" spans="1:3">
      <c r="A328" s="79"/>
      <c r="B328" s="79"/>
      <c r="C328" s="80"/>
    </row>
    <row r="329" spans="1:3">
      <c r="A329" s="79"/>
      <c r="B329" s="79"/>
      <c r="C329" s="80"/>
    </row>
    <row r="330" spans="1:3">
      <c r="A330" s="79"/>
      <c r="B330" s="79"/>
      <c r="C330" s="80"/>
    </row>
    <row r="331" spans="1:3">
      <c r="A331" s="79"/>
      <c r="B331" s="79"/>
      <c r="C331" s="80"/>
    </row>
    <row r="332" spans="1:3">
      <c r="A332" s="79"/>
      <c r="B332" s="79"/>
      <c r="C332" s="80"/>
    </row>
    <row r="333" spans="1:3">
      <c r="A333" s="79"/>
      <c r="B333" s="79"/>
      <c r="C333" s="80"/>
    </row>
    <row r="334" spans="1:3">
      <c r="A334" s="79"/>
      <c r="B334" s="79"/>
      <c r="C334" s="80"/>
    </row>
    <row r="335" spans="1:3">
      <c r="A335" s="79"/>
      <c r="B335" s="79"/>
      <c r="C335" s="80"/>
    </row>
    <row r="336" spans="1:3">
      <c r="A336" s="79"/>
      <c r="B336" s="79"/>
      <c r="C336" s="80"/>
    </row>
    <row r="337" spans="1:3">
      <c r="A337" s="79"/>
      <c r="B337" s="79"/>
      <c r="C337" s="80"/>
    </row>
    <row r="338" spans="1:3">
      <c r="A338" s="79"/>
      <c r="B338" s="79"/>
      <c r="C338" s="80"/>
    </row>
    <row r="339" spans="1:3">
      <c r="A339" s="79"/>
      <c r="B339" s="79"/>
      <c r="C339" s="80"/>
    </row>
    <row r="340" spans="1:3">
      <c r="A340" s="79"/>
      <c r="B340" s="79"/>
      <c r="C340" s="80"/>
    </row>
    <row r="341" spans="1:3">
      <c r="A341" s="79"/>
      <c r="B341" s="79"/>
      <c r="C341" s="80"/>
    </row>
    <row r="342" spans="1:3">
      <c r="A342" s="79"/>
      <c r="B342" s="79"/>
      <c r="C342" s="80"/>
    </row>
    <row r="343" spans="1:3">
      <c r="A343" s="79"/>
      <c r="B343" s="79"/>
      <c r="C343" s="80"/>
    </row>
    <row r="344" spans="1:3">
      <c r="A344" s="79"/>
      <c r="B344" s="79"/>
      <c r="C344" s="80"/>
    </row>
    <row r="345" spans="1:3">
      <c r="A345" s="79"/>
      <c r="B345" s="79"/>
      <c r="C345" s="80"/>
    </row>
    <row r="346" spans="1:3">
      <c r="A346" s="79"/>
      <c r="B346" s="79"/>
      <c r="C346" s="80"/>
    </row>
    <row r="347" spans="1:3">
      <c r="A347" s="79"/>
      <c r="B347" s="79"/>
      <c r="C347" s="80"/>
    </row>
    <row r="348" spans="1:3">
      <c r="A348" s="79"/>
      <c r="B348" s="79"/>
      <c r="C348" s="80"/>
    </row>
    <row r="349" spans="1:3">
      <c r="A349" s="79"/>
      <c r="B349" s="79"/>
      <c r="C349" s="80"/>
    </row>
    <row r="350" spans="1:3">
      <c r="A350" s="79"/>
      <c r="B350" s="79"/>
      <c r="C350" s="80"/>
    </row>
    <row r="351" spans="1:3">
      <c r="A351" s="79"/>
      <c r="B351" s="79"/>
      <c r="C351" s="80"/>
    </row>
    <row r="352" spans="1:3">
      <c r="A352" s="79"/>
      <c r="B352" s="79"/>
      <c r="C352" s="80"/>
    </row>
    <row r="353" spans="1:3">
      <c r="A353" s="79"/>
      <c r="B353" s="79"/>
      <c r="C353" s="80"/>
    </row>
    <row r="354" spans="1:3">
      <c r="A354" s="79"/>
      <c r="B354" s="79"/>
      <c r="C354" s="80"/>
    </row>
    <row r="355" spans="1:3">
      <c r="A355" s="79"/>
      <c r="B355" s="79"/>
      <c r="C355" s="80"/>
    </row>
    <row r="356" spans="1:3">
      <c r="A356" s="79"/>
      <c r="B356" s="79"/>
      <c r="C356" s="80"/>
    </row>
    <row r="357" spans="1:3">
      <c r="A357" s="79"/>
      <c r="B357" s="79"/>
      <c r="C357" s="80"/>
    </row>
    <row r="358" spans="1:3">
      <c r="A358" s="79"/>
      <c r="B358" s="79"/>
      <c r="C358" s="80"/>
    </row>
    <row r="359" spans="1:3">
      <c r="A359" s="79"/>
      <c r="B359" s="79"/>
      <c r="C359" s="80"/>
    </row>
    <row r="360" spans="1:3">
      <c r="A360" s="79"/>
      <c r="B360" s="79"/>
      <c r="C360" s="80"/>
    </row>
    <row r="361" spans="1:3">
      <c r="A361" s="79"/>
      <c r="B361" s="79"/>
      <c r="C361" s="80"/>
    </row>
    <row r="362" spans="1:3">
      <c r="A362" s="79"/>
      <c r="B362" s="79"/>
      <c r="C362" s="80"/>
    </row>
    <row r="363" spans="1:3">
      <c r="A363" s="79"/>
      <c r="B363" s="79"/>
      <c r="C363" s="80"/>
    </row>
    <row r="364" spans="1:3">
      <c r="A364" s="79"/>
      <c r="B364" s="79"/>
      <c r="C364" s="80"/>
    </row>
    <row r="365" spans="1:3">
      <c r="A365" s="79"/>
      <c r="B365" s="79"/>
      <c r="C365" s="80"/>
    </row>
    <row r="366" spans="1:3">
      <c r="A366" s="79"/>
      <c r="B366" s="79"/>
      <c r="C366" s="80"/>
    </row>
    <row r="367" spans="1:3">
      <c r="A367" s="79"/>
      <c r="B367" s="79"/>
      <c r="C367" s="80"/>
    </row>
    <row r="368" spans="1:3">
      <c r="A368" s="79"/>
      <c r="B368" s="79"/>
      <c r="C368" s="80"/>
    </row>
    <row r="369" spans="1:3">
      <c r="A369" s="79"/>
      <c r="B369" s="79"/>
      <c r="C369" s="80"/>
    </row>
    <row r="370" spans="1:3">
      <c r="A370" s="79"/>
      <c r="B370" s="79"/>
      <c r="C370" s="80"/>
    </row>
    <row r="371" spans="1:3">
      <c r="A371" s="79"/>
      <c r="B371" s="79"/>
      <c r="C371" s="80"/>
    </row>
    <row r="372" spans="1:3">
      <c r="A372" s="79"/>
      <c r="B372" s="79"/>
      <c r="C372" s="80"/>
    </row>
    <row r="373" spans="1:3">
      <c r="A373" s="79"/>
      <c r="B373" s="79"/>
      <c r="C373" s="80"/>
    </row>
    <row r="374" spans="1:3">
      <c r="A374" s="79"/>
      <c r="B374" s="79"/>
      <c r="C374" s="80"/>
    </row>
    <row r="375" spans="1:3">
      <c r="A375" s="79"/>
      <c r="B375" s="79"/>
      <c r="C375" s="80"/>
    </row>
    <row r="376" spans="1:3">
      <c r="A376" s="79"/>
      <c r="B376" s="79"/>
      <c r="C376" s="80"/>
    </row>
    <row r="377" spans="1:3">
      <c r="A377" s="79"/>
      <c r="B377" s="79"/>
      <c r="C377" s="80"/>
    </row>
    <row r="378" spans="1:3">
      <c r="A378" s="79"/>
      <c r="B378" s="79"/>
      <c r="C378" s="80"/>
    </row>
    <row r="379" spans="1:3">
      <c r="A379" s="79"/>
      <c r="B379" s="79"/>
      <c r="C379" s="80"/>
    </row>
    <row r="380" spans="1:3">
      <c r="A380" s="79"/>
      <c r="B380" s="79"/>
      <c r="C380" s="80"/>
    </row>
    <row r="381" spans="1:3">
      <c r="A381" s="79"/>
      <c r="B381" s="79"/>
      <c r="C381" s="80"/>
    </row>
    <row r="382" spans="1:3">
      <c r="A382" s="79"/>
      <c r="B382" s="79"/>
      <c r="C382" s="80"/>
    </row>
    <row r="383" spans="1:3">
      <c r="A383" s="79"/>
      <c r="B383" s="79"/>
      <c r="C383" s="80"/>
    </row>
    <row r="384" spans="1:3">
      <c r="A384" s="79"/>
      <c r="B384" s="79"/>
      <c r="C384" s="80"/>
    </row>
    <row r="385" spans="1:3">
      <c r="A385" s="79"/>
      <c r="B385" s="79"/>
      <c r="C385" s="80"/>
    </row>
    <row r="386" spans="1:3">
      <c r="A386" s="79"/>
      <c r="B386" s="79"/>
      <c r="C386" s="80"/>
    </row>
    <row r="387" spans="1:3">
      <c r="A387" s="79"/>
      <c r="B387" s="79"/>
      <c r="C387" s="80"/>
    </row>
    <row r="388" spans="1:3">
      <c r="A388" s="79"/>
      <c r="B388" s="79"/>
      <c r="C388" s="80"/>
    </row>
    <row r="389" spans="1:3">
      <c r="A389" s="79"/>
      <c r="B389" s="79"/>
      <c r="C389" s="80"/>
    </row>
    <row r="390" spans="1:3">
      <c r="A390" s="79"/>
      <c r="B390" s="79"/>
      <c r="C390" s="80"/>
    </row>
    <row r="391" spans="1:3">
      <c r="A391" s="79"/>
      <c r="B391" s="79"/>
      <c r="C391" s="80"/>
    </row>
    <row r="392" spans="1:3">
      <c r="A392" s="79"/>
      <c r="B392" s="79"/>
      <c r="C392" s="80"/>
    </row>
    <row r="393" spans="1:3">
      <c r="A393" s="79"/>
      <c r="B393" s="79"/>
      <c r="C393" s="80"/>
    </row>
    <row r="394" spans="1:3">
      <c r="A394" s="79"/>
      <c r="B394" s="79"/>
      <c r="C394" s="80"/>
    </row>
    <row r="395" spans="1:3">
      <c r="A395" s="79"/>
      <c r="B395" s="79"/>
      <c r="C395" s="80"/>
    </row>
    <row r="396" spans="1:3">
      <c r="A396" s="79"/>
      <c r="B396" s="79"/>
      <c r="C396" s="80"/>
    </row>
    <row r="397" spans="1:3">
      <c r="A397" s="79"/>
      <c r="B397" s="79"/>
      <c r="C397" s="80"/>
    </row>
    <row r="398" spans="1:3">
      <c r="A398" s="79"/>
      <c r="B398" s="79"/>
      <c r="C398" s="80"/>
    </row>
    <row r="399" spans="1:3">
      <c r="A399" s="79"/>
      <c r="B399" s="79"/>
      <c r="C399" s="80"/>
    </row>
    <row r="400" spans="1:3">
      <c r="A400" s="79"/>
      <c r="B400" s="79"/>
      <c r="C400" s="80"/>
    </row>
    <row r="401" spans="1:3">
      <c r="A401" s="79"/>
      <c r="B401" s="79"/>
      <c r="C401" s="80"/>
    </row>
    <row r="402" spans="1:3">
      <c r="A402" s="79"/>
      <c r="B402" s="79"/>
      <c r="C402" s="80"/>
    </row>
    <row r="403" spans="1:3">
      <c r="A403" s="79"/>
      <c r="B403" s="79"/>
      <c r="C403" s="80"/>
    </row>
    <row r="404" spans="1:3">
      <c r="A404" s="79"/>
      <c r="B404" s="79"/>
      <c r="C404" s="80"/>
    </row>
    <row r="405" spans="1:3">
      <c r="A405" s="79"/>
      <c r="B405" s="79"/>
      <c r="C405" s="80"/>
    </row>
    <row r="406" spans="1:3">
      <c r="A406" s="79"/>
      <c r="B406" s="79"/>
      <c r="C406" s="80"/>
    </row>
    <row r="407" spans="1:3">
      <c r="A407" s="79"/>
      <c r="B407" s="79"/>
      <c r="C407" s="80"/>
    </row>
    <row r="408" spans="1:3">
      <c r="A408" s="79"/>
      <c r="B408" s="79"/>
      <c r="C408" s="80"/>
    </row>
    <row r="409" spans="1:3">
      <c r="A409" s="79"/>
      <c r="B409" s="79"/>
      <c r="C409" s="80"/>
    </row>
    <row r="410" spans="1:3">
      <c r="A410" s="79"/>
      <c r="B410" s="79"/>
      <c r="C410" s="80"/>
    </row>
    <row r="411" spans="1:3">
      <c r="A411" s="79"/>
      <c r="B411" s="79"/>
      <c r="C411" s="80"/>
    </row>
    <row r="412" spans="1:3">
      <c r="A412" s="79"/>
      <c r="B412" s="79"/>
      <c r="C412" s="80"/>
    </row>
    <row r="413" spans="1:3">
      <c r="A413" s="79"/>
      <c r="B413" s="79"/>
      <c r="C413" s="80"/>
    </row>
    <row r="414" spans="1:3">
      <c r="A414" s="79"/>
      <c r="B414" s="79"/>
      <c r="C414" s="80"/>
    </row>
    <row r="415" spans="1:3">
      <c r="A415" s="79"/>
      <c r="B415" s="79"/>
      <c r="C415" s="80"/>
    </row>
    <row r="416" spans="1:3">
      <c r="A416" s="79"/>
      <c r="B416" s="79"/>
      <c r="C416" s="80"/>
    </row>
    <row r="417" spans="1:3">
      <c r="A417" s="79"/>
      <c r="B417" s="79"/>
      <c r="C417" s="80"/>
    </row>
    <row r="418" spans="1:3">
      <c r="A418" s="79"/>
      <c r="B418" s="79"/>
      <c r="C418" s="80"/>
    </row>
    <row r="419" spans="1:3">
      <c r="A419" s="79"/>
      <c r="B419" s="79"/>
      <c r="C419" s="80"/>
    </row>
    <row r="420" spans="1:3">
      <c r="A420" s="79"/>
      <c r="B420" s="79"/>
      <c r="C420" s="80"/>
    </row>
    <row r="421" spans="1:3">
      <c r="A421" s="79"/>
      <c r="B421" s="79"/>
      <c r="C421" s="80"/>
    </row>
    <row r="422" spans="1:3">
      <c r="A422" s="79"/>
      <c r="B422" s="79"/>
      <c r="C422" s="80"/>
    </row>
    <row r="423" spans="1:3">
      <c r="A423" s="79"/>
      <c r="B423" s="79"/>
      <c r="C423" s="80"/>
    </row>
    <row r="424" spans="1:3">
      <c r="A424" s="79"/>
      <c r="B424" s="79"/>
      <c r="C424" s="80"/>
    </row>
    <row r="425" spans="1:3">
      <c r="A425" s="79"/>
      <c r="B425" s="79"/>
      <c r="C425" s="80"/>
    </row>
    <row r="426" spans="1:3">
      <c r="A426" s="79"/>
      <c r="B426" s="79"/>
      <c r="C426" s="80"/>
    </row>
    <row r="427" spans="1:3">
      <c r="A427" s="79"/>
      <c r="B427" s="79"/>
      <c r="C427" s="80"/>
    </row>
    <row r="428" spans="1:3">
      <c r="A428" s="79"/>
      <c r="B428" s="79"/>
      <c r="C428" s="80"/>
    </row>
    <row r="429" spans="1:3">
      <c r="A429" s="79"/>
      <c r="B429" s="79"/>
      <c r="C429" s="80"/>
    </row>
    <row r="430" spans="1:3">
      <c r="A430" s="79"/>
      <c r="B430" s="79"/>
      <c r="C430" s="80"/>
    </row>
    <row r="431" spans="1:3">
      <c r="A431" s="79"/>
      <c r="B431" s="79"/>
      <c r="C431" s="80"/>
    </row>
    <row r="432" spans="1:3">
      <c r="A432" s="79"/>
      <c r="B432" s="79"/>
      <c r="C432" s="80"/>
    </row>
    <row r="433" spans="1:3">
      <c r="A433" s="79"/>
      <c r="B433" s="79"/>
      <c r="C433" s="80"/>
    </row>
    <row r="434" spans="1:3">
      <c r="A434" s="79"/>
      <c r="B434" s="79"/>
      <c r="C434" s="80"/>
    </row>
    <row r="435" spans="1:3">
      <c r="A435" s="79"/>
      <c r="B435" s="79"/>
      <c r="C435" s="80"/>
    </row>
    <row r="436" spans="1:3">
      <c r="A436" s="79"/>
      <c r="B436" s="79"/>
      <c r="C436" s="80"/>
    </row>
    <row r="437" spans="1:3">
      <c r="A437" s="79"/>
      <c r="B437" s="79"/>
      <c r="C437" s="80"/>
    </row>
    <row r="438" spans="1:3">
      <c r="A438" s="79"/>
      <c r="B438" s="79"/>
      <c r="C438" s="80"/>
    </row>
    <row r="439" spans="1:3">
      <c r="A439" s="79"/>
      <c r="B439" s="79"/>
      <c r="C439" s="80"/>
    </row>
    <row r="440" spans="1:3">
      <c r="A440" s="79"/>
      <c r="B440" s="79"/>
      <c r="C440" s="80"/>
    </row>
    <row r="441" spans="1:3">
      <c r="A441" s="79"/>
      <c r="B441" s="79"/>
      <c r="C441" s="80"/>
    </row>
    <row r="442" spans="1:3">
      <c r="A442" s="79"/>
      <c r="B442" s="79"/>
      <c r="C442" s="80"/>
    </row>
    <row r="443" spans="1:3">
      <c r="A443" s="79"/>
      <c r="B443" s="79"/>
      <c r="C443" s="80"/>
    </row>
    <row r="444" spans="1:3">
      <c r="A444" s="79"/>
      <c r="B444" s="79"/>
      <c r="C444" s="80"/>
    </row>
    <row r="445" spans="1:3">
      <c r="A445" s="79"/>
      <c r="B445" s="79"/>
      <c r="C445" s="80"/>
    </row>
    <row r="446" spans="1:3">
      <c r="A446" s="79"/>
      <c r="B446" s="79"/>
      <c r="C446" s="80"/>
    </row>
    <row r="447" spans="1:3">
      <c r="A447" s="79"/>
      <c r="B447" s="79"/>
      <c r="C447" s="80"/>
    </row>
    <row r="448" spans="1:3">
      <c r="A448" s="79"/>
      <c r="B448" s="79"/>
      <c r="C448" s="80"/>
    </row>
    <row r="449" spans="1:3">
      <c r="A449" s="79"/>
      <c r="B449" s="79"/>
      <c r="C449" s="80"/>
    </row>
    <row r="450" spans="1:3">
      <c r="A450" s="79"/>
      <c r="B450" s="79"/>
      <c r="C450" s="80"/>
    </row>
    <row r="451" spans="1:3">
      <c r="A451" s="79"/>
      <c r="B451" s="79"/>
      <c r="C451" s="80"/>
    </row>
    <row r="452" spans="1:3">
      <c r="A452" s="79"/>
      <c r="B452" s="79"/>
      <c r="C452" s="80"/>
    </row>
    <row r="453" spans="1:3">
      <c r="A453" s="79"/>
      <c r="B453" s="79"/>
      <c r="C453" s="80"/>
    </row>
    <row r="454" spans="1:3">
      <c r="A454" s="79"/>
      <c r="B454" s="79"/>
      <c r="C454" s="80"/>
    </row>
    <row r="455" spans="1:3">
      <c r="A455" s="79"/>
      <c r="B455" s="79"/>
      <c r="C455" s="80"/>
    </row>
    <row r="456" spans="1:3">
      <c r="A456" s="79"/>
      <c r="B456" s="79"/>
      <c r="C456" s="80"/>
    </row>
    <row r="457" spans="1:3">
      <c r="A457" s="79"/>
      <c r="B457" s="79"/>
      <c r="C457" s="80"/>
    </row>
    <row r="458" spans="1:3">
      <c r="A458" s="79"/>
      <c r="B458" s="79"/>
      <c r="C458" s="80"/>
    </row>
    <row r="459" spans="1:3">
      <c r="A459" s="79"/>
      <c r="B459" s="79"/>
      <c r="C459" s="80"/>
    </row>
    <row r="460" spans="1:3">
      <c r="A460" s="79"/>
      <c r="B460" s="79"/>
      <c r="C460" s="80"/>
    </row>
    <row r="461" spans="1:3">
      <c r="A461" s="79"/>
      <c r="B461" s="79"/>
      <c r="C461" s="80"/>
    </row>
    <row r="462" spans="1:3">
      <c r="A462" s="79"/>
      <c r="B462" s="79"/>
      <c r="C462" s="80"/>
    </row>
    <row r="463" spans="1:3">
      <c r="A463" s="79"/>
      <c r="B463" s="79"/>
      <c r="C463" s="80"/>
    </row>
    <row r="464" spans="1:3">
      <c r="A464" s="79"/>
      <c r="B464" s="79"/>
      <c r="C464" s="80"/>
    </row>
    <row r="465" spans="1:3">
      <c r="A465" s="79"/>
      <c r="B465" s="79"/>
      <c r="C465" s="80"/>
    </row>
    <row r="466" spans="1:3">
      <c r="A466" s="79"/>
      <c r="B466" s="79"/>
      <c r="C466" s="80"/>
    </row>
    <row r="467" spans="1:3">
      <c r="A467" s="79"/>
      <c r="B467" s="79"/>
      <c r="C467" s="80"/>
    </row>
    <row r="468" spans="1:3">
      <c r="A468" s="79"/>
      <c r="B468" s="79"/>
      <c r="C468" s="80"/>
    </row>
    <row r="469" spans="1:3">
      <c r="A469" s="79"/>
      <c r="B469" s="79"/>
      <c r="C469" s="80"/>
    </row>
    <row r="470" spans="1:3">
      <c r="A470" s="79"/>
      <c r="B470" s="79"/>
      <c r="C470" s="80"/>
    </row>
    <row r="471" spans="1:3">
      <c r="A471" s="79"/>
      <c r="B471" s="79"/>
      <c r="C471" s="80"/>
    </row>
    <row r="472" spans="1:3">
      <c r="A472" s="79"/>
      <c r="B472" s="79"/>
      <c r="C472" s="80"/>
    </row>
    <row r="473" spans="1:3">
      <c r="A473" s="79"/>
      <c r="B473" s="79"/>
      <c r="C473" s="80"/>
    </row>
    <row r="474" spans="1:3">
      <c r="A474" s="79"/>
      <c r="B474" s="79"/>
      <c r="C474" s="80"/>
    </row>
    <row r="475" spans="1:3">
      <c r="A475" s="79"/>
      <c r="B475" s="79"/>
      <c r="C475" s="80"/>
    </row>
    <row r="476" spans="1:3">
      <c r="A476" s="79"/>
      <c r="B476" s="79"/>
      <c r="C476" s="80"/>
    </row>
    <row r="477" spans="1:3">
      <c r="A477" s="79"/>
      <c r="B477" s="79"/>
      <c r="C477" s="80"/>
    </row>
    <row r="478" spans="1:3">
      <c r="A478" s="79"/>
      <c r="B478" s="79"/>
      <c r="C478" s="80"/>
    </row>
    <row r="479" spans="1:3">
      <c r="A479" s="79"/>
      <c r="B479" s="79"/>
      <c r="C479" s="80"/>
    </row>
    <row r="480" spans="1:3">
      <c r="A480" s="79"/>
      <c r="B480" s="79"/>
      <c r="C480" s="80"/>
    </row>
    <row r="481" spans="1:3">
      <c r="A481" s="79"/>
      <c r="B481" s="79"/>
      <c r="C481" s="80"/>
    </row>
    <row r="482" spans="1:3">
      <c r="A482" s="79"/>
      <c r="B482" s="79"/>
      <c r="C482" s="80"/>
    </row>
    <row r="483" spans="1:3">
      <c r="A483" s="79"/>
      <c r="B483" s="79"/>
      <c r="C483" s="80"/>
    </row>
    <row r="484" spans="1:3">
      <c r="A484" s="79"/>
      <c r="B484" s="79"/>
      <c r="C484" s="80"/>
    </row>
    <row r="485" spans="1:3">
      <c r="A485" s="79"/>
      <c r="B485" s="79"/>
      <c r="C485" s="80"/>
    </row>
    <row r="486" spans="1:3">
      <c r="A486" s="79"/>
      <c r="B486" s="79"/>
      <c r="C486" s="80"/>
    </row>
    <row r="487" spans="1:3">
      <c r="A487" s="79"/>
      <c r="B487" s="79"/>
      <c r="C487" s="80"/>
    </row>
    <row r="488" spans="1:3">
      <c r="A488" s="79"/>
      <c r="B488" s="79"/>
      <c r="C488" s="80"/>
    </row>
    <row r="489" spans="1:3">
      <c r="A489" s="79"/>
      <c r="B489" s="79"/>
      <c r="C489" s="80"/>
    </row>
    <row r="490" spans="1:3">
      <c r="A490" s="79"/>
      <c r="B490" s="79"/>
      <c r="C490" s="80"/>
    </row>
    <row r="491" spans="1:3">
      <c r="A491" s="79"/>
      <c r="B491" s="79"/>
      <c r="C491" s="80"/>
    </row>
    <row r="492" spans="1:3">
      <c r="A492" s="79"/>
      <c r="B492" s="79"/>
      <c r="C492" s="80"/>
    </row>
    <row r="493" spans="1:3">
      <c r="A493" s="79"/>
      <c r="B493" s="79"/>
      <c r="C493" s="80"/>
    </row>
    <row r="494" spans="1:3">
      <c r="A494" s="79"/>
      <c r="B494" s="79"/>
      <c r="C494" s="80"/>
    </row>
    <row r="495" spans="1:3">
      <c r="A495" s="79"/>
      <c r="B495" s="79"/>
      <c r="C495" s="80"/>
    </row>
    <row r="496" spans="1:3">
      <c r="A496" s="79"/>
      <c r="B496" s="79"/>
      <c r="C496" s="80"/>
    </row>
    <row r="497" spans="1:3">
      <c r="A497" s="79"/>
      <c r="B497" s="79"/>
      <c r="C497" s="80"/>
    </row>
    <row r="498" spans="1:3">
      <c r="A498" s="79"/>
      <c r="B498" s="79"/>
      <c r="C498" s="80"/>
    </row>
    <row r="499" spans="1:3">
      <c r="A499" s="79"/>
      <c r="B499" s="79"/>
      <c r="C499" s="80"/>
    </row>
    <row r="500" spans="1:3">
      <c r="A500" s="79"/>
      <c r="B500" s="79"/>
      <c r="C500" s="80"/>
    </row>
    <row r="501" spans="1:3">
      <c r="A501" s="79"/>
      <c r="B501" s="79"/>
      <c r="C501" s="80"/>
    </row>
    <row r="502" spans="1:3">
      <c r="A502" s="79"/>
      <c r="B502" s="79"/>
      <c r="C502" s="80"/>
    </row>
    <row r="503" spans="1:3">
      <c r="A503" s="79"/>
      <c r="B503" s="79"/>
      <c r="C503" s="80"/>
    </row>
    <row r="504" spans="1:3">
      <c r="A504" s="79"/>
      <c r="B504" s="79"/>
      <c r="C504" s="80"/>
    </row>
    <row r="505" spans="1:3">
      <c r="A505" s="79"/>
      <c r="B505" s="79"/>
      <c r="C505" s="80"/>
    </row>
    <row r="506" spans="1:3">
      <c r="A506" s="79"/>
      <c r="B506" s="79"/>
      <c r="C506" s="80"/>
    </row>
    <row r="507" spans="1:3">
      <c r="A507" s="79"/>
      <c r="B507" s="79"/>
      <c r="C507" s="80"/>
    </row>
    <row r="508" spans="1:3">
      <c r="A508" s="79"/>
      <c r="B508" s="79"/>
      <c r="C508" s="80"/>
    </row>
    <row r="509" spans="1:3">
      <c r="A509" s="79"/>
      <c r="B509" s="79"/>
      <c r="C509" s="80"/>
    </row>
    <row r="510" spans="1:3">
      <c r="A510" s="79"/>
      <c r="B510" s="79"/>
      <c r="C510" s="80"/>
    </row>
    <row r="511" spans="1:3">
      <c r="A511" s="79"/>
      <c r="B511" s="79"/>
      <c r="C511" s="80"/>
    </row>
    <row r="512" spans="1:3">
      <c r="A512" s="79"/>
      <c r="B512" s="79"/>
      <c r="C512" s="80"/>
    </row>
    <row r="513" spans="1:3">
      <c r="A513" s="79"/>
      <c r="B513" s="79"/>
      <c r="C513" s="80"/>
    </row>
    <row r="514" spans="1:3">
      <c r="A514" s="79"/>
      <c r="B514" s="79"/>
      <c r="C514" s="80"/>
    </row>
    <row r="515" spans="1:3">
      <c r="A515" s="79"/>
      <c r="B515" s="79"/>
      <c r="C515" s="80"/>
    </row>
    <row r="516" spans="1:3">
      <c r="A516" s="79"/>
      <c r="B516" s="79"/>
      <c r="C516" s="80"/>
    </row>
    <row r="517" spans="1:3">
      <c r="A517" s="79"/>
      <c r="B517" s="79"/>
      <c r="C517" s="80"/>
    </row>
    <row r="518" spans="1:3">
      <c r="A518" s="79"/>
      <c r="B518" s="79"/>
      <c r="C518" s="80"/>
    </row>
    <row r="519" spans="1:3">
      <c r="A519" s="79"/>
      <c r="B519" s="79"/>
      <c r="C519" s="80"/>
    </row>
    <row r="520" spans="1:3">
      <c r="A520" s="79"/>
      <c r="B520" s="79"/>
      <c r="C520" s="80"/>
    </row>
    <row r="521" spans="1:3">
      <c r="A521" s="79"/>
      <c r="B521" s="79"/>
      <c r="C521" s="80"/>
    </row>
    <row r="522" spans="1:3">
      <c r="A522" s="79"/>
      <c r="B522" s="79"/>
      <c r="C522" s="80"/>
    </row>
    <row r="523" spans="1:3">
      <c r="A523" s="79"/>
      <c r="B523" s="79"/>
      <c r="C523" s="80"/>
    </row>
    <row r="524" spans="1:3">
      <c r="A524" s="79"/>
      <c r="B524" s="79"/>
      <c r="C524" s="80"/>
    </row>
    <row r="525" spans="1:3">
      <c r="A525" s="79"/>
      <c r="B525" s="79"/>
      <c r="C525" s="80"/>
    </row>
    <row r="526" spans="1:3">
      <c r="A526" s="79"/>
      <c r="B526" s="79"/>
      <c r="C526" s="80"/>
    </row>
    <row r="527" spans="1:3">
      <c r="A527" s="79"/>
      <c r="B527" s="79"/>
      <c r="C527" s="80"/>
    </row>
    <row r="528" spans="1:3">
      <c r="A528" s="79"/>
      <c r="B528" s="79"/>
      <c r="C528" s="80"/>
    </row>
    <row r="529" spans="1:3">
      <c r="A529" s="79"/>
      <c r="B529" s="79"/>
      <c r="C529" s="80"/>
    </row>
    <row r="530" spans="1:3">
      <c r="A530" s="79"/>
      <c r="B530" s="79"/>
      <c r="C530" s="80"/>
    </row>
    <row r="531" spans="1:3">
      <c r="A531" s="79"/>
      <c r="B531" s="79"/>
      <c r="C531" s="80"/>
    </row>
    <row r="532" spans="1:3">
      <c r="A532" s="79"/>
      <c r="B532" s="79"/>
      <c r="C532" s="80"/>
    </row>
    <row r="533" spans="1:3">
      <c r="A533" s="79"/>
      <c r="B533" s="79"/>
      <c r="C533" s="80"/>
    </row>
    <row r="534" spans="1:3">
      <c r="A534" s="79"/>
      <c r="B534" s="79"/>
      <c r="C534" s="80"/>
    </row>
    <row r="535" spans="1:3">
      <c r="A535" s="79"/>
      <c r="B535" s="79"/>
      <c r="C535" s="80"/>
    </row>
    <row r="536" spans="1:3">
      <c r="A536" s="79"/>
      <c r="B536" s="79"/>
      <c r="C536" s="80"/>
    </row>
    <row r="537" spans="1:3">
      <c r="A537" s="79"/>
      <c r="B537" s="79"/>
      <c r="C537" s="80"/>
    </row>
    <row r="538" spans="1:3">
      <c r="A538" s="79"/>
      <c r="B538" s="79"/>
      <c r="C538" s="80"/>
    </row>
    <row r="539" spans="1:3">
      <c r="A539" s="79"/>
      <c r="B539" s="79"/>
      <c r="C539" s="80"/>
    </row>
    <row r="540" spans="1:3">
      <c r="A540" s="79"/>
      <c r="B540" s="79"/>
      <c r="C540" s="80"/>
    </row>
    <row r="541" spans="1:3">
      <c r="A541" s="79"/>
      <c r="B541" s="79"/>
      <c r="C541" s="80"/>
    </row>
    <row r="542" spans="1:3">
      <c r="A542" s="79"/>
      <c r="B542" s="79"/>
      <c r="C542" s="80"/>
    </row>
    <row r="543" spans="1:3">
      <c r="A543" s="79"/>
      <c r="B543" s="79"/>
      <c r="C543" s="80"/>
    </row>
    <row r="544" spans="1:3">
      <c r="A544" s="79"/>
      <c r="B544" s="79"/>
      <c r="C544" s="80"/>
    </row>
    <row r="545" spans="1:3">
      <c r="A545" s="79"/>
      <c r="B545" s="79"/>
      <c r="C545" s="80"/>
    </row>
    <row r="546" spans="1:3">
      <c r="A546" s="79"/>
      <c r="B546" s="79"/>
      <c r="C546" s="80"/>
    </row>
    <row r="547" spans="1:3">
      <c r="A547" s="79"/>
      <c r="B547" s="79"/>
      <c r="C547" s="80"/>
    </row>
    <row r="548" spans="1:3">
      <c r="A548" s="79"/>
      <c r="B548" s="79"/>
      <c r="C548" s="80"/>
    </row>
    <row r="549" spans="1:3">
      <c r="A549" s="79"/>
      <c r="B549" s="79"/>
      <c r="C549" s="80"/>
    </row>
    <row r="550" spans="1:3">
      <c r="A550" s="79"/>
      <c r="B550" s="79"/>
      <c r="C550" s="80"/>
    </row>
    <row r="551" spans="1:3">
      <c r="A551" s="79"/>
      <c r="B551" s="79"/>
      <c r="C551" s="80"/>
    </row>
    <row r="552" spans="1:3">
      <c r="A552" s="79"/>
      <c r="B552" s="79"/>
      <c r="C552" s="80"/>
    </row>
    <row r="553" spans="1:3">
      <c r="A553" s="79"/>
      <c r="B553" s="79"/>
      <c r="C553" s="80"/>
    </row>
    <row r="554" spans="1:3">
      <c r="A554" s="79"/>
      <c r="B554" s="79"/>
      <c r="C554" s="80"/>
    </row>
    <row r="555" spans="1:3">
      <c r="A555" s="79"/>
      <c r="B555" s="79"/>
      <c r="C555" s="80"/>
    </row>
    <row r="556" spans="1:3">
      <c r="A556" s="79"/>
      <c r="B556" s="79"/>
      <c r="C556" s="80"/>
    </row>
    <row r="557" spans="1:3">
      <c r="A557" s="79"/>
      <c r="B557" s="79"/>
      <c r="C557" s="80"/>
    </row>
    <row r="558" spans="1:3">
      <c r="A558" s="79"/>
      <c r="B558" s="79"/>
      <c r="C558" s="80"/>
    </row>
    <row r="559" spans="1:3">
      <c r="A559" s="79"/>
      <c r="B559" s="79"/>
      <c r="C559" s="80"/>
    </row>
    <row r="560" spans="1:3">
      <c r="A560" s="79"/>
      <c r="B560" s="79"/>
      <c r="C560" s="80"/>
    </row>
    <row r="561" spans="1:3">
      <c r="A561" s="79"/>
      <c r="B561" s="79"/>
      <c r="C561" s="80"/>
    </row>
    <row r="562" spans="1:3">
      <c r="A562" s="79"/>
      <c r="B562" s="79"/>
      <c r="C562" s="80"/>
    </row>
    <row r="563" spans="1:3">
      <c r="A563" s="79"/>
      <c r="B563" s="79"/>
      <c r="C563" s="80"/>
    </row>
    <row r="564" spans="1:3">
      <c r="A564" s="79"/>
      <c r="B564" s="79"/>
      <c r="C564" s="80"/>
    </row>
    <row r="565" spans="1:3">
      <c r="A565" s="79"/>
      <c r="B565" s="79"/>
      <c r="C565" s="80"/>
    </row>
    <row r="566" spans="1:3">
      <c r="A566" s="79"/>
      <c r="B566" s="79"/>
      <c r="C566" s="80"/>
    </row>
    <row r="567" spans="1:3">
      <c r="A567" s="79"/>
      <c r="B567" s="79"/>
      <c r="C567" s="80"/>
    </row>
    <row r="568" spans="1:3">
      <c r="A568" s="79"/>
      <c r="B568" s="79"/>
      <c r="C568" s="80"/>
    </row>
    <row r="569" spans="1:3">
      <c r="A569" s="79"/>
      <c r="B569" s="79"/>
      <c r="C569" s="80"/>
    </row>
    <row r="570" spans="1:3">
      <c r="A570" s="79"/>
      <c r="B570" s="79"/>
      <c r="C570" s="80"/>
    </row>
    <row r="571" spans="1:3">
      <c r="A571" s="79"/>
      <c r="B571" s="79"/>
      <c r="C571" s="80"/>
    </row>
    <row r="572" spans="1:3">
      <c r="A572" s="79"/>
      <c r="B572" s="79"/>
      <c r="C572" s="80"/>
    </row>
    <row r="573" spans="1:3">
      <c r="A573" s="79"/>
      <c r="B573" s="79"/>
      <c r="C573" s="80"/>
    </row>
    <row r="574" spans="1:3">
      <c r="A574" s="79"/>
      <c r="B574" s="79"/>
      <c r="C574" s="80"/>
    </row>
    <row r="575" spans="1:3">
      <c r="A575" s="79"/>
      <c r="B575" s="79"/>
      <c r="C575" s="80"/>
    </row>
    <row r="576" spans="1:3">
      <c r="A576" s="79"/>
      <c r="B576" s="79"/>
      <c r="C576" s="80"/>
    </row>
    <row r="577" spans="1:3">
      <c r="A577" s="79"/>
      <c r="B577" s="79"/>
      <c r="C577" s="80"/>
    </row>
    <row r="578" spans="1:3">
      <c r="A578" s="79"/>
      <c r="B578" s="79"/>
      <c r="C578" s="80"/>
    </row>
    <row r="579" spans="1:3">
      <c r="A579" s="79"/>
      <c r="B579" s="79"/>
      <c r="C579" s="80"/>
    </row>
    <row r="580" spans="1:3">
      <c r="A580" s="79"/>
      <c r="B580" s="79"/>
      <c r="C580" s="80"/>
    </row>
    <row r="581" spans="1:3">
      <c r="A581" s="79"/>
      <c r="B581" s="79"/>
      <c r="C581" s="80"/>
    </row>
    <row r="582" spans="1:3">
      <c r="A582" s="79"/>
      <c r="B582" s="79"/>
      <c r="C582" s="80"/>
    </row>
    <row r="583" spans="1:3">
      <c r="A583" s="79"/>
      <c r="B583" s="79"/>
      <c r="C583" s="80"/>
    </row>
    <row r="584" spans="1:3">
      <c r="A584" s="79"/>
      <c r="B584" s="79"/>
      <c r="C584" s="80"/>
    </row>
    <row r="585" spans="1:3">
      <c r="A585" s="79"/>
      <c r="B585" s="79"/>
      <c r="C585" s="80"/>
    </row>
    <row r="586" spans="1:3">
      <c r="A586" s="79"/>
      <c r="B586" s="79"/>
      <c r="C586" s="80"/>
    </row>
    <row r="587" spans="1:3">
      <c r="A587" s="79"/>
      <c r="B587" s="79"/>
      <c r="C587" s="80"/>
    </row>
    <row r="588" spans="1:3">
      <c r="A588" s="79"/>
      <c r="B588" s="79"/>
      <c r="C588" s="80"/>
    </row>
    <row r="589" spans="1:3">
      <c r="A589" s="79"/>
      <c r="B589" s="79"/>
      <c r="C589" s="80"/>
    </row>
    <row r="590" spans="1:3">
      <c r="A590" s="79"/>
      <c r="B590" s="79"/>
      <c r="C590" s="80"/>
    </row>
    <row r="591" spans="1:3">
      <c r="A591" s="79"/>
      <c r="B591" s="79"/>
      <c r="C591" s="80"/>
    </row>
    <row r="592" spans="1:3">
      <c r="A592" s="79"/>
      <c r="B592" s="79"/>
      <c r="C592" s="80"/>
    </row>
    <row r="593" spans="1:3">
      <c r="A593" s="79"/>
      <c r="B593" s="79"/>
      <c r="C593" s="80"/>
    </row>
    <row r="594" spans="1:3">
      <c r="A594" s="79"/>
      <c r="B594" s="79"/>
      <c r="C594" s="80"/>
    </row>
    <row r="595" spans="1:3">
      <c r="A595" s="79"/>
      <c r="B595" s="79"/>
      <c r="C595" s="80"/>
    </row>
    <row r="596" spans="1:3">
      <c r="A596" s="79"/>
      <c r="B596" s="79"/>
      <c r="C596" s="80"/>
    </row>
    <row r="597" spans="1:3">
      <c r="A597" s="79"/>
      <c r="B597" s="79"/>
      <c r="C597" s="80"/>
    </row>
    <row r="598" spans="1:3">
      <c r="A598" s="79"/>
      <c r="B598" s="79"/>
      <c r="C598" s="80"/>
    </row>
    <row r="599" spans="1:3">
      <c r="A599" s="79"/>
      <c r="B599" s="79"/>
      <c r="C599" s="80"/>
    </row>
    <row r="600" spans="1:3">
      <c r="A600" s="79"/>
      <c r="B600" s="79"/>
      <c r="C600" s="80"/>
    </row>
    <row r="601" spans="1:3">
      <c r="A601" s="79"/>
      <c r="B601" s="79"/>
      <c r="C601" s="80"/>
    </row>
    <row r="602" spans="1:3">
      <c r="A602" s="79"/>
      <c r="B602" s="79"/>
      <c r="C602" s="80"/>
    </row>
    <row r="603" spans="1:3">
      <c r="A603" s="79"/>
      <c r="B603" s="79"/>
      <c r="C603" s="80"/>
    </row>
    <row r="604" spans="1:3">
      <c r="A604" s="79"/>
      <c r="B604" s="79"/>
      <c r="C604" s="80"/>
    </row>
    <row r="605" spans="1:3">
      <c r="A605" s="79"/>
      <c r="B605" s="79"/>
      <c r="C605" s="80"/>
    </row>
    <row r="606" spans="1:3">
      <c r="A606" s="79"/>
      <c r="B606" s="79"/>
      <c r="C606" s="80"/>
    </row>
    <row r="607" spans="1:3">
      <c r="A607" s="79"/>
      <c r="B607" s="79"/>
      <c r="C607" s="80"/>
    </row>
    <row r="608" spans="1:3">
      <c r="A608" s="79"/>
      <c r="B608" s="79"/>
      <c r="C608" s="80"/>
    </row>
    <row r="609" spans="1:3">
      <c r="A609" s="79"/>
      <c r="B609" s="79"/>
      <c r="C609" s="80"/>
    </row>
    <row r="610" spans="1:3">
      <c r="A610" s="79"/>
      <c r="B610" s="79"/>
      <c r="C610" s="80"/>
    </row>
    <row r="611" spans="1:3">
      <c r="A611" s="79"/>
      <c r="B611" s="79"/>
      <c r="C611" s="80"/>
    </row>
    <row r="612" spans="1:3">
      <c r="A612" s="79"/>
      <c r="B612" s="79"/>
      <c r="C612" s="80"/>
    </row>
    <row r="613" spans="1:3">
      <c r="A613" s="79"/>
      <c r="B613" s="79"/>
      <c r="C613" s="80"/>
    </row>
    <row r="614" spans="1:3">
      <c r="A614" s="79"/>
      <c r="B614" s="79"/>
      <c r="C614" s="80"/>
    </row>
    <row r="615" spans="1:3">
      <c r="A615" s="79"/>
      <c r="B615" s="79"/>
      <c r="C615" s="8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21"/>
  <sheetViews>
    <sheetView workbookViewId="0"/>
  </sheetViews>
  <sheetFormatPr baseColWidth="10" defaultColWidth="12.5703125" defaultRowHeight="15.75" customHeight="1"/>
  <cols>
    <col min="7" max="7" width="28.140625" customWidth="1"/>
  </cols>
  <sheetData>
    <row r="1" spans="1:26">
      <c r="A1" s="81" t="str">
        <f ca="1">IFERROR(__xludf.DUMMYFUNCTION("QUERY(IMPORTRANGE(""https://docs.google.com/spreadsheets/d/1zyBd8IQlNAQI1DEiTZxkkEb6cvqE5P_ZcRvK_jum_2c/edit#gid=2024613562"",""'ESTADÍSTICAS MIR'!A:M""),""SELECT * WHERE Col4='Guadalajara sin Barreras'"")"),"ID")</f>
        <v>ID</v>
      </c>
      <c r="B1" s="81" t="str">
        <f ca="1">IFERROR(__xludf.DUMMYFUNCTION("""COMPUTED_VALUE"""),"Responsable")</f>
        <v>Responsable</v>
      </c>
      <c r="C1" s="81" t="str">
        <f ca="1">IFERROR(__xludf.DUMMYFUNCTION("""COMPUTED_VALUE"""),"Coordinación")</f>
        <v>Coordinación</v>
      </c>
      <c r="D1" s="81" t="str">
        <f ca="1">IFERROR(__xludf.DUMMYFUNCTION("""COMPUTED_VALUE"""),"Eje")</f>
        <v>Eje</v>
      </c>
      <c r="E1" s="81" t="str">
        <f ca="1">IFERROR(__xludf.DUMMYFUNCTION("""COMPUTED_VALUE"""),"Programa")</f>
        <v>Programa</v>
      </c>
      <c r="F1" s="81" t="str">
        <f ca="1">IFERROR(__xludf.DUMMYFUNCTION("""COMPUTED_VALUE"""),"NIVEL")</f>
        <v>NIVEL</v>
      </c>
      <c r="G1" s="81" t="str">
        <f ca="1">IFERROR(__xludf.DUMMYFUNCTION("""COMPUTED_VALUE"""),"INDICADOR")</f>
        <v>INDICADOR</v>
      </c>
      <c r="H1" s="81" t="str">
        <f ca="1">IFERROR(__xludf.DUMMYFUNCTION("""COMPUTED_VALUE"""),"Mes-pob")</f>
        <v>Mes-pob</v>
      </c>
      <c r="I1" s="81" t="str">
        <f ca="1">IFERROR(__xludf.DUMMYFUNCTION("""COMPUTED_VALUE"""),"Mes")</f>
        <v>Mes</v>
      </c>
      <c r="J1" s="81" t="str">
        <f ca="1">IFERROR(__xludf.DUMMYFUNCTION("""COMPUTED_VALUE"""),"Pob")</f>
        <v>Pob</v>
      </c>
      <c r="K1" s="81" t="str">
        <f ca="1">IFERROR(__xludf.DUMMYFUNCTION("""COMPUTED_VALUE"""),"Total")</f>
        <v>Total</v>
      </c>
      <c r="L1" s="81" t="str">
        <f ca="1">IFERROR(__xludf.DUMMYFUNCTION("""COMPUTED_VALUE"""),"TRIMESTRE")</f>
        <v>TRIMESTRE</v>
      </c>
      <c r="M1" s="81" t="str">
        <f ca="1">IFERROR(__xludf.DUMMYFUNCTION("""COMPUTED_VALUE"""),"GRUPO ETARIO")</f>
        <v>GRUPO ETARIO</v>
      </c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spans="1:26">
      <c r="A2" s="81" t="str">
        <f ca="1">IFERROR(__xludf.DUMMYFUNCTION("""COMPUTED_VALUE"""),"6.1.1.0")</f>
        <v>6.1.1.0</v>
      </c>
      <c r="B2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" s="81" t="str">
        <f ca="1">IFERROR(__xludf.DUMMYFUNCTION("""COMPUTED_VALUE"""),"5. Inclusión")</f>
        <v>5. Inclusión</v>
      </c>
      <c r="D2" s="81" t="str">
        <f ca="1">IFERROR(__xludf.DUMMYFUNCTION("""COMPUTED_VALUE"""),"Guadalajara sin Barreras")</f>
        <v>Guadalajara sin Barreras</v>
      </c>
      <c r="E2" s="81" t="str">
        <f ca="1">IFERROR(__xludf.DUMMYFUNCTION("""COMPUTED_VALUE"""),"Atención Integral para una Vida Digna con Discapacidad")</f>
        <v>Atención Integral para una Vida Digna con Discapacidad</v>
      </c>
      <c r="F2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2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2" s="81" t="str">
        <f ca="1">IFERROR(__xludf.DUMMYFUNCTION("""COMPUTED_VALUE"""),"NAS enero")</f>
        <v>NAS enero</v>
      </c>
      <c r="I2" s="81" t="str">
        <f ca="1">IFERROR(__xludf.DUMMYFUNCTION("""COMPUTED_VALUE"""),"Enero")</f>
        <v>Enero</v>
      </c>
      <c r="J2" s="81" t="str">
        <f ca="1">IFERROR(__xludf.DUMMYFUNCTION("""COMPUTED_VALUE"""),"NAS")</f>
        <v>NAS</v>
      </c>
      <c r="K2" s="80">
        <f ca="1">IFERROR(__xludf.DUMMYFUNCTION("""COMPUTED_VALUE"""),1)</f>
        <v>1</v>
      </c>
      <c r="L2" s="81" t="str">
        <f ca="1">IFERROR(__xludf.DUMMYFUNCTION("""COMPUTED_VALUE"""),"TRIMESTRE 1")</f>
        <v>TRIMESTRE 1</v>
      </c>
      <c r="M2" s="81" t="str">
        <f ca="1">IFERROR(__xludf.DUMMYFUNCTION("""COMPUTED_VALUE"""),"NIÑAS")</f>
        <v>NIÑAS</v>
      </c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</row>
    <row r="3" spans="1:26">
      <c r="A3" s="81" t="str">
        <f ca="1">IFERROR(__xludf.DUMMYFUNCTION("""COMPUTED_VALUE"""),"6.1.1.0")</f>
        <v>6.1.1.0</v>
      </c>
      <c r="B3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" s="81" t="str">
        <f ca="1">IFERROR(__xludf.DUMMYFUNCTION("""COMPUTED_VALUE"""),"5. Inclusión")</f>
        <v>5. Inclusión</v>
      </c>
      <c r="D3" s="81" t="str">
        <f ca="1">IFERROR(__xludf.DUMMYFUNCTION("""COMPUTED_VALUE"""),"Guadalajara sin Barreras")</f>
        <v>Guadalajara sin Barreras</v>
      </c>
      <c r="E3" s="81" t="str">
        <f ca="1">IFERROR(__xludf.DUMMYFUNCTION("""COMPUTED_VALUE"""),"Atención Integral para una Vida Digna con Discapacidad")</f>
        <v>Atención Integral para una Vida Digna con Discapacidad</v>
      </c>
      <c r="F3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3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3" s="81" t="str">
        <f ca="1">IFERROR(__xludf.DUMMYFUNCTION("""COMPUTED_VALUE"""),"NOS enero")</f>
        <v>NOS enero</v>
      </c>
      <c r="I3" s="81" t="str">
        <f ca="1">IFERROR(__xludf.DUMMYFUNCTION("""COMPUTED_VALUE"""),"Enero")</f>
        <v>Enero</v>
      </c>
      <c r="J3" s="81" t="str">
        <f ca="1">IFERROR(__xludf.DUMMYFUNCTION("""COMPUTED_VALUE"""),"NOS")</f>
        <v>NOS</v>
      </c>
      <c r="K3" s="80">
        <f ca="1">IFERROR(__xludf.DUMMYFUNCTION("""COMPUTED_VALUE"""),7)</f>
        <v>7</v>
      </c>
      <c r="L3" s="81" t="str">
        <f ca="1">IFERROR(__xludf.DUMMYFUNCTION("""COMPUTED_VALUE"""),"TRIMESTRE 1")</f>
        <v>TRIMESTRE 1</v>
      </c>
      <c r="M3" s="81" t="str">
        <f ca="1">IFERROR(__xludf.DUMMYFUNCTION("""COMPUTED_VALUE"""),"NIÑOS")</f>
        <v>NIÑOS</v>
      </c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</row>
    <row r="4" spans="1:26">
      <c r="A4" s="81" t="str">
        <f ca="1">IFERROR(__xludf.DUMMYFUNCTION("""COMPUTED_VALUE"""),"6.1.1.0")</f>
        <v>6.1.1.0</v>
      </c>
      <c r="B4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" s="81" t="str">
        <f ca="1">IFERROR(__xludf.DUMMYFUNCTION("""COMPUTED_VALUE"""),"5. Inclusión")</f>
        <v>5. Inclusión</v>
      </c>
      <c r="D4" s="81" t="str">
        <f ca="1">IFERROR(__xludf.DUMMYFUNCTION("""COMPUTED_VALUE"""),"Guadalajara sin Barreras")</f>
        <v>Guadalajara sin Barreras</v>
      </c>
      <c r="E4" s="81" t="str">
        <f ca="1">IFERROR(__xludf.DUMMYFUNCTION("""COMPUTED_VALUE"""),"Atención Integral para una Vida Digna con Discapacidad")</f>
        <v>Atención Integral para una Vida Digna con Discapacidad</v>
      </c>
      <c r="F4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4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4" s="81" t="str">
        <f ca="1">IFERROR(__xludf.DUMMYFUNCTION("""COMPUTED_VALUE"""),"AM enero")</f>
        <v>AM enero</v>
      </c>
      <c r="I4" s="81" t="str">
        <f ca="1">IFERROR(__xludf.DUMMYFUNCTION("""COMPUTED_VALUE"""),"Enero")</f>
        <v>Enero</v>
      </c>
      <c r="J4" s="81" t="str">
        <f ca="1">IFERROR(__xludf.DUMMYFUNCTION("""COMPUTED_VALUE"""),"AM")</f>
        <v>AM</v>
      </c>
      <c r="K4" s="80">
        <f ca="1">IFERROR(__xludf.DUMMYFUNCTION("""COMPUTED_VALUE"""),2)</f>
        <v>2</v>
      </c>
      <c r="L4" s="81" t="str">
        <f ca="1">IFERROR(__xludf.DUMMYFUNCTION("""COMPUTED_VALUE"""),"TRIMESTRE 1")</f>
        <v>TRIMESTRE 1</v>
      </c>
      <c r="M4" s="81" t="str">
        <f ca="1">IFERROR(__xludf.DUMMYFUNCTION("""COMPUTED_VALUE"""),"ADOLESCENTES MUJERES")</f>
        <v>ADOLESCENTES MUJERES</v>
      </c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1:26">
      <c r="A5" s="81" t="str">
        <f ca="1">IFERROR(__xludf.DUMMYFUNCTION("""COMPUTED_VALUE"""),"6.1.1.0")</f>
        <v>6.1.1.0</v>
      </c>
      <c r="B5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" s="81" t="str">
        <f ca="1">IFERROR(__xludf.DUMMYFUNCTION("""COMPUTED_VALUE"""),"5. Inclusión")</f>
        <v>5. Inclusión</v>
      </c>
      <c r="D5" s="81" t="str">
        <f ca="1">IFERROR(__xludf.DUMMYFUNCTION("""COMPUTED_VALUE"""),"Guadalajara sin Barreras")</f>
        <v>Guadalajara sin Barreras</v>
      </c>
      <c r="E5" s="81" t="str">
        <f ca="1">IFERROR(__xludf.DUMMYFUNCTION("""COMPUTED_VALUE"""),"Atención Integral para una Vida Digna con Discapacidad")</f>
        <v>Atención Integral para una Vida Digna con Discapacidad</v>
      </c>
      <c r="F5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" s="81" t="str">
        <f ca="1">IFERROR(__xludf.DUMMYFUNCTION("""COMPUTED_VALUE"""),"AH enero")</f>
        <v>AH enero</v>
      </c>
      <c r="I5" s="81" t="str">
        <f ca="1">IFERROR(__xludf.DUMMYFUNCTION("""COMPUTED_VALUE"""),"Enero")</f>
        <v>Enero</v>
      </c>
      <c r="J5" s="81" t="str">
        <f ca="1">IFERROR(__xludf.DUMMYFUNCTION("""COMPUTED_VALUE"""),"AH")</f>
        <v>AH</v>
      </c>
      <c r="K5" s="80">
        <f ca="1">IFERROR(__xludf.DUMMYFUNCTION("""COMPUTED_VALUE"""),3)</f>
        <v>3</v>
      </c>
      <c r="L5" s="81" t="str">
        <f ca="1">IFERROR(__xludf.DUMMYFUNCTION("""COMPUTED_VALUE"""),"TRIMESTRE 1")</f>
        <v>TRIMESTRE 1</v>
      </c>
      <c r="M5" s="81" t="str">
        <f ca="1">IFERROR(__xludf.DUMMYFUNCTION("""COMPUTED_VALUE"""),"ADOLESCENTES HOMBRES")</f>
        <v>ADOLESCENTES HOMBRES</v>
      </c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26">
      <c r="A6" s="81" t="str">
        <f ca="1">IFERROR(__xludf.DUMMYFUNCTION("""COMPUTED_VALUE"""),"6.1.1.0")</f>
        <v>6.1.1.0</v>
      </c>
      <c r="B6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" s="81" t="str">
        <f ca="1">IFERROR(__xludf.DUMMYFUNCTION("""COMPUTED_VALUE"""),"5. Inclusión")</f>
        <v>5. Inclusión</v>
      </c>
      <c r="D6" s="81" t="str">
        <f ca="1">IFERROR(__xludf.DUMMYFUNCTION("""COMPUTED_VALUE"""),"Guadalajara sin Barreras")</f>
        <v>Guadalajara sin Barreras</v>
      </c>
      <c r="E6" s="81" t="str">
        <f ca="1">IFERROR(__xludf.DUMMYFUNCTION("""COMPUTED_VALUE"""),"Atención Integral para una Vida Digna con Discapacidad")</f>
        <v>Atención Integral para una Vida Digna con Discapacidad</v>
      </c>
      <c r="F6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6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6" s="81" t="str">
        <f ca="1">IFERROR(__xludf.DUMMYFUNCTION("""COMPUTED_VALUE"""),"MUJ enero")</f>
        <v>MUJ enero</v>
      </c>
      <c r="I6" s="81" t="str">
        <f ca="1">IFERROR(__xludf.DUMMYFUNCTION("""COMPUTED_VALUE"""),"Enero")</f>
        <v>Enero</v>
      </c>
      <c r="J6" s="81" t="str">
        <f ca="1">IFERROR(__xludf.DUMMYFUNCTION("""COMPUTED_VALUE"""),"MUJ")</f>
        <v>MUJ</v>
      </c>
      <c r="K6" s="80">
        <f ca="1">IFERROR(__xludf.DUMMYFUNCTION("""COMPUTED_VALUE"""),63)</f>
        <v>63</v>
      </c>
      <c r="L6" s="81" t="str">
        <f ca="1">IFERROR(__xludf.DUMMYFUNCTION("""COMPUTED_VALUE"""),"TRIMESTRE 1")</f>
        <v>TRIMESTRE 1</v>
      </c>
      <c r="M6" s="81" t="str">
        <f ca="1">IFERROR(__xludf.DUMMYFUNCTION("""COMPUTED_VALUE"""),"MUJERES ADULTAS")</f>
        <v>MUJERES ADULTAS</v>
      </c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</row>
    <row r="7" spans="1:26">
      <c r="A7" s="81" t="str">
        <f ca="1">IFERROR(__xludf.DUMMYFUNCTION("""COMPUTED_VALUE"""),"6.1.1.0")</f>
        <v>6.1.1.0</v>
      </c>
      <c r="B7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" s="81" t="str">
        <f ca="1">IFERROR(__xludf.DUMMYFUNCTION("""COMPUTED_VALUE"""),"5. Inclusión")</f>
        <v>5. Inclusión</v>
      </c>
      <c r="D7" s="81" t="str">
        <f ca="1">IFERROR(__xludf.DUMMYFUNCTION("""COMPUTED_VALUE"""),"Guadalajara sin Barreras")</f>
        <v>Guadalajara sin Barreras</v>
      </c>
      <c r="E7" s="81" t="str">
        <f ca="1">IFERROR(__xludf.DUMMYFUNCTION("""COMPUTED_VALUE"""),"Atención Integral para una Vida Digna con Discapacidad")</f>
        <v>Atención Integral para una Vida Digna con Discapacidad</v>
      </c>
      <c r="F7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7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7" s="81" t="str">
        <f ca="1">IFERROR(__xludf.DUMMYFUNCTION("""COMPUTED_VALUE"""),"HOM enero")</f>
        <v>HOM enero</v>
      </c>
      <c r="I7" s="81" t="str">
        <f ca="1">IFERROR(__xludf.DUMMYFUNCTION("""COMPUTED_VALUE"""),"Enero")</f>
        <v>Enero</v>
      </c>
      <c r="J7" s="81" t="str">
        <f ca="1">IFERROR(__xludf.DUMMYFUNCTION("""COMPUTED_VALUE"""),"HOM")</f>
        <v>HOM</v>
      </c>
      <c r="K7" s="80">
        <f ca="1">IFERROR(__xludf.DUMMYFUNCTION("""COMPUTED_VALUE"""),66)</f>
        <v>66</v>
      </c>
      <c r="L7" s="81" t="str">
        <f ca="1">IFERROR(__xludf.DUMMYFUNCTION("""COMPUTED_VALUE"""),"TRIMESTRE 1")</f>
        <v>TRIMESTRE 1</v>
      </c>
      <c r="M7" s="81" t="str">
        <f ca="1">IFERROR(__xludf.DUMMYFUNCTION("""COMPUTED_VALUE"""),"HOMBRES ADULTOS")</f>
        <v>HOMBRES ADULTOS</v>
      </c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</row>
    <row r="8" spans="1:26">
      <c r="A8" s="81" t="str">
        <f ca="1">IFERROR(__xludf.DUMMYFUNCTION("""COMPUTED_VALUE"""),"6.1.1.0")</f>
        <v>6.1.1.0</v>
      </c>
      <c r="B8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" s="81" t="str">
        <f ca="1">IFERROR(__xludf.DUMMYFUNCTION("""COMPUTED_VALUE"""),"5. Inclusión")</f>
        <v>5. Inclusión</v>
      </c>
      <c r="D8" s="81" t="str">
        <f ca="1">IFERROR(__xludf.DUMMYFUNCTION("""COMPUTED_VALUE"""),"Guadalajara sin Barreras")</f>
        <v>Guadalajara sin Barreras</v>
      </c>
      <c r="E8" s="81" t="str">
        <f ca="1">IFERROR(__xludf.DUMMYFUNCTION("""COMPUTED_VALUE"""),"Atención Integral para una Vida Digna con Discapacidad")</f>
        <v>Atención Integral para una Vida Digna con Discapacidad</v>
      </c>
      <c r="F8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" s="81" t="str">
        <f ca="1">IFERROR(__xludf.DUMMYFUNCTION("""COMPUTED_VALUE"""),"AMM enero")</f>
        <v>AMM enero</v>
      </c>
      <c r="I8" s="81" t="str">
        <f ca="1">IFERROR(__xludf.DUMMYFUNCTION("""COMPUTED_VALUE"""),"Enero")</f>
        <v>Enero</v>
      </c>
      <c r="J8" s="81" t="str">
        <f ca="1">IFERROR(__xludf.DUMMYFUNCTION("""COMPUTED_VALUE"""),"AMM")</f>
        <v>AMM</v>
      </c>
      <c r="K8" s="80">
        <f ca="1">IFERROR(__xludf.DUMMYFUNCTION("""COMPUTED_VALUE"""),23)</f>
        <v>23</v>
      </c>
      <c r="L8" s="81" t="str">
        <f ca="1">IFERROR(__xludf.DUMMYFUNCTION("""COMPUTED_VALUE"""),"TRIMESTRE 1")</f>
        <v>TRIMESTRE 1</v>
      </c>
      <c r="M8" s="81" t="str">
        <f ca="1">IFERROR(__xludf.DUMMYFUNCTION("""COMPUTED_VALUE"""),"ADULTA MAYOR MUJER")</f>
        <v>ADULTA MAYOR MUJER</v>
      </c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</row>
    <row r="9" spans="1:26">
      <c r="A9" s="81" t="str">
        <f ca="1">IFERROR(__xludf.DUMMYFUNCTION("""COMPUTED_VALUE"""),"6.1.1.0")</f>
        <v>6.1.1.0</v>
      </c>
      <c r="B9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" s="81" t="str">
        <f ca="1">IFERROR(__xludf.DUMMYFUNCTION("""COMPUTED_VALUE"""),"5. Inclusión")</f>
        <v>5. Inclusión</v>
      </c>
      <c r="D9" s="81" t="str">
        <f ca="1">IFERROR(__xludf.DUMMYFUNCTION("""COMPUTED_VALUE"""),"Guadalajara sin Barreras")</f>
        <v>Guadalajara sin Barreras</v>
      </c>
      <c r="E9" s="81" t="str">
        <f ca="1">IFERROR(__xludf.DUMMYFUNCTION("""COMPUTED_VALUE"""),"Atención Integral para una Vida Digna con Discapacidad")</f>
        <v>Atención Integral para una Vida Digna con Discapacidad</v>
      </c>
      <c r="F9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9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9" s="81" t="str">
        <f ca="1">IFERROR(__xludf.DUMMYFUNCTION("""COMPUTED_VALUE"""),"AMH enero")</f>
        <v>AMH enero</v>
      </c>
      <c r="I9" s="81" t="str">
        <f ca="1">IFERROR(__xludf.DUMMYFUNCTION("""COMPUTED_VALUE"""),"Enero")</f>
        <v>Enero</v>
      </c>
      <c r="J9" s="81" t="str">
        <f ca="1">IFERROR(__xludf.DUMMYFUNCTION("""COMPUTED_VALUE"""),"AMH")</f>
        <v>AMH</v>
      </c>
      <c r="K9" s="80">
        <f ca="1">IFERROR(__xludf.DUMMYFUNCTION("""COMPUTED_VALUE"""),6)</f>
        <v>6</v>
      </c>
      <c r="L9" s="81" t="str">
        <f ca="1">IFERROR(__xludf.DUMMYFUNCTION("""COMPUTED_VALUE"""),"TRIMESTRE 1")</f>
        <v>TRIMESTRE 1</v>
      </c>
      <c r="M9" s="81" t="str">
        <f ca="1">IFERROR(__xludf.DUMMYFUNCTION("""COMPUTED_VALUE"""),"ADULTO MAYOR HOMBRE")</f>
        <v>ADULTO MAYOR HOMBRE</v>
      </c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</row>
    <row r="10" spans="1:26">
      <c r="A10" s="79" t="str">
        <f ca="1">IFERROR(__xludf.DUMMYFUNCTION("""COMPUTED_VALUE"""),"6.1.1.1")</f>
        <v>6.1.1.1</v>
      </c>
      <c r="B10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" s="79" t="str">
        <f ca="1">IFERROR(__xludf.DUMMYFUNCTION("""COMPUTED_VALUE"""),"5. Inclusión")</f>
        <v>5. Inclusión</v>
      </c>
      <c r="D10" s="79" t="str">
        <f ca="1">IFERROR(__xludf.DUMMYFUNCTION("""COMPUTED_VALUE"""),"Guadalajara sin Barreras")</f>
        <v>Guadalajara sin Barreras</v>
      </c>
      <c r="E10" s="79" t="str">
        <f ca="1">IFERROR(__xludf.DUMMYFUNCTION("""COMPUTED_VALUE"""),"Atención Integral para una Vida Digna con Discapacidad")</f>
        <v>Atención Integral para una Vida Digna con Discapacidad</v>
      </c>
      <c r="F10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0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0" s="79" t="str">
        <f ca="1">IFERROR(__xludf.DUMMYFUNCTION("""COMPUTED_VALUE"""),"NAS enero")</f>
        <v>NAS enero</v>
      </c>
      <c r="I10" s="79" t="str">
        <f ca="1">IFERROR(__xludf.DUMMYFUNCTION("""COMPUTED_VALUE"""),"Enero")</f>
        <v>Enero</v>
      </c>
      <c r="J10" s="79" t="str">
        <f ca="1">IFERROR(__xludf.DUMMYFUNCTION("""COMPUTED_VALUE"""),"NAS")</f>
        <v>NAS</v>
      </c>
      <c r="K10" s="80">
        <f ca="1">IFERROR(__xludf.DUMMYFUNCTION("""COMPUTED_VALUE"""),1)</f>
        <v>1</v>
      </c>
      <c r="L10" s="79" t="str">
        <f ca="1">IFERROR(__xludf.DUMMYFUNCTION("""COMPUTED_VALUE"""),"TRIMESTRE 1")</f>
        <v>TRIMESTRE 1</v>
      </c>
      <c r="M10" s="79" t="str">
        <f ca="1">IFERROR(__xludf.DUMMYFUNCTION("""COMPUTED_VALUE"""),"NIÑAS")</f>
        <v>NIÑAS</v>
      </c>
    </row>
    <row r="11" spans="1:26">
      <c r="A11" s="79" t="str">
        <f ca="1">IFERROR(__xludf.DUMMYFUNCTION("""COMPUTED_VALUE"""),"6.1.1.1")</f>
        <v>6.1.1.1</v>
      </c>
      <c r="B11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" s="79" t="str">
        <f ca="1">IFERROR(__xludf.DUMMYFUNCTION("""COMPUTED_VALUE"""),"5. Inclusión")</f>
        <v>5. Inclusión</v>
      </c>
      <c r="D11" s="79" t="str">
        <f ca="1">IFERROR(__xludf.DUMMYFUNCTION("""COMPUTED_VALUE"""),"Guadalajara sin Barreras")</f>
        <v>Guadalajara sin Barreras</v>
      </c>
      <c r="E11" s="79" t="str">
        <f ca="1">IFERROR(__xludf.DUMMYFUNCTION("""COMPUTED_VALUE"""),"Atención Integral para una Vida Digna con Discapacidad")</f>
        <v>Atención Integral para una Vida Digna con Discapacidad</v>
      </c>
      <c r="F11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1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1" s="79" t="str">
        <f ca="1">IFERROR(__xludf.DUMMYFUNCTION("""COMPUTED_VALUE"""),"NOS enero")</f>
        <v>NOS enero</v>
      </c>
      <c r="I11" s="79" t="str">
        <f ca="1">IFERROR(__xludf.DUMMYFUNCTION("""COMPUTED_VALUE"""),"Enero")</f>
        <v>Enero</v>
      </c>
      <c r="J11" s="79" t="str">
        <f ca="1">IFERROR(__xludf.DUMMYFUNCTION("""COMPUTED_VALUE"""),"NOS")</f>
        <v>NOS</v>
      </c>
      <c r="K11" s="80">
        <f ca="1">IFERROR(__xludf.DUMMYFUNCTION("""COMPUTED_VALUE"""),4)</f>
        <v>4</v>
      </c>
      <c r="L11" s="79" t="str">
        <f ca="1">IFERROR(__xludf.DUMMYFUNCTION("""COMPUTED_VALUE"""),"TRIMESTRE 1")</f>
        <v>TRIMESTRE 1</v>
      </c>
      <c r="M11" s="79" t="str">
        <f ca="1">IFERROR(__xludf.DUMMYFUNCTION("""COMPUTED_VALUE"""),"NIÑOS")</f>
        <v>NIÑOS</v>
      </c>
    </row>
    <row r="12" spans="1:26">
      <c r="A12" s="79" t="str">
        <f ca="1">IFERROR(__xludf.DUMMYFUNCTION("""COMPUTED_VALUE"""),"6.1.1.1")</f>
        <v>6.1.1.1</v>
      </c>
      <c r="B12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" s="79" t="str">
        <f ca="1">IFERROR(__xludf.DUMMYFUNCTION("""COMPUTED_VALUE"""),"5. Inclusión")</f>
        <v>5. Inclusión</v>
      </c>
      <c r="D12" s="79" t="str">
        <f ca="1">IFERROR(__xludf.DUMMYFUNCTION("""COMPUTED_VALUE"""),"Guadalajara sin Barreras")</f>
        <v>Guadalajara sin Barreras</v>
      </c>
      <c r="E12" s="79" t="str">
        <f ca="1">IFERROR(__xludf.DUMMYFUNCTION("""COMPUTED_VALUE"""),"Atención Integral para una Vida Digna con Discapacidad")</f>
        <v>Atención Integral para una Vida Digna con Discapacidad</v>
      </c>
      <c r="F12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" s="82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" s="79" t="str">
        <f ca="1">IFERROR(__xludf.DUMMYFUNCTION("""COMPUTED_VALUE"""),"AM enero")</f>
        <v>AM enero</v>
      </c>
      <c r="I12" s="79" t="str">
        <f ca="1">IFERROR(__xludf.DUMMYFUNCTION("""COMPUTED_VALUE"""),"Enero")</f>
        <v>Enero</v>
      </c>
      <c r="J12" s="79" t="str">
        <f ca="1">IFERROR(__xludf.DUMMYFUNCTION("""COMPUTED_VALUE"""),"AM")</f>
        <v>AM</v>
      </c>
      <c r="K12" s="80">
        <f ca="1">IFERROR(__xludf.DUMMYFUNCTION("""COMPUTED_VALUE"""),0)</f>
        <v>0</v>
      </c>
      <c r="L12" s="79" t="str">
        <f ca="1">IFERROR(__xludf.DUMMYFUNCTION("""COMPUTED_VALUE"""),"TRIMESTRE 1")</f>
        <v>TRIMESTRE 1</v>
      </c>
      <c r="M12" s="79" t="str">
        <f ca="1">IFERROR(__xludf.DUMMYFUNCTION("""COMPUTED_VALUE"""),"ADOLESCENTES MUJERES")</f>
        <v>ADOLESCENTES MUJERES</v>
      </c>
    </row>
    <row r="13" spans="1:26">
      <c r="A13" s="79" t="str">
        <f ca="1">IFERROR(__xludf.DUMMYFUNCTION("""COMPUTED_VALUE"""),"6.1.1.1")</f>
        <v>6.1.1.1</v>
      </c>
      <c r="B13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" s="79" t="str">
        <f ca="1">IFERROR(__xludf.DUMMYFUNCTION("""COMPUTED_VALUE"""),"5. Inclusión")</f>
        <v>5. Inclusión</v>
      </c>
      <c r="D13" s="79" t="str">
        <f ca="1">IFERROR(__xludf.DUMMYFUNCTION("""COMPUTED_VALUE"""),"Guadalajara sin Barreras")</f>
        <v>Guadalajara sin Barreras</v>
      </c>
      <c r="E13" s="79" t="str">
        <f ca="1">IFERROR(__xludf.DUMMYFUNCTION("""COMPUTED_VALUE"""),"Atención Integral para una Vida Digna con Discapacidad")</f>
        <v>Atención Integral para una Vida Digna con Discapacidad</v>
      </c>
      <c r="F13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3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3" s="79" t="str">
        <f ca="1">IFERROR(__xludf.DUMMYFUNCTION("""COMPUTED_VALUE"""),"AH enero")</f>
        <v>AH enero</v>
      </c>
      <c r="I13" s="79" t="str">
        <f ca="1">IFERROR(__xludf.DUMMYFUNCTION("""COMPUTED_VALUE"""),"Enero")</f>
        <v>Enero</v>
      </c>
      <c r="J13" s="79" t="str">
        <f ca="1">IFERROR(__xludf.DUMMYFUNCTION("""COMPUTED_VALUE"""),"AH")</f>
        <v>AH</v>
      </c>
      <c r="K13" s="80">
        <f ca="1">IFERROR(__xludf.DUMMYFUNCTION("""COMPUTED_VALUE"""),2)</f>
        <v>2</v>
      </c>
      <c r="L13" s="79" t="str">
        <f ca="1">IFERROR(__xludf.DUMMYFUNCTION("""COMPUTED_VALUE"""),"TRIMESTRE 1")</f>
        <v>TRIMESTRE 1</v>
      </c>
      <c r="M13" s="79" t="str">
        <f ca="1">IFERROR(__xludf.DUMMYFUNCTION("""COMPUTED_VALUE"""),"ADOLESCENTES HOMBRES")</f>
        <v>ADOLESCENTES HOMBRES</v>
      </c>
    </row>
    <row r="14" spans="1:26">
      <c r="A14" s="79" t="str">
        <f ca="1">IFERROR(__xludf.DUMMYFUNCTION("""COMPUTED_VALUE"""),"6.1.1.1")</f>
        <v>6.1.1.1</v>
      </c>
      <c r="B14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" s="79" t="str">
        <f ca="1">IFERROR(__xludf.DUMMYFUNCTION("""COMPUTED_VALUE"""),"5. Inclusión")</f>
        <v>5. Inclusión</v>
      </c>
      <c r="D14" s="79" t="str">
        <f ca="1">IFERROR(__xludf.DUMMYFUNCTION("""COMPUTED_VALUE"""),"Guadalajara sin Barreras")</f>
        <v>Guadalajara sin Barreras</v>
      </c>
      <c r="E14" s="79" t="str">
        <f ca="1">IFERROR(__xludf.DUMMYFUNCTION("""COMPUTED_VALUE"""),"Atención Integral para una Vida Digna con Discapacidad")</f>
        <v>Atención Integral para una Vida Digna con Discapacidad</v>
      </c>
      <c r="F14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4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4" s="79" t="str">
        <f ca="1">IFERROR(__xludf.DUMMYFUNCTION("""COMPUTED_VALUE"""),"MUJ enero")</f>
        <v>MUJ enero</v>
      </c>
      <c r="I14" s="79" t="str">
        <f ca="1">IFERROR(__xludf.DUMMYFUNCTION("""COMPUTED_VALUE"""),"Enero")</f>
        <v>Enero</v>
      </c>
      <c r="J14" s="79" t="str">
        <f ca="1">IFERROR(__xludf.DUMMYFUNCTION("""COMPUTED_VALUE"""),"MUJ")</f>
        <v>MUJ</v>
      </c>
      <c r="K14" s="80">
        <f ca="1">IFERROR(__xludf.DUMMYFUNCTION("""COMPUTED_VALUE"""),21)</f>
        <v>21</v>
      </c>
      <c r="L14" s="79" t="str">
        <f ca="1">IFERROR(__xludf.DUMMYFUNCTION("""COMPUTED_VALUE"""),"TRIMESTRE 1")</f>
        <v>TRIMESTRE 1</v>
      </c>
      <c r="M14" s="79" t="str">
        <f ca="1">IFERROR(__xludf.DUMMYFUNCTION("""COMPUTED_VALUE"""),"MUJERES ADULTAS")</f>
        <v>MUJERES ADULTAS</v>
      </c>
    </row>
    <row r="15" spans="1:26">
      <c r="A15" s="79" t="str">
        <f ca="1">IFERROR(__xludf.DUMMYFUNCTION("""COMPUTED_VALUE"""),"6.1.1.1")</f>
        <v>6.1.1.1</v>
      </c>
      <c r="B15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" s="79" t="str">
        <f ca="1">IFERROR(__xludf.DUMMYFUNCTION("""COMPUTED_VALUE"""),"5. Inclusión")</f>
        <v>5. Inclusión</v>
      </c>
      <c r="D15" s="79" t="str">
        <f ca="1">IFERROR(__xludf.DUMMYFUNCTION("""COMPUTED_VALUE"""),"Guadalajara sin Barreras")</f>
        <v>Guadalajara sin Barreras</v>
      </c>
      <c r="E15" s="79" t="str">
        <f ca="1">IFERROR(__xludf.DUMMYFUNCTION("""COMPUTED_VALUE"""),"Atención Integral para una Vida Digna con Discapacidad")</f>
        <v>Atención Integral para una Vida Digna con Discapacidad</v>
      </c>
      <c r="F15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5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5" s="79" t="str">
        <f ca="1">IFERROR(__xludf.DUMMYFUNCTION("""COMPUTED_VALUE"""),"HOM enero")</f>
        <v>HOM enero</v>
      </c>
      <c r="I15" s="79" t="str">
        <f ca="1">IFERROR(__xludf.DUMMYFUNCTION("""COMPUTED_VALUE"""),"Enero")</f>
        <v>Enero</v>
      </c>
      <c r="J15" s="79" t="str">
        <f ca="1">IFERROR(__xludf.DUMMYFUNCTION("""COMPUTED_VALUE"""),"HOM")</f>
        <v>HOM</v>
      </c>
      <c r="K15" s="80">
        <f ca="1">IFERROR(__xludf.DUMMYFUNCTION("""COMPUTED_VALUE"""),14)</f>
        <v>14</v>
      </c>
      <c r="L15" s="79" t="str">
        <f ca="1">IFERROR(__xludf.DUMMYFUNCTION("""COMPUTED_VALUE"""),"TRIMESTRE 1")</f>
        <v>TRIMESTRE 1</v>
      </c>
      <c r="M15" s="79" t="str">
        <f ca="1">IFERROR(__xludf.DUMMYFUNCTION("""COMPUTED_VALUE"""),"HOMBRES ADULTOS")</f>
        <v>HOMBRES ADULTOS</v>
      </c>
    </row>
    <row r="16" spans="1:26">
      <c r="A16" s="79" t="str">
        <f ca="1">IFERROR(__xludf.DUMMYFUNCTION("""COMPUTED_VALUE"""),"6.1.1.1")</f>
        <v>6.1.1.1</v>
      </c>
      <c r="B16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" s="79" t="str">
        <f ca="1">IFERROR(__xludf.DUMMYFUNCTION("""COMPUTED_VALUE"""),"5. Inclusión")</f>
        <v>5. Inclusión</v>
      </c>
      <c r="D16" s="79" t="str">
        <f ca="1">IFERROR(__xludf.DUMMYFUNCTION("""COMPUTED_VALUE"""),"Guadalajara sin Barreras")</f>
        <v>Guadalajara sin Barreras</v>
      </c>
      <c r="E16" s="79" t="str">
        <f ca="1">IFERROR(__xludf.DUMMYFUNCTION("""COMPUTED_VALUE"""),"Atención Integral para una Vida Digna con Discapacidad")</f>
        <v>Atención Integral para una Vida Digna con Discapacidad</v>
      </c>
      <c r="F16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6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6" s="79" t="str">
        <f ca="1">IFERROR(__xludf.DUMMYFUNCTION("""COMPUTED_VALUE"""),"AMM enero")</f>
        <v>AMM enero</v>
      </c>
      <c r="I16" s="79" t="str">
        <f ca="1">IFERROR(__xludf.DUMMYFUNCTION("""COMPUTED_VALUE"""),"Enero")</f>
        <v>Enero</v>
      </c>
      <c r="J16" s="79" t="str">
        <f ca="1">IFERROR(__xludf.DUMMYFUNCTION("""COMPUTED_VALUE"""),"AMM")</f>
        <v>AMM</v>
      </c>
      <c r="K16" s="80">
        <f ca="1">IFERROR(__xludf.DUMMYFUNCTION("""COMPUTED_VALUE"""),13)</f>
        <v>13</v>
      </c>
      <c r="L16" s="79" t="str">
        <f ca="1">IFERROR(__xludf.DUMMYFUNCTION("""COMPUTED_VALUE"""),"TRIMESTRE 1")</f>
        <v>TRIMESTRE 1</v>
      </c>
      <c r="M16" s="79" t="str">
        <f ca="1">IFERROR(__xludf.DUMMYFUNCTION("""COMPUTED_VALUE"""),"ADULTA MAYOR MUJER")</f>
        <v>ADULTA MAYOR MUJER</v>
      </c>
    </row>
    <row r="17" spans="1:13">
      <c r="A17" s="79" t="str">
        <f ca="1">IFERROR(__xludf.DUMMYFUNCTION("""COMPUTED_VALUE"""),"6.1.1.1")</f>
        <v>6.1.1.1</v>
      </c>
      <c r="B17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" s="79" t="str">
        <f ca="1">IFERROR(__xludf.DUMMYFUNCTION("""COMPUTED_VALUE"""),"5. Inclusión")</f>
        <v>5. Inclusión</v>
      </c>
      <c r="D17" s="79" t="str">
        <f ca="1">IFERROR(__xludf.DUMMYFUNCTION("""COMPUTED_VALUE"""),"Guadalajara sin Barreras")</f>
        <v>Guadalajara sin Barreras</v>
      </c>
      <c r="E17" s="79" t="str">
        <f ca="1">IFERROR(__xludf.DUMMYFUNCTION("""COMPUTED_VALUE"""),"Atención Integral para una Vida Digna con Discapacidad")</f>
        <v>Atención Integral para una Vida Digna con Discapacidad</v>
      </c>
      <c r="F17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" s="79" t="str">
        <f ca="1">IFERROR(__xludf.DUMMYFUNCTION("""COMPUTED_VALUE"""),"AMH enero")</f>
        <v>AMH enero</v>
      </c>
      <c r="I17" s="79" t="str">
        <f ca="1">IFERROR(__xludf.DUMMYFUNCTION("""COMPUTED_VALUE"""),"Enero")</f>
        <v>Enero</v>
      </c>
      <c r="J17" s="79" t="str">
        <f ca="1">IFERROR(__xludf.DUMMYFUNCTION("""COMPUTED_VALUE"""),"AMH")</f>
        <v>AMH</v>
      </c>
      <c r="K17" s="80">
        <f ca="1">IFERROR(__xludf.DUMMYFUNCTION("""COMPUTED_VALUE"""),4)</f>
        <v>4</v>
      </c>
      <c r="L17" s="79" t="str">
        <f ca="1">IFERROR(__xludf.DUMMYFUNCTION("""COMPUTED_VALUE"""),"TRIMESTRE 1")</f>
        <v>TRIMESTRE 1</v>
      </c>
      <c r="M17" s="79" t="str">
        <f ca="1">IFERROR(__xludf.DUMMYFUNCTION("""COMPUTED_VALUE"""),"ADULTO MAYOR HOMBRE")</f>
        <v>ADULTO MAYOR HOMBRE</v>
      </c>
    </row>
    <row r="18" spans="1:13">
      <c r="A18" s="79" t="str">
        <f ca="1">IFERROR(__xludf.DUMMYFUNCTION("""COMPUTED_VALUE"""),"6.1.1.0")</f>
        <v>6.1.1.0</v>
      </c>
      <c r="B18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" s="79" t="str">
        <f ca="1">IFERROR(__xludf.DUMMYFUNCTION("""COMPUTED_VALUE"""),"5. Inclusión")</f>
        <v>5. Inclusión</v>
      </c>
      <c r="D18" s="79" t="str">
        <f ca="1">IFERROR(__xludf.DUMMYFUNCTION("""COMPUTED_VALUE"""),"Guadalajara sin Barreras")</f>
        <v>Guadalajara sin Barreras</v>
      </c>
      <c r="E18" s="79" t="str">
        <f ca="1">IFERROR(__xludf.DUMMYFUNCTION("""COMPUTED_VALUE"""),"Atención Integral para una Vida Digna con Discapacidad")</f>
        <v>Atención Integral para una Vida Digna con Discapacidad</v>
      </c>
      <c r="F18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8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8" s="79" t="str">
        <f ca="1">IFERROR(__xludf.DUMMYFUNCTION("""COMPUTED_VALUE"""),"NAS Febrero")</f>
        <v>NAS Febrero</v>
      </c>
      <c r="I18" s="79" t="str">
        <f ca="1">IFERROR(__xludf.DUMMYFUNCTION("""COMPUTED_VALUE"""),"Febrero")</f>
        <v>Febrero</v>
      </c>
      <c r="J18" s="79" t="str">
        <f ca="1">IFERROR(__xludf.DUMMYFUNCTION("""COMPUTED_VALUE"""),"NAS")</f>
        <v>NAS</v>
      </c>
      <c r="K18" s="80">
        <f ca="1">IFERROR(__xludf.DUMMYFUNCTION("""COMPUTED_VALUE"""),0)</f>
        <v>0</v>
      </c>
      <c r="L18" s="79" t="str">
        <f ca="1">IFERROR(__xludf.DUMMYFUNCTION("""COMPUTED_VALUE"""),"TRIMESTRE 1")</f>
        <v>TRIMESTRE 1</v>
      </c>
      <c r="M18" s="79" t="str">
        <f ca="1">IFERROR(__xludf.DUMMYFUNCTION("""COMPUTED_VALUE"""),"NIÑAS")</f>
        <v>NIÑAS</v>
      </c>
    </row>
    <row r="19" spans="1:13">
      <c r="A19" s="79" t="str">
        <f ca="1">IFERROR(__xludf.DUMMYFUNCTION("""COMPUTED_VALUE"""),"6.1.1.0")</f>
        <v>6.1.1.0</v>
      </c>
      <c r="B19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9" s="79" t="str">
        <f ca="1">IFERROR(__xludf.DUMMYFUNCTION("""COMPUTED_VALUE"""),"5. Inclusión")</f>
        <v>5. Inclusión</v>
      </c>
      <c r="D19" s="79" t="str">
        <f ca="1">IFERROR(__xludf.DUMMYFUNCTION("""COMPUTED_VALUE"""),"Guadalajara sin Barreras")</f>
        <v>Guadalajara sin Barreras</v>
      </c>
      <c r="E19" s="79" t="str">
        <f ca="1">IFERROR(__xludf.DUMMYFUNCTION("""COMPUTED_VALUE"""),"Atención Integral para una Vida Digna con Discapacidad")</f>
        <v>Atención Integral para una Vida Digna con Discapacidad</v>
      </c>
      <c r="F19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9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9" s="79" t="str">
        <f ca="1">IFERROR(__xludf.DUMMYFUNCTION("""COMPUTED_VALUE"""),"NOS Febrero")</f>
        <v>NOS Febrero</v>
      </c>
      <c r="I19" s="79" t="str">
        <f ca="1">IFERROR(__xludf.DUMMYFUNCTION("""COMPUTED_VALUE"""),"Febrero")</f>
        <v>Febrero</v>
      </c>
      <c r="J19" s="79" t="str">
        <f ca="1">IFERROR(__xludf.DUMMYFUNCTION("""COMPUTED_VALUE"""),"NOS")</f>
        <v>NOS</v>
      </c>
      <c r="K19" s="80">
        <f ca="1">IFERROR(__xludf.DUMMYFUNCTION("""COMPUTED_VALUE"""),5)</f>
        <v>5</v>
      </c>
      <c r="L19" s="79" t="str">
        <f ca="1">IFERROR(__xludf.DUMMYFUNCTION("""COMPUTED_VALUE"""),"TRIMESTRE 1")</f>
        <v>TRIMESTRE 1</v>
      </c>
      <c r="M19" s="79" t="str">
        <f ca="1">IFERROR(__xludf.DUMMYFUNCTION("""COMPUTED_VALUE"""),"NIÑOS")</f>
        <v>NIÑOS</v>
      </c>
    </row>
    <row r="20" spans="1:13">
      <c r="A20" s="79" t="str">
        <f ca="1">IFERROR(__xludf.DUMMYFUNCTION("""COMPUTED_VALUE"""),"6.1.1.0")</f>
        <v>6.1.1.0</v>
      </c>
      <c r="B20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0" s="79" t="str">
        <f ca="1">IFERROR(__xludf.DUMMYFUNCTION("""COMPUTED_VALUE"""),"5. Inclusión")</f>
        <v>5. Inclusión</v>
      </c>
      <c r="D20" s="79" t="str">
        <f ca="1">IFERROR(__xludf.DUMMYFUNCTION("""COMPUTED_VALUE"""),"Guadalajara sin Barreras")</f>
        <v>Guadalajara sin Barreras</v>
      </c>
      <c r="E20" s="79" t="str">
        <f ca="1">IFERROR(__xludf.DUMMYFUNCTION("""COMPUTED_VALUE"""),"Atención Integral para una Vida Digna con Discapacidad")</f>
        <v>Atención Integral para una Vida Digna con Discapacidad</v>
      </c>
      <c r="F20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20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20" s="79" t="str">
        <f ca="1">IFERROR(__xludf.DUMMYFUNCTION("""COMPUTED_VALUE"""),"AM FEBRERO")</f>
        <v>AM FEBRERO</v>
      </c>
      <c r="I20" s="79" t="str">
        <f ca="1">IFERROR(__xludf.DUMMYFUNCTION("""COMPUTED_VALUE"""),"Febrero")</f>
        <v>Febrero</v>
      </c>
      <c r="J20" s="79" t="str">
        <f ca="1">IFERROR(__xludf.DUMMYFUNCTION("""COMPUTED_VALUE"""),"AM")</f>
        <v>AM</v>
      </c>
      <c r="K20" s="80">
        <f ca="1">IFERROR(__xludf.DUMMYFUNCTION("""COMPUTED_VALUE"""),2)</f>
        <v>2</v>
      </c>
      <c r="L20" s="79" t="str">
        <f ca="1">IFERROR(__xludf.DUMMYFUNCTION("""COMPUTED_VALUE"""),"TRIMESTRE 1")</f>
        <v>TRIMESTRE 1</v>
      </c>
      <c r="M20" s="79" t="str">
        <f ca="1">IFERROR(__xludf.DUMMYFUNCTION("""COMPUTED_VALUE"""),"ADOLESCENTES MUJERES")</f>
        <v>ADOLESCENTES MUJERES</v>
      </c>
    </row>
    <row r="21" spans="1:13">
      <c r="A21" s="79" t="str">
        <f ca="1">IFERROR(__xludf.DUMMYFUNCTION("""COMPUTED_VALUE"""),"6.1.1.0")</f>
        <v>6.1.1.0</v>
      </c>
      <c r="B21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1" s="79" t="str">
        <f ca="1">IFERROR(__xludf.DUMMYFUNCTION("""COMPUTED_VALUE"""),"5. Inclusión")</f>
        <v>5. Inclusión</v>
      </c>
      <c r="D21" s="79" t="str">
        <f ca="1">IFERROR(__xludf.DUMMYFUNCTION("""COMPUTED_VALUE"""),"Guadalajara sin Barreras")</f>
        <v>Guadalajara sin Barreras</v>
      </c>
      <c r="E21" s="79" t="str">
        <f ca="1">IFERROR(__xludf.DUMMYFUNCTION("""COMPUTED_VALUE"""),"Atención Integral para una Vida Digna con Discapacidad")</f>
        <v>Atención Integral para una Vida Digna con Discapacidad</v>
      </c>
      <c r="F21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21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21" s="79" t="str">
        <f ca="1">IFERROR(__xludf.DUMMYFUNCTION("""COMPUTED_VALUE"""),"AH FEBRERO")</f>
        <v>AH FEBRERO</v>
      </c>
      <c r="I21" s="79" t="str">
        <f ca="1">IFERROR(__xludf.DUMMYFUNCTION("""COMPUTED_VALUE"""),"Febrero")</f>
        <v>Febrero</v>
      </c>
      <c r="J21" s="79" t="str">
        <f ca="1">IFERROR(__xludf.DUMMYFUNCTION("""COMPUTED_VALUE"""),"AH")</f>
        <v>AH</v>
      </c>
      <c r="K21" s="80">
        <f ca="1">IFERROR(__xludf.DUMMYFUNCTION("""COMPUTED_VALUE"""),2)</f>
        <v>2</v>
      </c>
      <c r="L21" s="79" t="str">
        <f ca="1">IFERROR(__xludf.DUMMYFUNCTION("""COMPUTED_VALUE"""),"TRIMESTRE 1")</f>
        <v>TRIMESTRE 1</v>
      </c>
      <c r="M21" s="79" t="str">
        <f ca="1">IFERROR(__xludf.DUMMYFUNCTION("""COMPUTED_VALUE"""),"ADOLESCENTES HOMBRES")</f>
        <v>ADOLESCENTES HOMBRES</v>
      </c>
    </row>
    <row r="22" spans="1:13">
      <c r="A22" s="79" t="str">
        <f ca="1">IFERROR(__xludf.DUMMYFUNCTION("""COMPUTED_VALUE"""),"6.1.1.0")</f>
        <v>6.1.1.0</v>
      </c>
      <c r="B22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2" s="79" t="str">
        <f ca="1">IFERROR(__xludf.DUMMYFUNCTION("""COMPUTED_VALUE"""),"5. Inclusión")</f>
        <v>5. Inclusión</v>
      </c>
      <c r="D22" s="79" t="str">
        <f ca="1">IFERROR(__xludf.DUMMYFUNCTION("""COMPUTED_VALUE"""),"Guadalajara sin Barreras")</f>
        <v>Guadalajara sin Barreras</v>
      </c>
      <c r="E22" s="79" t="str">
        <f ca="1">IFERROR(__xludf.DUMMYFUNCTION("""COMPUTED_VALUE"""),"Atención Integral para una Vida Digna con Discapacidad")</f>
        <v>Atención Integral para una Vida Digna con Discapacidad</v>
      </c>
      <c r="F22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22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22" s="79" t="str">
        <f ca="1">IFERROR(__xludf.DUMMYFUNCTION("""COMPUTED_VALUE"""),"MUJ Febrero")</f>
        <v>MUJ Febrero</v>
      </c>
      <c r="I22" s="79" t="str">
        <f ca="1">IFERROR(__xludf.DUMMYFUNCTION("""COMPUTED_VALUE"""),"Febrero")</f>
        <v>Febrero</v>
      </c>
      <c r="J22" s="79" t="str">
        <f ca="1">IFERROR(__xludf.DUMMYFUNCTION("""COMPUTED_VALUE"""),"MUJ")</f>
        <v>MUJ</v>
      </c>
      <c r="K22" s="80">
        <f ca="1">IFERROR(__xludf.DUMMYFUNCTION("""COMPUTED_VALUE"""),60)</f>
        <v>60</v>
      </c>
      <c r="L22" s="79" t="str">
        <f ca="1">IFERROR(__xludf.DUMMYFUNCTION("""COMPUTED_VALUE"""),"TRIMESTRE 1")</f>
        <v>TRIMESTRE 1</v>
      </c>
      <c r="M22" s="79" t="str">
        <f ca="1">IFERROR(__xludf.DUMMYFUNCTION("""COMPUTED_VALUE"""),"MUJERES ADULTAS")</f>
        <v>MUJERES ADULTAS</v>
      </c>
    </row>
    <row r="23" spans="1:13">
      <c r="A23" s="79" t="str">
        <f ca="1">IFERROR(__xludf.DUMMYFUNCTION("""COMPUTED_VALUE"""),"6.1.1.0")</f>
        <v>6.1.1.0</v>
      </c>
      <c r="B23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3" s="79" t="str">
        <f ca="1">IFERROR(__xludf.DUMMYFUNCTION("""COMPUTED_VALUE"""),"5. Inclusión")</f>
        <v>5. Inclusión</v>
      </c>
      <c r="D23" s="79" t="str">
        <f ca="1">IFERROR(__xludf.DUMMYFUNCTION("""COMPUTED_VALUE"""),"Guadalajara sin Barreras")</f>
        <v>Guadalajara sin Barreras</v>
      </c>
      <c r="E23" s="79" t="str">
        <f ca="1">IFERROR(__xludf.DUMMYFUNCTION("""COMPUTED_VALUE"""),"Atención Integral para una Vida Digna con Discapacidad")</f>
        <v>Atención Integral para una Vida Digna con Discapacidad</v>
      </c>
      <c r="F23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23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23" s="79" t="str">
        <f ca="1">IFERROR(__xludf.DUMMYFUNCTION("""COMPUTED_VALUE"""),"HOM Febrero")</f>
        <v>HOM Febrero</v>
      </c>
      <c r="I23" s="79" t="str">
        <f ca="1">IFERROR(__xludf.DUMMYFUNCTION("""COMPUTED_VALUE"""),"Febrero")</f>
        <v>Febrero</v>
      </c>
      <c r="J23" s="79" t="str">
        <f ca="1">IFERROR(__xludf.DUMMYFUNCTION("""COMPUTED_VALUE"""),"HOM")</f>
        <v>HOM</v>
      </c>
      <c r="K23" s="80">
        <f ca="1">IFERROR(__xludf.DUMMYFUNCTION("""COMPUTED_VALUE"""),66)</f>
        <v>66</v>
      </c>
      <c r="L23" s="79" t="str">
        <f ca="1">IFERROR(__xludf.DUMMYFUNCTION("""COMPUTED_VALUE"""),"TRIMESTRE 1")</f>
        <v>TRIMESTRE 1</v>
      </c>
      <c r="M23" s="79" t="str">
        <f ca="1">IFERROR(__xludf.DUMMYFUNCTION("""COMPUTED_VALUE"""),"HOMBRES ADULTOS")</f>
        <v>HOMBRES ADULTOS</v>
      </c>
    </row>
    <row r="24" spans="1:13">
      <c r="A24" s="79" t="str">
        <f ca="1">IFERROR(__xludf.DUMMYFUNCTION("""COMPUTED_VALUE"""),"6.1.1.0")</f>
        <v>6.1.1.0</v>
      </c>
      <c r="B24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4" s="79" t="str">
        <f ca="1">IFERROR(__xludf.DUMMYFUNCTION("""COMPUTED_VALUE"""),"5. Inclusión")</f>
        <v>5. Inclusión</v>
      </c>
      <c r="D24" s="79" t="str">
        <f ca="1">IFERROR(__xludf.DUMMYFUNCTION("""COMPUTED_VALUE"""),"Guadalajara sin Barreras")</f>
        <v>Guadalajara sin Barreras</v>
      </c>
      <c r="E24" s="79" t="str">
        <f ca="1">IFERROR(__xludf.DUMMYFUNCTION("""COMPUTED_VALUE"""),"Atención Integral para una Vida Digna con Discapacidad")</f>
        <v>Atención Integral para una Vida Digna con Discapacidad</v>
      </c>
      <c r="F24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24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24" s="79" t="str">
        <f ca="1">IFERROR(__xludf.DUMMYFUNCTION("""COMPUTED_VALUE"""),"AMM Febrero")</f>
        <v>AMM Febrero</v>
      </c>
      <c r="I24" s="79" t="str">
        <f ca="1">IFERROR(__xludf.DUMMYFUNCTION("""COMPUTED_VALUE"""),"Febrero")</f>
        <v>Febrero</v>
      </c>
      <c r="J24" s="79" t="str">
        <f ca="1">IFERROR(__xludf.DUMMYFUNCTION("""COMPUTED_VALUE"""),"AMM")</f>
        <v>AMM</v>
      </c>
      <c r="K24" s="80">
        <f ca="1">IFERROR(__xludf.DUMMYFUNCTION("""COMPUTED_VALUE"""),25)</f>
        <v>25</v>
      </c>
      <c r="L24" s="79" t="str">
        <f ca="1">IFERROR(__xludf.DUMMYFUNCTION("""COMPUTED_VALUE"""),"TRIMESTRE 1")</f>
        <v>TRIMESTRE 1</v>
      </c>
      <c r="M24" s="79" t="str">
        <f ca="1">IFERROR(__xludf.DUMMYFUNCTION("""COMPUTED_VALUE"""),"ADULTA MAYOR MUJER")</f>
        <v>ADULTA MAYOR MUJER</v>
      </c>
    </row>
    <row r="25" spans="1:13">
      <c r="A25" s="79" t="str">
        <f ca="1">IFERROR(__xludf.DUMMYFUNCTION("""COMPUTED_VALUE"""),"6.1.1.0")</f>
        <v>6.1.1.0</v>
      </c>
      <c r="B25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5" s="79" t="str">
        <f ca="1">IFERROR(__xludf.DUMMYFUNCTION("""COMPUTED_VALUE"""),"5. Inclusión")</f>
        <v>5. Inclusión</v>
      </c>
      <c r="D25" s="79" t="str">
        <f ca="1">IFERROR(__xludf.DUMMYFUNCTION("""COMPUTED_VALUE"""),"Guadalajara sin Barreras")</f>
        <v>Guadalajara sin Barreras</v>
      </c>
      <c r="E25" s="79" t="str">
        <f ca="1">IFERROR(__xludf.DUMMYFUNCTION("""COMPUTED_VALUE"""),"Atención Integral para una Vida Digna con Discapacidad")</f>
        <v>Atención Integral para una Vida Digna con Discapacidad</v>
      </c>
      <c r="F25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25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25" s="79" t="str">
        <f ca="1">IFERROR(__xludf.DUMMYFUNCTION("""COMPUTED_VALUE"""),"AMH Febrero")</f>
        <v>AMH Febrero</v>
      </c>
      <c r="I25" s="79" t="str">
        <f ca="1">IFERROR(__xludf.DUMMYFUNCTION("""COMPUTED_VALUE"""),"Febrero")</f>
        <v>Febrero</v>
      </c>
      <c r="J25" s="79" t="str">
        <f ca="1">IFERROR(__xludf.DUMMYFUNCTION("""COMPUTED_VALUE"""),"AMH")</f>
        <v>AMH</v>
      </c>
      <c r="K25" s="80">
        <f ca="1">IFERROR(__xludf.DUMMYFUNCTION("""COMPUTED_VALUE"""),4)</f>
        <v>4</v>
      </c>
      <c r="L25" s="79" t="str">
        <f ca="1">IFERROR(__xludf.DUMMYFUNCTION("""COMPUTED_VALUE"""),"TRIMESTRE 1")</f>
        <v>TRIMESTRE 1</v>
      </c>
      <c r="M25" s="79" t="str">
        <f ca="1">IFERROR(__xludf.DUMMYFUNCTION("""COMPUTED_VALUE"""),"ADULTO MAYOR HOMBRE")</f>
        <v>ADULTO MAYOR HOMBRE</v>
      </c>
    </row>
    <row r="26" spans="1:13">
      <c r="A26" s="79" t="str">
        <f ca="1">IFERROR(__xludf.DUMMYFUNCTION("""COMPUTED_VALUE"""),"6.1.1.1")</f>
        <v>6.1.1.1</v>
      </c>
      <c r="B26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6" s="79" t="str">
        <f ca="1">IFERROR(__xludf.DUMMYFUNCTION("""COMPUTED_VALUE"""),"5. Inclusión")</f>
        <v>5. Inclusión</v>
      </c>
      <c r="D26" s="79" t="str">
        <f ca="1">IFERROR(__xludf.DUMMYFUNCTION("""COMPUTED_VALUE"""),"Guadalajara sin Barreras")</f>
        <v>Guadalajara sin Barreras</v>
      </c>
      <c r="E26" s="79" t="str">
        <f ca="1">IFERROR(__xludf.DUMMYFUNCTION("""COMPUTED_VALUE"""),"Atención Integral para una Vida Digna con Discapacidad")</f>
        <v>Atención Integral para una Vida Digna con Discapacidad</v>
      </c>
      <c r="F26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26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26" s="79" t="str">
        <f ca="1">IFERROR(__xludf.DUMMYFUNCTION("""COMPUTED_VALUE"""),"NAS Febrero")</f>
        <v>NAS Febrero</v>
      </c>
      <c r="I26" s="79" t="str">
        <f ca="1">IFERROR(__xludf.DUMMYFUNCTION("""COMPUTED_VALUE"""),"Febrero")</f>
        <v>Febrero</v>
      </c>
      <c r="J26" s="79" t="str">
        <f ca="1">IFERROR(__xludf.DUMMYFUNCTION("""COMPUTED_VALUE"""),"NAS")</f>
        <v>NAS</v>
      </c>
      <c r="K26" s="80">
        <f ca="1">IFERROR(__xludf.DUMMYFUNCTION("""COMPUTED_VALUE"""),0)</f>
        <v>0</v>
      </c>
      <c r="L26" s="79" t="str">
        <f ca="1">IFERROR(__xludf.DUMMYFUNCTION("""COMPUTED_VALUE"""),"TRIMESTRE 1")</f>
        <v>TRIMESTRE 1</v>
      </c>
      <c r="M26" s="79" t="str">
        <f ca="1">IFERROR(__xludf.DUMMYFUNCTION("""COMPUTED_VALUE"""),"NIÑAS")</f>
        <v>NIÑAS</v>
      </c>
    </row>
    <row r="27" spans="1:13">
      <c r="A27" s="79" t="str">
        <f ca="1">IFERROR(__xludf.DUMMYFUNCTION("""COMPUTED_VALUE"""),"6.1.1.1")</f>
        <v>6.1.1.1</v>
      </c>
      <c r="B27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7" s="79" t="str">
        <f ca="1">IFERROR(__xludf.DUMMYFUNCTION("""COMPUTED_VALUE"""),"5. Inclusión")</f>
        <v>5. Inclusión</v>
      </c>
      <c r="D27" s="79" t="str">
        <f ca="1">IFERROR(__xludf.DUMMYFUNCTION("""COMPUTED_VALUE"""),"Guadalajara sin Barreras")</f>
        <v>Guadalajara sin Barreras</v>
      </c>
      <c r="E27" s="79" t="str">
        <f ca="1">IFERROR(__xludf.DUMMYFUNCTION("""COMPUTED_VALUE"""),"Atención Integral para una Vida Digna con Discapacidad")</f>
        <v>Atención Integral para una Vida Digna con Discapacidad</v>
      </c>
      <c r="F27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27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27" s="79" t="str">
        <f ca="1">IFERROR(__xludf.DUMMYFUNCTION("""COMPUTED_VALUE"""),"NOS Febrero")</f>
        <v>NOS Febrero</v>
      </c>
      <c r="I27" s="79" t="str">
        <f ca="1">IFERROR(__xludf.DUMMYFUNCTION("""COMPUTED_VALUE"""),"Febrero")</f>
        <v>Febrero</v>
      </c>
      <c r="J27" s="79" t="str">
        <f ca="1">IFERROR(__xludf.DUMMYFUNCTION("""COMPUTED_VALUE"""),"NOS")</f>
        <v>NOS</v>
      </c>
      <c r="K27" s="80">
        <f ca="1">IFERROR(__xludf.DUMMYFUNCTION("""COMPUTED_VALUE"""),1)</f>
        <v>1</v>
      </c>
      <c r="L27" s="79" t="str">
        <f ca="1">IFERROR(__xludf.DUMMYFUNCTION("""COMPUTED_VALUE"""),"TRIMESTRE 1")</f>
        <v>TRIMESTRE 1</v>
      </c>
      <c r="M27" s="79" t="str">
        <f ca="1">IFERROR(__xludf.DUMMYFUNCTION("""COMPUTED_VALUE"""),"NIÑOS")</f>
        <v>NIÑOS</v>
      </c>
    </row>
    <row r="28" spans="1:13">
      <c r="A28" s="79" t="str">
        <f ca="1">IFERROR(__xludf.DUMMYFUNCTION("""COMPUTED_VALUE"""),"6.1.1.1")</f>
        <v>6.1.1.1</v>
      </c>
      <c r="B28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8" s="79" t="str">
        <f ca="1">IFERROR(__xludf.DUMMYFUNCTION("""COMPUTED_VALUE"""),"5. Inclusión")</f>
        <v>5. Inclusión</v>
      </c>
      <c r="D28" s="79" t="str">
        <f ca="1">IFERROR(__xludf.DUMMYFUNCTION("""COMPUTED_VALUE"""),"Guadalajara sin Barreras")</f>
        <v>Guadalajara sin Barreras</v>
      </c>
      <c r="E28" s="79" t="str">
        <f ca="1">IFERROR(__xludf.DUMMYFUNCTION("""COMPUTED_VALUE"""),"Atención Integral para una Vida Digna con Discapacidad")</f>
        <v>Atención Integral para una Vida Digna con Discapacidad</v>
      </c>
      <c r="F28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28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28" s="79" t="str">
        <f ca="1">IFERROR(__xludf.DUMMYFUNCTION("""COMPUTED_VALUE"""),"AM FEBRERO")</f>
        <v>AM FEBRERO</v>
      </c>
      <c r="I28" s="79" t="str">
        <f ca="1">IFERROR(__xludf.DUMMYFUNCTION("""COMPUTED_VALUE"""),"Febrero")</f>
        <v>Febrero</v>
      </c>
      <c r="J28" s="79" t="str">
        <f ca="1">IFERROR(__xludf.DUMMYFUNCTION("""COMPUTED_VALUE"""),"AM")</f>
        <v>AM</v>
      </c>
      <c r="K28" s="80">
        <f ca="1">IFERROR(__xludf.DUMMYFUNCTION("""COMPUTED_VALUE"""),0)</f>
        <v>0</v>
      </c>
      <c r="L28" s="79" t="str">
        <f ca="1">IFERROR(__xludf.DUMMYFUNCTION("""COMPUTED_VALUE"""),"TRIMESTRE 1")</f>
        <v>TRIMESTRE 1</v>
      </c>
      <c r="M28" s="79" t="str">
        <f ca="1">IFERROR(__xludf.DUMMYFUNCTION("""COMPUTED_VALUE"""),"ADOLESCENTES MUJERES")</f>
        <v>ADOLESCENTES MUJERES</v>
      </c>
    </row>
    <row r="29" spans="1:13">
      <c r="A29" s="79" t="str">
        <f ca="1">IFERROR(__xludf.DUMMYFUNCTION("""COMPUTED_VALUE"""),"6.1.1.1")</f>
        <v>6.1.1.1</v>
      </c>
      <c r="B29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29" s="79" t="str">
        <f ca="1">IFERROR(__xludf.DUMMYFUNCTION("""COMPUTED_VALUE"""),"5. Inclusión")</f>
        <v>5. Inclusión</v>
      </c>
      <c r="D29" s="79" t="str">
        <f ca="1">IFERROR(__xludf.DUMMYFUNCTION("""COMPUTED_VALUE"""),"Guadalajara sin Barreras")</f>
        <v>Guadalajara sin Barreras</v>
      </c>
      <c r="E29" s="79" t="str">
        <f ca="1">IFERROR(__xludf.DUMMYFUNCTION("""COMPUTED_VALUE"""),"Atención Integral para una Vida Digna con Discapacidad")</f>
        <v>Atención Integral para una Vida Digna con Discapacidad</v>
      </c>
      <c r="F29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29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29" s="79" t="str">
        <f ca="1">IFERROR(__xludf.DUMMYFUNCTION("""COMPUTED_VALUE"""),"AH FEBRERO")</f>
        <v>AH FEBRERO</v>
      </c>
      <c r="I29" s="79" t="str">
        <f ca="1">IFERROR(__xludf.DUMMYFUNCTION("""COMPUTED_VALUE"""),"Febrero")</f>
        <v>Febrero</v>
      </c>
      <c r="J29" s="79" t="str">
        <f ca="1">IFERROR(__xludf.DUMMYFUNCTION("""COMPUTED_VALUE"""),"AH")</f>
        <v>AH</v>
      </c>
      <c r="K29" s="80">
        <f ca="1">IFERROR(__xludf.DUMMYFUNCTION("""COMPUTED_VALUE"""),0)</f>
        <v>0</v>
      </c>
      <c r="L29" s="79" t="str">
        <f ca="1">IFERROR(__xludf.DUMMYFUNCTION("""COMPUTED_VALUE"""),"TRIMESTRE 1")</f>
        <v>TRIMESTRE 1</v>
      </c>
      <c r="M29" s="79" t="str">
        <f ca="1">IFERROR(__xludf.DUMMYFUNCTION("""COMPUTED_VALUE"""),"ADOLESCENTES HOMBRES")</f>
        <v>ADOLESCENTES HOMBRES</v>
      </c>
    </row>
    <row r="30" spans="1:13">
      <c r="A30" s="79" t="str">
        <f ca="1">IFERROR(__xludf.DUMMYFUNCTION("""COMPUTED_VALUE"""),"6.1.1.1")</f>
        <v>6.1.1.1</v>
      </c>
      <c r="B30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0" s="79" t="str">
        <f ca="1">IFERROR(__xludf.DUMMYFUNCTION("""COMPUTED_VALUE"""),"5. Inclusión")</f>
        <v>5. Inclusión</v>
      </c>
      <c r="D30" s="79" t="str">
        <f ca="1">IFERROR(__xludf.DUMMYFUNCTION("""COMPUTED_VALUE"""),"Guadalajara sin Barreras")</f>
        <v>Guadalajara sin Barreras</v>
      </c>
      <c r="E30" s="79" t="str">
        <f ca="1">IFERROR(__xludf.DUMMYFUNCTION("""COMPUTED_VALUE"""),"Atención Integral para una Vida Digna con Discapacidad")</f>
        <v>Atención Integral para una Vida Digna con Discapacidad</v>
      </c>
      <c r="F30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30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30" s="79" t="str">
        <f ca="1">IFERROR(__xludf.DUMMYFUNCTION("""COMPUTED_VALUE"""),"MUJ Febrero")</f>
        <v>MUJ Febrero</v>
      </c>
      <c r="I30" s="79" t="str">
        <f ca="1">IFERROR(__xludf.DUMMYFUNCTION("""COMPUTED_VALUE"""),"Febrero")</f>
        <v>Febrero</v>
      </c>
      <c r="J30" s="79" t="str">
        <f ca="1">IFERROR(__xludf.DUMMYFUNCTION("""COMPUTED_VALUE"""),"MUJ")</f>
        <v>MUJ</v>
      </c>
      <c r="K30" s="80">
        <f ca="1">IFERROR(__xludf.DUMMYFUNCTION("""COMPUTED_VALUE"""),14)</f>
        <v>14</v>
      </c>
      <c r="L30" s="79" t="str">
        <f ca="1">IFERROR(__xludf.DUMMYFUNCTION("""COMPUTED_VALUE"""),"TRIMESTRE 1")</f>
        <v>TRIMESTRE 1</v>
      </c>
      <c r="M30" s="79" t="str">
        <f ca="1">IFERROR(__xludf.DUMMYFUNCTION("""COMPUTED_VALUE"""),"MUJERES ADULTAS")</f>
        <v>MUJERES ADULTAS</v>
      </c>
    </row>
    <row r="31" spans="1:13">
      <c r="A31" s="79" t="str">
        <f ca="1">IFERROR(__xludf.DUMMYFUNCTION("""COMPUTED_VALUE"""),"6.1.1.1")</f>
        <v>6.1.1.1</v>
      </c>
      <c r="B31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1" s="79" t="str">
        <f ca="1">IFERROR(__xludf.DUMMYFUNCTION("""COMPUTED_VALUE"""),"5. Inclusión")</f>
        <v>5. Inclusión</v>
      </c>
      <c r="D31" s="79" t="str">
        <f ca="1">IFERROR(__xludf.DUMMYFUNCTION("""COMPUTED_VALUE"""),"Guadalajara sin Barreras")</f>
        <v>Guadalajara sin Barreras</v>
      </c>
      <c r="E31" s="79" t="str">
        <f ca="1">IFERROR(__xludf.DUMMYFUNCTION("""COMPUTED_VALUE"""),"Atención Integral para una Vida Digna con Discapacidad")</f>
        <v>Atención Integral para una Vida Digna con Discapacidad</v>
      </c>
      <c r="F31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31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31" s="79" t="str">
        <f ca="1">IFERROR(__xludf.DUMMYFUNCTION("""COMPUTED_VALUE"""),"HOM Febrero")</f>
        <v>HOM Febrero</v>
      </c>
      <c r="I31" s="79" t="str">
        <f ca="1">IFERROR(__xludf.DUMMYFUNCTION("""COMPUTED_VALUE"""),"Febrero")</f>
        <v>Febrero</v>
      </c>
      <c r="J31" s="79" t="str">
        <f ca="1">IFERROR(__xludf.DUMMYFUNCTION("""COMPUTED_VALUE"""),"HOM")</f>
        <v>HOM</v>
      </c>
      <c r="K31" s="80">
        <f ca="1">IFERROR(__xludf.DUMMYFUNCTION("""COMPUTED_VALUE"""),11)</f>
        <v>11</v>
      </c>
      <c r="L31" s="79" t="str">
        <f ca="1">IFERROR(__xludf.DUMMYFUNCTION("""COMPUTED_VALUE"""),"TRIMESTRE 1")</f>
        <v>TRIMESTRE 1</v>
      </c>
      <c r="M31" s="79" t="str">
        <f ca="1">IFERROR(__xludf.DUMMYFUNCTION("""COMPUTED_VALUE"""),"HOMBRES ADULTOS")</f>
        <v>HOMBRES ADULTOS</v>
      </c>
    </row>
    <row r="32" spans="1:13">
      <c r="A32" s="79" t="str">
        <f ca="1">IFERROR(__xludf.DUMMYFUNCTION("""COMPUTED_VALUE"""),"6.1.1.1")</f>
        <v>6.1.1.1</v>
      </c>
      <c r="B32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2" s="79" t="str">
        <f ca="1">IFERROR(__xludf.DUMMYFUNCTION("""COMPUTED_VALUE"""),"5. Inclusión")</f>
        <v>5. Inclusión</v>
      </c>
      <c r="D32" s="79" t="str">
        <f ca="1">IFERROR(__xludf.DUMMYFUNCTION("""COMPUTED_VALUE"""),"Guadalajara sin Barreras")</f>
        <v>Guadalajara sin Barreras</v>
      </c>
      <c r="E32" s="79" t="str">
        <f ca="1">IFERROR(__xludf.DUMMYFUNCTION("""COMPUTED_VALUE"""),"Atención Integral para una Vida Digna con Discapacidad")</f>
        <v>Atención Integral para una Vida Digna con Discapacidad</v>
      </c>
      <c r="F32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32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32" s="79" t="str">
        <f ca="1">IFERROR(__xludf.DUMMYFUNCTION("""COMPUTED_VALUE"""),"AMM Febrero")</f>
        <v>AMM Febrero</v>
      </c>
      <c r="I32" s="79" t="str">
        <f ca="1">IFERROR(__xludf.DUMMYFUNCTION("""COMPUTED_VALUE"""),"Febrero")</f>
        <v>Febrero</v>
      </c>
      <c r="J32" s="79" t="str">
        <f ca="1">IFERROR(__xludf.DUMMYFUNCTION("""COMPUTED_VALUE"""),"AMM")</f>
        <v>AMM</v>
      </c>
      <c r="K32" s="80">
        <f ca="1">IFERROR(__xludf.DUMMYFUNCTION("""COMPUTED_VALUE"""),15)</f>
        <v>15</v>
      </c>
      <c r="L32" s="79" t="str">
        <f ca="1">IFERROR(__xludf.DUMMYFUNCTION("""COMPUTED_VALUE"""),"TRIMESTRE 1")</f>
        <v>TRIMESTRE 1</v>
      </c>
      <c r="M32" s="79" t="str">
        <f ca="1">IFERROR(__xludf.DUMMYFUNCTION("""COMPUTED_VALUE"""),"ADULTA MAYOR MUJER")</f>
        <v>ADULTA MAYOR MUJER</v>
      </c>
    </row>
    <row r="33" spans="1:26">
      <c r="A33" s="79" t="str">
        <f ca="1">IFERROR(__xludf.DUMMYFUNCTION("""COMPUTED_VALUE"""),"6.1.1.1")</f>
        <v>6.1.1.1</v>
      </c>
      <c r="B33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3" s="79" t="str">
        <f ca="1">IFERROR(__xludf.DUMMYFUNCTION("""COMPUTED_VALUE"""),"5. Inclusión")</f>
        <v>5. Inclusión</v>
      </c>
      <c r="D33" s="79" t="str">
        <f ca="1">IFERROR(__xludf.DUMMYFUNCTION("""COMPUTED_VALUE"""),"Guadalajara sin Barreras")</f>
        <v>Guadalajara sin Barreras</v>
      </c>
      <c r="E33" s="79" t="str">
        <f ca="1">IFERROR(__xludf.DUMMYFUNCTION("""COMPUTED_VALUE"""),"Atención Integral para una Vida Digna con Discapacidad")</f>
        <v>Atención Integral para una Vida Digna con Discapacidad</v>
      </c>
      <c r="F33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33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33" s="79" t="str">
        <f ca="1">IFERROR(__xludf.DUMMYFUNCTION("""COMPUTED_VALUE"""),"AMH Febrero")</f>
        <v>AMH Febrero</v>
      </c>
      <c r="I33" s="79" t="str">
        <f ca="1">IFERROR(__xludf.DUMMYFUNCTION("""COMPUTED_VALUE"""),"Febrero")</f>
        <v>Febrero</v>
      </c>
      <c r="J33" s="79" t="str">
        <f ca="1">IFERROR(__xludf.DUMMYFUNCTION("""COMPUTED_VALUE"""),"AMH")</f>
        <v>AMH</v>
      </c>
      <c r="K33" s="80">
        <f ca="1">IFERROR(__xludf.DUMMYFUNCTION("""COMPUTED_VALUE"""),1)</f>
        <v>1</v>
      </c>
      <c r="L33" s="79" t="str">
        <f ca="1">IFERROR(__xludf.DUMMYFUNCTION("""COMPUTED_VALUE"""),"TRIMESTRE 1")</f>
        <v>TRIMESTRE 1</v>
      </c>
      <c r="M33" s="79" t="str">
        <f ca="1">IFERROR(__xludf.DUMMYFUNCTION("""COMPUTED_VALUE"""),"ADULTO MAYOR HOMBRE")</f>
        <v>ADULTO MAYOR HOMBRE</v>
      </c>
    </row>
    <row r="34" spans="1:26">
      <c r="A34" s="81" t="str">
        <f ca="1">IFERROR(__xludf.DUMMYFUNCTION("""COMPUTED_VALUE"""),"6.1.1.0")</f>
        <v>6.1.1.0</v>
      </c>
      <c r="B34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4" s="81" t="str">
        <f ca="1">IFERROR(__xludf.DUMMYFUNCTION("""COMPUTED_VALUE"""),"5. Inclusión")</f>
        <v>5. Inclusión</v>
      </c>
      <c r="D34" s="81" t="str">
        <f ca="1">IFERROR(__xludf.DUMMYFUNCTION("""COMPUTED_VALUE"""),"Guadalajara sin Barreras")</f>
        <v>Guadalajara sin Barreras</v>
      </c>
      <c r="E34" s="81" t="str">
        <f ca="1">IFERROR(__xludf.DUMMYFUNCTION("""COMPUTED_VALUE"""),"Atención Integral para una Vida Digna con Discapacidad")</f>
        <v>Atención Integral para una Vida Digna con Discapacidad</v>
      </c>
      <c r="F34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34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34" s="81" t="str">
        <f ca="1">IFERROR(__xludf.DUMMYFUNCTION("""COMPUTED_VALUE"""),"NAS Marzo")</f>
        <v>NAS Marzo</v>
      </c>
      <c r="I34" s="81" t="str">
        <f ca="1">IFERROR(__xludf.DUMMYFUNCTION("""COMPUTED_VALUE"""),"Marzo")</f>
        <v>Marzo</v>
      </c>
      <c r="J34" s="81" t="str">
        <f ca="1">IFERROR(__xludf.DUMMYFUNCTION("""COMPUTED_VALUE"""),"NAS")</f>
        <v>NAS</v>
      </c>
      <c r="K34" s="80">
        <f ca="1">IFERROR(__xludf.DUMMYFUNCTION("""COMPUTED_VALUE"""),0)</f>
        <v>0</v>
      </c>
      <c r="L34" s="81" t="str">
        <f ca="1">IFERROR(__xludf.DUMMYFUNCTION("""COMPUTED_VALUE"""),"TRIMESTRE 1")</f>
        <v>TRIMESTRE 1</v>
      </c>
      <c r="M34" s="81" t="str">
        <f ca="1">IFERROR(__xludf.DUMMYFUNCTION("""COMPUTED_VALUE"""),"NIÑAS")</f>
        <v>NIÑAS</v>
      </c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</row>
    <row r="35" spans="1:26">
      <c r="A35" s="81" t="str">
        <f ca="1">IFERROR(__xludf.DUMMYFUNCTION("""COMPUTED_VALUE"""),"6.1.1.0")</f>
        <v>6.1.1.0</v>
      </c>
      <c r="B35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5" s="81" t="str">
        <f ca="1">IFERROR(__xludf.DUMMYFUNCTION("""COMPUTED_VALUE"""),"5. Inclusión")</f>
        <v>5. Inclusión</v>
      </c>
      <c r="D35" s="81" t="str">
        <f ca="1">IFERROR(__xludf.DUMMYFUNCTION("""COMPUTED_VALUE"""),"Guadalajara sin Barreras")</f>
        <v>Guadalajara sin Barreras</v>
      </c>
      <c r="E35" s="81" t="str">
        <f ca="1">IFERROR(__xludf.DUMMYFUNCTION("""COMPUTED_VALUE"""),"Atención Integral para una Vida Digna con Discapacidad")</f>
        <v>Atención Integral para una Vida Digna con Discapacidad</v>
      </c>
      <c r="F35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35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35" s="81" t="str">
        <f ca="1">IFERROR(__xludf.DUMMYFUNCTION("""COMPUTED_VALUE"""),"NOS Marzo")</f>
        <v>NOS Marzo</v>
      </c>
      <c r="I35" s="81" t="str">
        <f ca="1">IFERROR(__xludf.DUMMYFUNCTION("""COMPUTED_VALUE"""),"Marzo")</f>
        <v>Marzo</v>
      </c>
      <c r="J35" s="81" t="str">
        <f ca="1">IFERROR(__xludf.DUMMYFUNCTION("""COMPUTED_VALUE"""),"NOS")</f>
        <v>NOS</v>
      </c>
      <c r="K35" s="80">
        <f ca="1">IFERROR(__xludf.DUMMYFUNCTION("""COMPUTED_VALUE"""),4)</f>
        <v>4</v>
      </c>
      <c r="L35" s="81" t="str">
        <f ca="1">IFERROR(__xludf.DUMMYFUNCTION("""COMPUTED_VALUE"""),"TRIMESTRE 1")</f>
        <v>TRIMESTRE 1</v>
      </c>
      <c r="M35" s="81" t="str">
        <f ca="1">IFERROR(__xludf.DUMMYFUNCTION("""COMPUTED_VALUE"""),"NIÑOS")</f>
        <v>NIÑOS</v>
      </c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</row>
    <row r="36" spans="1:26">
      <c r="A36" s="81" t="str">
        <f ca="1">IFERROR(__xludf.DUMMYFUNCTION("""COMPUTED_VALUE"""),"6.1.1.0")</f>
        <v>6.1.1.0</v>
      </c>
      <c r="B36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6" s="81" t="str">
        <f ca="1">IFERROR(__xludf.DUMMYFUNCTION("""COMPUTED_VALUE"""),"5. Inclusión")</f>
        <v>5. Inclusión</v>
      </c>
      <c r="D36" s="81" t="str">
        <f ca="1">IFERROR(__xludf.DUMMYFUNCTION("""COMPUTED_VALUE"""),"Guadalajara sin Barreras")</f>
        <v>Guadalajara sin Barreras</v>
      </c>
      <c r="E36" s="81" t="str">
        <f ca="1">IFERROR(__xludf.DUMMYFUNCTION("""COMPUTED_VALUE"""),"Atención Integral para una Vida Digna con Discapacidad")</f>
        <v>Atención Integral para una Vida Digna con Discapacidad</v>
      </c>
      <c r="F36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36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36" s="81" t="str">
        <f ca="1">IFERROR(__xludf.DUMMYFUNCTION("""COMPUTED_VALUE"""),"AM MARZO")</f>
        <v>AM MARZO</v>
      </c>
      <c r="I36" s="81" t="str">
        <f ca="1">IFERROR(__xludf.DUMMYFUNCTION("""COMPUTED_VALUE"""),"Marzo")</f>
        <v>Marzo</v>
      </c>
      <c r="J36" s="81" t="str">
        <f ca="1">IFERROR(__xludf.DUMMYFUNCTION("""COMPUTED_VALUE"""),"AM")</f>
        <v>AM</v>
      </c>
      <c r="K36" s="80">
        <f ca="1">IFERROR(__xludf.DUMMYFUNCTION("""COMPUTED_VALUE"""),1)</f>
        <v>1</v>
      </c>
      <c r="L36" s="81" t="str">
        <f ca="1">IFERROR(__xludf.DUMMYFUNCTION("""COMPUTED_VALUE"""),"TRIMESTRE 1")</f>
        <v>TRIMESTRE 1</v>
      </c>
      <c r="M36" s="81" t="str">
        <f ca="1">IFERROR(__xludf.DUMMYFUNCTION("""COMPUTED_VALUE"""),"ADOLESCENTES MUJERES")</f>
        <v>ADOLESCENTES MUJERES</v>
      </c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</row>
    <row r="37" spans="1:26">
      <c r="A37" s="81" t="str">
        <f ca="1">IFERROR(__xludf.DUMMYFUNCTION("""COMPUTED_VALUE"""),"6.1.1.0")</f>
        <v>6.1.1.0</v>
      </c>
      <c r="B37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7" s="81" t="str">
        <f ca="1">IFERROR(__xludf.DUMMYFUNCTION("""COMPUTED_VALUE"""),"5. Inclusión")</f>
        <v>5. Inclusión</v>
      </c>
      <c r="D37" s="81" t="str">
        <f ca="1">IFERROR(__xludf.DUMMYFUNCTION("""COMPUTED_VALUE"""),"Guadalajara sin Barreras")</f>
        <v>Guadalajara sin Barreras</v>
      </c>
      <c r="E37" s="81" t="str">
        <f ca="1">IFERROR(__xludf.DUMMYFUNCTION("""COMPUTED_VALUE"""),"Atención Integral para una Vida Digna con Discapacidad")</f>
        <v>Atención Integral para una Vida Digna con Discapacidad</v>
      </c>
      <c r="F37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37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37" s="81" t="str">
        <f ca="1">IFERROR(__xludf.DUMMYFUNCTION("""COMPUTED_VALUE"""),"AH MARZO")</f>
        <v>AH MARZO</v>
      </c>
      <c r="I37" s="81" t="str">
        <f ca="1">IFERROR(__xludf.DUMMYFUNCTION("""COMPUTED_VALUE"""),"Marzo")</f>
        <v>Marzo</v>
      </c>
      <c r="J37" s="81" t="str">
        <f ca="1">IFERROR(__xludf.DUMMYFUNCTION("""COMPUTED_VALUE"""),"AH")</f>
        <v>AH</v>
      </c>
      <c r="K37" s="80">
        <f ca="1">IFERROR(__xludf.DUMMYFUNCTION("""COMPUTED_VALUE"""),2)</f>
        <v>2</v>
      </c>
      <c r="L37" s="81" t="str">
        <f ca="1">IFERROR(__xludf.DUMMYFUNCTION("""COMPUTED_VALUE"""),"TRIMESTRE 1")</f>
        <v>TRIMESTRE 1</v>
      </c>
      <c r="M37" s="81" t="str">
        <f ca="1">IFERROR(__xludf.DUMMYFUNCTION("""COMPUTED_VALUE"""),"ADOLESCENTES HOMBRES")</f>
        <v>ADOLESCENTES HOMBRES</v>
      </c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</row>
    <row r="38" spans="1:26">
      <c r="A38" s="81" t="str">
        <f ca="1">IFERROR(__xludf.DUMMYFUNCTION("""COMPUTED_VALUE"""),"6.1.1.0")</f>
        <v>6.1.1.0</v>
      </c>
      <c r="B38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8" s="81" t="str">
        <f ca="1">IFERROR(__xludf.DUMMYFUNCTION("""COMPUTED_VALUE"""),"5. Inclusión")</f>
        <v>5. Inclusión</v>
      </c>
      <c r="D38" s="81" t="str">
        <f ca="1">IFERROR(__xludf.DUMMYFUNCTION("""COMPUTED_VALUE"""),"Guadalajara sin Barreras")</f>
        <v>Guadalajara sin Barreras</v>
      </c>
      <c r="E38" s="81" t="str">
        <f ca="1">IFERROR(__xludf.DUMMYFUNCTION("""COMPUTED_VALUE"""),"Atención Integral para una Vida Digna con Discapacidad")</f>
        <v>Atención Integral para una Vida Digna con Discapacidad</v>
      </c>
      <c r="F38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38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38" s="81" t="str">
        <f ca="1">IFERROR(__xludf.DUMMYFUNCTION("""COMPUTED_VALUE"""),"MUJ Marzo")</f>
        <v>MUJ Marzo</v>
      </c>
      <c r="I38" s="81" t="str">
        <f ca="1">IFERROR(__xludf.DUMMYFUNCTION("""COMPUTED_VALUE"""),"Marzo")</f>
        <v>Marzo</v>
      </c>
      <c r="J38" s="81" t="str">
        <f ca="1">IFERROR(__xludf.DUMMYFUNCTION("""COMPUTED_VALUE"""),"MUJ")</f>
        <v>MUJ</v>
      </c>
      <c r="K38" s="80">
        <f ca="1">IFERROR(__xludf.DUMMYFUNCTION("""COMPUTED_VALUE"""),48)</f>
        <v>48</v>
      </c>
      <c r="L38" s="81" t="str">
        <f ca="1">IFERROR(__xludf.DUMMYFUNCTION("""COMPUTED_VALUE"""),"TRIMESTRE 1")</f>
        <v>TRIMESTRE 1</v>
      </c>
      <c r="M38" s="81" t="str">
        <f ca="1">IFERROR(__xludf.DUMMYFUNCTION("""COMPUTED_VALUE"""),"MUJERES ADULTAS")</f>
        <v>MUJERES ADULTAS</v>
      </c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</row>
    <row r="39" spans="1:26">
      <c r="A39" s="81" t="str">
        <f ca="1">IFERROR(__xludf.DUMMYFUNCTION("""COMPUTED_VALUE"""),"6.1.1.0")</f>
        <v>6.1.1.0</v>
      </c>
      <c r="B39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39" s="81" t="str">
        <f ca="1">IFERROR(__xludf.DUMMYFUNCTION("""COMPUTED_VALUE"""),"5. Inclusión")</f>
        <v>5. Inclusión</v>
      </c>
      <c r="D39" s="81" t="str">
        <f ca="1">IFERROR(__xludf.DUMMYFUNCTION("""COMPUTED_VALUE"""),"Guadalajara sin Barreras")</f>
        <v>Guadalajara sin Barreras</v>
      </c>
      <c r="E39" s="81" t="str">
        <f ca="1">IFERROR(__xludf.DUMMYFUNCTION("""COMPUTED_VALUE"""),"Atención Integral para una Vida Digna con Discapacidad")</f>
        <v>Atención Integral para una Vida Digna con Discapacidad</v>
      </c>
      <c r="F39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39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39" s="81" t="str">
        <f ca="1">IFERROR(__xludf.DUMMYFUNCTION("""COMPUTED_VALUE"""),"HOM Marzo")</f>
        <v>HOM Marzo</v>
      </c>
      <c r="I39" s="81" t="str">
        <f ca="1">IFERROR(__xludf.DUMMYFUNCTION("""COMPUTED_VALUE"""),"Marzo")</f>
        <v>Marzo</v>
      </c>
      <c r="J39" s="81" t="str">
        <f ca="1">IFERROR(__xludf.DUMMYFUNCTION("""COMPUTED_VALUE"""),"HOM")</f>
        <v>HOM</v>
      </c>
      <c r="K39" s="80">
        <f ca="1">IFERROR(__xludf.DUMMYFUNCTION("""COMPUTED_VALUE"""),56)</f>
        <v>56</v>
      </c>
      <c r="L39" s="81" t="str">
        <f ca="1">IFERROR(__xludf.DUMMYFUNCTION("""COMPUTED_VALUE"""),"TRIMESTRE 1")</f>
        <v>TRIMESTRE 1</v>
      </c>
      <c r="M39" s="81" t="str">
        <f ca="1">IFERROR(__xludf.DUMMYFUNCTION("""COMPUTED_VALUE"""),"HOMBRES ADULTOS")</f>
        <v>HOMBRES ADULTOS</v>
      </c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40" spans="1:26">
      <c r="A40" s="81" t="str">
        <f ca="1">IFERROR(__xludf.DUMMYFUNCTION("""COMPUTED_VALUE"""),"6.1.1.0")</f>
        <v>6.1.1.0</v>
      </c>
      <c r="B40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0" s="81" t="str">
        <f ca="1">IFERROR(__xludf.DUMMYFUNCTION("""COMPUTED_VALUE"""),"5. Inclusión")</f>
        <v>5. Inclusión</v>
      </c>
      <c r="D40" s="81" t="str">
        <f ca="1">IFERROR(__xludf.DUMMYFUNCTION("""COMPUTED_VALUE"""),"Guadalajara sin Barreras")</f>
        <v>Guadalajara sin Barreras</v>
      </c>
      <c r="E40" s="81" t="str">
        <f ca="1">IFERROR(__xludf.DUMMYFUNCTION("""COMPUTED_VALUE"""),"Atención Integral para una Vida Digna con Discapacidad")</f>
        <v>Atención Integral para una Vida Digna con Discapacidad</v>
      </c>
      <c r="F40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40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40" s="81" t="str">
        <f ca="1">IFERROR(__xludf.DUMMYFUNCTION("""COMPUTED_VALUE"""),"AMM Marzo")</f>
        <v>AMM Marzo</v>
      </c>
      <c r="I40" s="81" t="str">
        <f ca="1">IFERROR(__xludf.DUMMYFUNCTION("""COMPUTED_VALUE"""),"Marzo")</f>
        <v>Marzo</v>
      </c>
      <c r="J40" s="81" t="str">
        <f ca="1">IFERROR(__xludf.DUMMYFUNCTION("""COMPUTED_VALUE"""),"AMM")</f>
        <v>AMM</v>
      </c>
      <c r="K40" s="80">
        <f ca="1">IFERROR(__xludf.DUMMYFUNCTION("""COMPUTED_VALUE"""),29)</f>
        <v>29</v>
      </c>
      <c r="L40" s="81" t="str">
        <f ca="1">IFERROR(__xludf.DUMMYFUNCTION("""COMPUTED_VALUE"""),"TRIMESTRE 1")</f>
        <v>TRIMESTRE 1</v>
      </c>
      <c r="M40" s="81" t="str">
        <f ca="1">IFERROR(__xludf.DUMMYFUNCTION("""COMPUTED_VALUE"""),"ADULTA MAYOR MUJER")</f>
        <v>ADULTA MAYOR MUJER</v>
      </c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</row>
    <row r="41" spans="1:26">
      <c r="A41" s="81" t="str">
        <f ca="1">IFERROR(__xludf.DUMMYFUNCTION("""COMPUTED_VALUE"""),"6.1.1.0")</f>
        <v>6.1.1.0</v>
      </c>
      <c r="B41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1" s="81" t="str">
        <f ca="1">IFERROR(__xludf.DUMMYFUNCTION("""COMPUTED_VALUE"""),"5. Inclusión")</f>
        <v>5. Inclusión</v>
      </c>
      <c r="D41" s="81" t="str">
        <f ca="1">IFERROR(__xludf.DUMMYFUNCTION("""COMPUTED_VALUE"""),"Guadalajara sin Barreras")</f>
        <v>Guadalajara sin Barreras</v>
      </c>
      <c r="E41" s="81" t="str">
        <f ca="1">IFERROR(__xludf.DUMMYFUNCTION("""COMPUTED_VALUE"""),"Atención Integral para una Vida Digna con Discapacidad")</f>
        <v>Atención Integral para una Vida Digna con Discapacidad</v>
      </c>
      <c r="F41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41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41" s="81" t="str">
        <f ca="1">IFERROR(__xludf.DUMMYFUNCTION("""COMPUTED_VALUE"""),"AMH Marzo")</f>
        <v>AMH Marzo</v>
      </c>
      <c r="I41" s="81" t="str">
        <f ca="1">IFERROR(__xludf.DUMMYFUNCTION("""COMPUTED_VALUE"""),"Marzo")</f>
        <v>Marzo</v>
      </c>
      <c r="J41" s="81" t="str">
        <f ca="1">IFERROR(__xludf.DUMMYFUNCTION("""COMPUTED_VALUE"""),"AMH")</f>
        <v>AMH</v>
      </c>
      <c r="K41" s="80">
        <f ca="1">IFERROR(__xludf.DUMMYFUNCTION("""COMPUTED_VALUE"""),3)</f>
        <v>3</v>
      </c>
      <c r="L41" s="81" t="str">
        <f ca="1">IFERROR(__xludf.DUMMYFUNCTION("""COMPUTED_VALUE"""),"TRIMESTRE 1")</f>
        <v>TRIMESTRE 1</v>
      </c>
      <c r="M41" s="81" t="str">
        <f ca="1">IFERROR(__xludf.DUMMYFUNCTION("""COMPUTED_VALUE"""),"ADULTO MAYOR HOMBRE")</f>
        <v>ADULTO MAYOR HOMBRE</v>
      </c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</row>
    <row r="42" spans="1:26">
      <c r="A42" s="79" t="str">
        <f ca="1">IFERROR(__xludf.DUMMYFUNCTION("""COMPUTED_VALUE"""),"6.1.1.1")</f>
        <v>6.1.1.1</v>
      </c>
      <c r="B42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2" s="79" t="str">
        <f ca="1">IFERROR(__xludf.DUMMYFUNCTION("""COMPUTED_VALUE"""),"5. Inclusión")</f>
        <v>5. Inclusión</v>
      </c>
      <c r="D42" s="79" t="str">
        <f ca="1">IFERROR(__xludf.DUMMYFUNCTION("""COMPUTED_VALUE"""),"Guadalajara sin Barreras")</f>
        <v>Guadalajara sin Barreras</v>
      </c>
      <c r="E42" s="79" t="str">
        <f ca="1">IFERROR(__xludf.DUMMYFUNCTION("""COMPUTED_VALUE"""),"Atención Integral para una Vida Digna con Discapacidad")</f>
        <v>Atención Integral para una Vida Digna con Discapacidad</v>
      </c>
      <c r="F42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2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2" s="79" t="str">
        <f ca="1">IFERROR(__xludf.DUMMYFUNCTION("""COMPUTED_VALUE"""),"NAS Marzo")</f>
        <v>NAS Marzo</v>
      </c>
      <c r="I42" s="79" t="str">
        <f ca="1">IFERROR(__xludf.DUMMYFUNCTION("""COMPUTED_VALUE"""),"Marzo")</f>
        <v>Marzo</v>
      </c>
      <c r="J42" s="79" t="str">
        <f ca="1">IFERROR(__xludf.DUMMYFUNCTION("""COMPUTED_VALUE"""),"NAS")</f>
        <v>NAS</v>
      </c>
      <c r="K42" s="80">
        <f ca="1">IFERROR(__xludf.DUMMYFUNCTION("""COMPUTED_VALUE"""),0)</f>
        <v>0</v>
      </c>
      <c r="L42" s="79" t="str">
        <f ca="1">IFERROR(__xludf.DUMMYFUNCTION("""COMPUTED_VALUE"""),"TRIMESTRE 1")</f>
        <v>TRIMESTRE 1</v>
      </c>
      <c r="M42" s="79" t="str">
        <f ca="1">IFERROR(__xludf.DUMMYFUNCTION("""COMPUTED_VALUE"""),"NIÑAS")</f>
        <v>NIÑAS</v>
      </c>
    </row>
    <row r="43" spans="1:26">
      <c r="A43" s="79" t="str">
        <f ca="1">IFERROR(__xludf.DUMMYFUNCTION("""COMPUTED_VALUE"""),"6.1.1.1")</f>
        <v>6.1.1.1</v>
      </c>
      <c r="B43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3" s="79" t="str">
        <f ca="1">IFERROR(__xludf.DUMMYFUNCTION("""COMPUTED_VALUE"""),"5. Inclusión")</f>
        <v>5. Inclusión</v>
      </c>
      <c r="D43" s="79" t="str">
        <f ca="1">IFERROR(__xludf.DUMMYFUNCTION("""COMPUTED_VALUE"""),"Guadalajara sin Barreras")</f>
        <v>Guadalajara sin Barreras</v>
      </c>
      <c r="E43" s="79" t="str">
        <f ca="1">IFERROR(__xludf.DUMMYFUNCTION("""COMPUTED_VALUE"""),"Atención Integral para una Vida Digna con Discapacidad")</f>
        <v>Atención Integral para una Vida Digna con Discapacidad</v>
      </c>
      <c r="F43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3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3" s="79" t="str">
        <f ca="1">IFERROR(__xludf.DUMMYFUNCTION("""COMPUTED_VALUE"""),"NOS Marzo")</f>
        <v>NOS Marzo</v>
      </c>
      <c r="I43" s="79" t="str">
        <f ca="1">IFERROR(__xludf.DUMMYFUNCTION("""COMPUTED_VALUE"""),"Marzo")</f>
        <v>Marzo</v>
      </c>
      <c r="J43" s="79" t="str">
        <f ca="1">IFERROR(__xludf.DUMMYFUNCTION("""COMPUTED_VALUE"""),"NOS")</f>
        <v>NOS</v>
      </c>
      <c r="K43" s="80">
        <f ca="1">IFERROR(__xludf.DUMMYFUNCTION("""COMPUTED_VALUE"""),0)</f>
        <v>0</v>
      </c>
      <c r="L43" s="79" t="str">
        <f ca="1">IFERROR(__xludf.DUMMYFUNCTION("""COMPUTED_VALUE"""),"TRIMESTRE 1")</f>
        <v>TRIMESTRE 1</v>
      </c>
      <c r="M43" s="79" t="str">
        <f ca="1">IFERROR(__xludf.DUMMYFUNCTION("""COMPUTED_VALUE"""),"NIÑOS")</f>
        <v>NIÑOS</v>
      </c>
    </row>
    <row r="44" spans="1:26">
      <c r="A44" s="79" t="str">
        <f ca="1">IFERROR(__xludf.DUMMYFUNCTION("""COMPUTED_VALUE"""),"6.1.1.1")</f>
        <v>6.1.1.1</v>
      </c>
      <c r="B44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4" s="79" t="str">
        <f ca="1">IFERROR(__xludf.DUMMYFUNCTION("""COMPUTED_VALUE"""),"5. Inclusión")</f>
        <v>5. Inclusión</v>
      </c>
      <c r="D44" s="79" t="str">
        <f ca="1">IFERROR(__xludf.DUMMYFUNCTION("""COMPUTED_VALUE"""),"Guadalajara sin Barreras")</f>
        <v>Guadalajara sin Barreras</v>
      </c>
      <c r="E44" s="79" t="str">
        <f ca="1">IFERROR(__xludf.DUMMYFUNCTION("""COMPUTED_VALUE"""),"Atención Integral para una Vida Digna con Discapacidad")</f>
        <v>Atención Integral para una Vida Digna con Discapacidad</v>
      </c>
      <c r="F44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4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4" s="79" t="str">
        <f ca="1">IFERROR(__xludf.DUMMYFUNCTION("""COMPUTED_VALUE"""),"AM MARZO")</f>
        <v>AM MARZO</v>
      </c>
      <c r="I44" s="79" t="str">
        <f ca="1">IFERROR(__xludf.DUMMYFUNCTION("""COMPUTED_VALUE"""),"Marzo")</f>
        <v>Marzo</v>
      </c>
      <c r="J44" s="79" t="str">
        <f ca="1">IFERROR(__xludf.DUMMYFUNCTION("""COMPUTED_VALUE"""),"AM")</f>
        <v>AM</v>
      </c>
      <c r="K44" s="80">
        <f ca="1">IFERROR(__xludf.DUMMYFUNCTION("""COMPUTED_VALUE"""),0)</f>
        <v>0</v>
      </c>
      <c r="L44" s="79" t="str">
        <f ca="1">IFERROR(__xludf.DUMMYFUNCTION("""COMPUTED_VALUE"""),"TRIMESTRE 1")</f>
        <v>TRIMESTRE 1</v>
      </c>
      <c r="M44" s="79" t="str">
        <f ca="1">IFERROR(__xludf.DUMMYFUNCTION("""COMPUTED_VALUE"""),"ADOLESCENTES MUJERES")</f>
        <v>ADOLESCENTES MUJERES</v>
      </c>
    </row>
    <row r="45" spans="1:26">
      <c r="A45" s="79" t="str">
        <f ca="1">IFERROR(__xludf.DUMMYFUNCTION("""COMPUTED_VALUE"""),"6.1.1.1")</f>
        <v>6.1.1.1</v>
      </c>
      <c r="B45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5" s="79" t="str">
        <f ca="1">IFERROR(__xludf.DUMMYFUNCTION("""COMPUTED_VALUE"""),"5. Inclusión")</f>
        <v>5. Inclusión</v>
      </c>
      <c r="D45" s="79" t="str">
        <f ca="1">IFERROR(__xludf.DUMMYFUNCTION("""COMPUTED_VALUE"""),"Guadalajara sin Barreras")</f>
        <v>Guadalajara sin Barreras</v>
      </c>
      <c r="E45" s="79" t="str">
        <f ca="1">IFERROR(__xludf.DUMMYFUNCTION("""COMPUTED_VALUE"""),"Atención Integral para una Vida Digna con Discapacidad")</f>
        <v>Atención Integral para una Vida Digna con Discapacidad</v>
      </c>
      <c r="F45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5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5" s="79" t="str">
        <f ca="1">IFERROR(__xludf.DUMMYFUNCTION("""COMPUTED_VALUE"""),"AH MARZO")</f>
        <v>AH MARZO</v>
      </c>
      <c r="I45" s="79" t="str">
        <f ca="1">IFERROR(__xludf.DUMMYFUNCTION("""COMPUTED_VALUE"""),"Marzo")</f>
        <v>Marzo</v>
      </c>
      <c r="J45" s="79" t="str">
        <f ca="1">IFERROR(__xludf.DUMMYFUNCTION("""COMPUTED_VALUE"""),"AH")</f>
        <v>AH</v>
      </c>
      <c r="K45" s="80">
        <f ca="1">IFERROR(__xludf.DUMMYFUNCTION("""COMPUTED_VALUE"""),2)</f>
        <v>2</v>
      </c>
      <c r="L45" s="79" t="str">
        <f ca="1">IFERROR(__xludf.DUMMYFUNCTION("""COMPUTED_VALUE"""),"TRIMESTRE 1")</f>
        <v>TRIMESTRE 1</v>
      </c>
      <c r="M45" s="79" t="str">
        <f ca="1">IFERROR(__xludf.DUMMYFUNCTION("""COMPUTED_VALUE"""),"ADOLESCENTES HOMBRES")</f>
        <v>ADOLESCENTES HOMBRES</v>
      </c>
    </row>
    <row r="46" spans="1:26">
      <c r="A46" s="79" t="str">
        <f ca="1">IFERROR(__xludf.DUMMYFUNCTION("""COMPUTED_VALUE"""),"6.1.1.1")</f>
        <v>6.1.1.1</v>
      </c>
      <c r="B46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6" s="79" t="str">
        <f ca="1">IFERROR(__xludf.DUMMYFUNCTION("""COMPUTED_VALUE"""),"5. Inclusión")</f>
        <v>5. Inclusión</v>
      </c>
      <c r="D46" s="79" t="str">
        <f ca="1">IFERROR(__xludf.DUMMYFUNCTION("""COMPUTED_VALUE"""),"Guadalajara sin Barreras")</f>
        <v>Guadalajara sin Barreras</v>
      </c>
      <c r="E46" s="79" t="str">
        <f ca="1">IFERROR(__xludf.DUMMYFUNCTION("""COMPUTED_VALUE"""),"Atención Integral para una Vida Digna con Discapacidad")</f>
        <v>Atención Integral para una Vida Digna con Discapacidad</v>
      </c>
      <c r="F46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6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6" s="79" t="str">
        <f ca="1">IFERROR(__xludf.DUMMYFUNCTION("""COMPUTED_VALUE"""),"MUJ Marzo")</f>
        <v>MUJ Marzo</v>
      </c>
      <c r="I46" s="79" t="str">
        <f ca="1">IFERROR(__xludf.DUMMYFUNCTION("""COMPUTED_VALUE"""),"Marzo")</f>
        <v>Marzo</v>
      </c>
      <c r="J46" s="79" t="str">
        <f ca="1">IFERROR(__xludf.DUMMYFUNCTION("""COMPUTED_VALUE"""),"MUJ")</f>
        <v>MUJ</v>
      </c>
      <c r="K46" s="80">
        <f ca="1">IFERROR(__xludf.DUMMYFUNCTION("""COMPUTED_VALUE"""),20)</f>
        <v>20</v>
      </c>
      <c r="L46" s="79" t="str">
        <f ca="1">IFERROR(__xludf.DUMMYFUNCTION("""COMPUTED_VALUE"""),"TRIMESTRE 1")</f>
        <v>TRIMESTRE 1</v>
      </c>
      <c r="M46" s="79" t="str">
        <f ca="1">IFERROR(__xludf.DUMMYFUNCTION("""COMPUTED_VALUE"""),"MUJERES ADULTAS")</f>
        <v>MUJERES ADULTAS</v>
      </c>
    </row>
    <row r="47" spans="1:26">
      <c r="A47" s="79" t="str">
        <f ca="1">IFERROR(__xludf.DUMMYFUNCTION("""COMPUTED_VALUE"""),"6.1.1.1")</f>
        <v>6.1.1.1</v>
      </c>
      <c r="B47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7" s="79" t="str">
        <f ca="1">IFERROR(__xludf.DUMMYFUNCTION("""COMPUTED_VALUE"""),"5. Inclusión")</f>
        <v>5. Inclusión</v>
      </c>
      <c r="D47" s="79" t="str">
        <f ca="1">IFERROR(__xludf.DUMMYFUNCTION("""COMPUTED_VALUE"""),"Guadalajara sin Barreras")</f>
        <v>Guadalajara sin Barreras</v>
      </c>
      <c r="E47" s="79" t="str">
        <f ca="1">IFERROR(__xludf.DUMMYFUNCTION("""COMPUTED_VALUE"""),"Atención Integral para una Vida Digna con Discapacidad")</f>
        <v>Atención Integral para una Vida Digna con Discapacidad</v>
      </c>
      <c r="F47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7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7" s="79" t="str">
        <f ca="1">IFERROR(__xludf.DUMMYFUNCTION("""COMPUTED_VALUE"""),"HOM Marzo")</f>
        <v>HOM Marzo</v>
      </c>
      <c r="I47" s="79" t="str">
        <f ca="1">IFERROR(__xludf.DUMMYFUNCTION("""COMPUTED_VALUE"""),"Marzo")</f>
        <v>Marzo</v>
      </c>
      <c r="J47" s="79" t="str">
        <f ca="1">IFERROR(__xludf.DUMMYFUNCTION("""COMPUTED_VALUE"""),"HOM")</f>
        <v>HOM</v>
      </c>
      <c r="K47" s="80">
        <f ca="1">IFERROR(__xludf.DUMMYFUNCTION("""COMPUTED_VALUE"""),14)</f>
        <v>14</v>
      </c>
      <c r="L47" s="79" t="str">
        <f ca="1">IFERROR(__xludf.DUMMYFUNCTION("""COMPUTED_VALUE"""),"TRIMESTRE 1")</f>
        <v>TRIMESTRE 1</v>
      </c>
      <c r="M47" s="79" t="str">
        <f ca="1">IFERROR(__xludf.DUMMYFUNCTION("""COMPUTED_VALUE"""),"HOMBRES ADULTOS")</f>
        <v>HOMBRES ADULTOS</v>
      </c>
    </row>
    <row r="48" spans="1:26">
      <c r="A48" s="79" t="str">
        <f ca="1">IFERROR(__xludf.DUMMYFUNCTION("""COMPUTED_VALUE"""),"6.1.1.1")</f>
        <v>6.1.1.1</v>
      </c>
      <c r="B48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8" s="79" t="str">
        <f ca="1">IFERROR(__xludf.DUMMYFUNCTION("""COMPUTED_VALUE"""),"5. Inclusión")</f>
        <v>5. Inclusión</v>
      </c>
      <c r="D48" s="79" t="str">
        <f ca="1">IFERROR(__xludf.DUMMYFUNCTION("""COMPUTED_VALUE"""),"Guadalajara sin Barreras")</f>
        <v>Guadalajara sin Barreras</v>
      </c>
      <c r="E48" s="79" t="str">
        <f ca="1">IFERROR(__xludf.DUMMYFUNCTION("""COMPUTED_VALUE"""),"Atención Integral para una Vida Digna con Discapacidad")</f>
        <v>Atención Integral para una Vida Digna con Discapacidad</v>
      </c>
      <c r="F48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8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8" s="79" t="str">
        <f ca="1">IFERROR(__xludf.DUMMYFUNCTION("""COMPUTED_VALUE"""),"AMM Marzo")</f>
        <v>AMM Marzo</v>
      </c>
      <c r="I48" s="79" t="str">
        <f ca="1">IFERROR(__xludf.DUMMYFUNCTION("""COMPUTED_VALUE"""),"Marzo")</f>
        <v>Marzo</v>
      </c>
      <c r="J48" s="79" t="str">
        <f ca="1">IFERROR(__xludf.DUMMYFUNCTION("""COMPUTED_VALUE"""),"AMM")</f>
        <v>AMM</v>
      </c>
      <c r="K48" s="80">
        <f ca="1">IFERROR(__xludf.DUMMYFUNCTION("""COMPUTED_VALUE"""),1)</f>
        <v>1</v>
      </c>
      <c r="L48" s="79" t="str">
        <f ca="1">IFERROR(__xludf.DUMMYFUNCTION("""COMPUTED_VALUE"""),"TRIMESTRE 1")</f>
        <v>TRIMESTRE 1</v>
      </c>
      <c r="M48" s="79" t="str">
        <f ca="1">IFERROR(__xludf.DUMMYFUNCTION("""COMPUTED_VALUE"""),"ADULTA MAYOR MUJER")</f>
        <v>ADULTA MAYOR MUJER</v>
      </c>
    </row>
    <row r="49" spans="1:13">
      <c r="A49" s="79" t="str">
        <f ca="1">IFERROR(__xludf.DUMMYFUNCTION("""COMPUTED_VALUE"""),"6.1.1.1")</f>
        <v>6.1.1.1</v>
      </c>
      <c r="B49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49" s="79" t="str">
        <f ca="1">IFERROR(__xludf.DUMMYFUNCTION("""COMPUTED_VALUE"""),"5. Inclusión")</f>
        <v>5. Inclusión</v>
      </c>
      <c r="D49" s="79" t="str">
        <f ca="1">IFERROR(__xludf.DUMMYFUNCTION("""COMPUTED_VALUE"""),"Guadalajara sin Barreras")</f>
        <v>Guadalajara sin Barreras</v>
      </c>
      <c r="E49" s="79" t="str">
        <f ca="1">IFERROR(__xludf.DUMMYFUNCTION("""COMPUTED_VALUE"""),"Atención Integral para una Vida Digna con Discapacidad")</f>
        <v>Atención Integral para una Vida Digna con Discapacidad</v>
      </c>
      <c r="F49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49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49" s="79" t="str">
        <f ca="1">IFERROR(__xludf.DUMMYFUNCTION("""COMPUTED_VALUE"""),"AMH Marzo")</f>
        <v>AMH Marzo</v>
      </c>
      <c r="I49" s="79" t="str">
        <f ca="1">IFERROR(__xludf.DUMMYFUNCTION("""COMPUTED_VALUE"""),"Marzo")</f>
        <v>Marzo</v>
      </c>
      <c r="J49" s="79" t="str">
        <f ca="1">IFERROR(__xludf.DUMMYFUNCTION("""COMPUTED_VALUE"""),"AMH")</f>
        <v>AMH</v>
      </c>
      <c r="K49" s="80">
        <f ca="1">IFERROR(__xludf.DUMMYFUNCTION("""COMPUTED_VALUE"""),0)</f>
        <v>0</v>
      </c>
      <c r="L49" s="79" t="str">
        <f ca="1">IFERROR(__xludf.DUMMYFUNCTION("""COMPUTED_VALUE"""),"TRIMESTRE 1")</f>
        <v>TRIMESTRE 1</v>
      </c>
      <c r="M49" s="79" t="str">
        <f ca="1">IFERROR(__xludf.DUMMYFUNCTION("""COMPUTED_VALUE"""),"ADULTO MAYOR HOMBRE")</f>
        <v>ADULTO MAYOR HOMBRE</v>
      </c>
    </row>
    <row r="50" spans="1:13">
      <c r="A50" s="79" t="str">
        <f ca="1">IFERROR(__xludf.DUMMYFUNCTION("""COMPUTED_VALUE"""),"6.1.1.0")</f>
        <v>6.1.1.0</v>
      </c>
      <c r="B50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0" s="79" t="str">
        <f ca="1">IFERROR(__xludf.DUMMYFUNCTION("""COMPUTED_VALUE"""),"5. Inclusión")</f>
        <v>5. Inclusión</v>
      </c>
      <c r="D50" s="79" t="str">
        <f ca="1">IFERROR(__xludf.DUMMYFUNCTION("""COMPUTED_VALUE"""),"Guadalajara sin Barreras")</f>
        <v>Guadalajara sin Barreras</v>
      </c>
      <c r="E50" s="79" t="str">
        <f ca="1">IFERROR(__xludf.DUMMYFUNCTION("""COMPUTED_VALUE"""),"Atención Integral para una Vida Digna con Discapacidad")</f>
        <v>Atención Integral para una Vida Digna con Discapacidad</v>
      </c>
      <c r="F50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0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0" s="79" t="str">
        <f ca="1">IFERROR(__xludf.DUMMYFUNCTION("""COMPUTED_VALUE"""),"NAS Abril")</f>
        <v>NAS Abril</v>
      </c>
      <c r="I50" s="79" t="str">
        <f ca="1">IFERROR(__xludf.DUMMYFUNCTION("""COMPUTED_VALUE"""),"Abril")</f>
        <v>Abril</v>
      </c>
      <c r="J50" s="79" t="str">
        <f ca="1">IFERROR(__xludf.DUMMYFUNCTION("""COMPUTED_VALUE"""),"NAS")</f>
        <v>NAS</v>
      </c>
      <c r="K50" s="80">
        <f ca="1">IFERROR(__xludf.DUMMYFUNCTION("""COMPUTED_VALUE"""),0)</f>
        <v>0</v>
      </c>
      <c r="L50" s="79" t="str">
        <f ca="1">IFERROR(__xludf.DUMMYFUNCTION("""COMPUTED_VALUE"""),"TRIMESTRE 2")</f>
        <v>TRIMESTRE 2</v>
      </c>
      <c r="M50" s="79" t="str">
        <f ca="1">IFERROR(__xludf.DUMMYFUNCTION("""COMPUTED_VALUE"""),"NIÑAS")</f>
        <v>NIÑAS</v>
      </c>
    </row>
    <row r="51" spans="1:13">
      <c r="A51" s="79" t="str">
        <f ca="1">IFERROR(__xludf.DUMMYFUNCTION("""COMPUTED_VALUE"""),"6.1.1.0")</f>
        <v>6.1.1.0</v>
      </c>
      <c r="B51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1" s="79" t="str">
        <f ca="1">IFERROR(__xludf.DUMMYFUNCTION("""COMPUTED_VALUE"""),"5. Inclusión")</f>
        <v>5. Inclusión</v>
      </c>
      <c r="D51" s="79" t="str">
        <f ca="1">IFERROR(__xludf.DUMMYFUNCTION("""COMPUTED_VALUE"""),"Guadalajara sin Barreras")</f>
        <v>Guadalajara sin Barreras</v>
      </c>
      <c r="E51" s="79" t="str">
        <f ca="1">IFERROR(__xludf.DUMMYFUNCTION("""COMPUTED_VALUE"""),"Atención Integral para una Vida Digna con Discapacidad")</f>
        <v>Atención Integral para una Vida Digna con Discapacidad</v>
      </c>
      <c r="F51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1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1" s="79" t="str">
        <f ca="1">IFERROR(__xludf.DUMMYFUNCTION("""COMPUTED_VALUE"""),"NOS Abril")</f>
        <v>NOS Abril</v>
      </c>
      <c r="I51" s="79" t="str">
        <f ca="1">IFERROR(__xludf.DUMMYFUNCTION("""COMPUTED_VALUE"""),"Abril")</f>
        <v>Abril</v>
      </c>
      <c r="J51" s="79" t="str">
        <f ca="1">IFERROR(__xludf.DUMMYFUNCTION("""COMPUTED_VALUE"""),"NOS")</f>
        <v>NOS</v>
      </c>
      <c r="K51" s="80">
        <f ca="1">IFERROR(__xludf.DUMMYFUNCTION("""COMPUTED_VALUE"""),5)</f>
        <v>5</v>
      </c>
      <c r="L51" s="79" t="str">
        <f ca="1">IFERROR(__xludf.DUMMYFUNCTION("""COMPUTED_VALUE"""),"TRIMESTRE 2")</f>
        <v>TRIMESTRE 2</v>
      </c>
      <c r="M51" s="79" t="str">
        <f ca="1">IFERROR(__xludf.DUMMYFUNCTION("""COMPUTED_VALUE"""),"NIÑOS")</f>
        <v>NIÑOS</v>
      </c>
    </row>
    <row r="52" spans="1:13">
      <c r="A52" s="79" t="str">
        <f ca="1">IFERROR(__xludf.DUMMYFUNCTION("""COMPUTED_VALUE"""),"6.1.1.0")</f>
        <v>6.1.1.0</v>
      </c>
      <c r="B52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2" s="79" t="str">
        <f ca="1">IFERROR(__xludf.DUMMYFUNCTION("""COMPUTED_VALUE"""),"5. Inclusión")</f>
        <v>5. Inclusión</v>
      </c>
      <c r="D52" s="79" t="str">
        <f ca="1">IFERROR(__xludf.DUMMYFUNCTION("""COMPUTED_VALUE"""),"Guadalajara sin Barreras")</f>
        <v>Guadalajara sin Barreras</v>
      </c>
      <c r="E52" s="79" t="str">
        <f ca="1">IFERROR(__xludf.DUMMYFUNCTION("""COMPUTED_VALUE"""),"Atención Integral para una Vida Digna con Discapacidad")</f>
        <v>Atención Integral para una Vida Digna con Discapacidad</v>
      </c>
      <c r="F52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2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2" s="79" t="str">
        <f ca="1">IFERROR(__xludf.DUMMYFUNCTION("""COMPUTED_VALUE"""),"AM ABRIL")</f>
        <v>AM ABRIL</v>
      </c>
      <c r="I52" s="79" t="str">
        <f ca="1">IFERROR(__xludf.DUMMYFUNCTION("""COMPUTED_VALUE"""),"Abril")</f>
        <v>Abril</v>
      </c>
      <c r="J52" s="79" t="str">
        <f ca="1">IFERROR(__xludf.DUMMYFUNCTION("""COMPUTED_VALUE"""),"AM")</f>
        <v>AM</v>
      </c>
      <c r="K52" s="80">
        <f ca="1">IFERROR(__xludf.DUMMYFUNCTION("""COMPUTED_VALUE"""),2)</f>
        <v>2</v>
      </c>
      <c r="L52" s="79" t="str">
        <f ca="1">IFERROR(__xludf.DUMMYFUNCTION("""COMPUTED_VALUE"""),"TRIMESTRE 2")</f>
        <v>TRIMESTRE 2</v>
      </c>
      <c r="M52" s="79" t="str">
        <f ca="1">IFERROR(__xludf.DUMMYFUNCTION("""COMPUTED_VALUE"""),"ADOLESCENTES MUJERES")</f>
        <v>ADOLESCENTES MUJERES</v>
      </c>
    </row>
    <row r="53" spans="1:13">
      <c r="A53" s="79" t="str">
        <f ca="1">IFERROR(__xludf.DUMMYFUNCTION("""COMPUTED_VALUE"""),"6.1.1.0")</f>
        <v>6.1.1.0</v>
      </c>
      <c r="B53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3" s="79" t="str">
        <f ca="1">IFERROR(__xludf.DUMMYFUNCTION("""COMPUTED_VALUE"""),"5. Inclusión")</f>
        <v>5. Inclusión</v>
      </c>
      <c r="D53" s="79" t="str">
        <f ca="1">IFERROR(__xludf.DUMMYFUNCTION("""COMPUTED_VALUE"""),"Guadalajara sin Barreras")</f>
        <v>Guadalajara sin Barreras</v>
      </c>
      <c r="E53" s="79" t="str">
        <f ca="1">IFERROR(__xludf.DUMMYFUNCTION("""COMPUTED_VALUE"""),"Atención Integral para una Vida Digna con Discapacidad")</f>
        <v>Atención Integral para una Vida Digna con Discapacidad</v>
      </c>
      <c r="F53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3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3" s="79" t="str">
        <f ca="1">IFERROR(__xludf.DUMMYFUNCTION("""COMPUTED_VALUE"""),"AH ABRIL")</f>
        <v>AH ABRIL</v>
      </c>
      <c r="I53" s="79" t="str">
        <f ca="1">IFERROR(__xludf.DUMMYFUNCTION("""COMPUTED_VALUE"""),"Abril")</f>
        <v>Abril</v>
      </c>
      <c r="J53" s="79" t="str">
        <f ca="1">IFERROR(__xludf.DUMMYFUNCTION("""COMPUTED_VALUE"""),"AH")</f>
        <v>AH</v>
      </c>
      <c r="K53" s="80">
        <f ca="1">IFERROR(__xludf.DUMMYFUNCTION("""COMPUTED_VALUE"""),1)</f>
        <v>1</v>
      </c>
      <c r="L53" s="79" t="str">
        <f ca="1">IFERROR(__xludf.DUMMYFUNCTION("""COMPUTED_VALUE"""),"TRIMESTRE 2")</f>
        <v>TRIMESTRE 2</v>
      </c>
      <c r="M53" s="79" t="str">
        <f ca="1">IFERROR(__xludf.DUMMYFUNCTION("""COMPUTED_VALUE"""),"ADOLESCENTES HOMBRES")</f>
        <v>ADOLESCENTES HOMBRES</v>
      </c>
    </row>
    <row r="54" spans="1:13">
      <c r="A54" s="79" t="str">
        <f ca="1">IFERROR(__xludf.DUMMYFUNCTION("""COMPUTED_VALUE"""),"6.1.1.0")</f>
        <v>6.1.1.0</v>
      </c>
      <c r="B54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4" s="79" t="str">
        <f ca="1">IFERROR(__xludf.DUMMYFUNCTION("""COMPUTED_VALUE"""),"5. Inclusión")</f>
        <v>5. Inclusión</v>
      </c>
      <c r="D54" s="79" t="str">
        <f ca="1">IFERROR(__xludf.DUMMYFUNCTION("""COMPUTED_VALUE"""),"Guadalajara sin Barreras")</f>
        <v>Guadalajara sin Barreras</v>
      </c>
      <c r="E54" s="79" t="str">
        <f ca="1">IFERROR(__xludf.DUMMYFUNCTION("""COMPUTED_VALUE"""),"Atención Integral para una Vida Digna con Discapacidad")</f>
        <v>Atención Integral para una Vida Digna con Discapacidad</v>
      </c>
      <c r="F54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4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4" s="79" t="str">
        <f ca="1">IFERROR(__xludf.DUMMYFUNCTION("""COMPUTED_VALUE"""),"MUJ Abril")</f>
        <v>MUJ Abril</v>
      </c>
      <c r="I54" s="79" t="str">
        <f ca="1">IFERROR(__xludf.DUMMYFUNCTION("""COMPUTED_VALUE"""),"Abril")</f>
        <v>Abril</v>
      </c>
      <c r="J54" s="79" t="str">
        <f ca="1">IFERROR(__xludf.DUMMYFUNCTION("""COMPUTED_VALUE"""),"MUJ")</f>
        <v>MUJ</v>
      </c>
      <c r="K54" s="80">
        <f ca="1">IFERROR(__xludf.DUMMYFUNCTION("""COMPUTED_VALUE"""),42)</f>
        <v>42</v>
      </c>
      <c r="L54" s="79" t="str">
        <f ca="1">IFERROR(__xludf.DUMMYFUNCTION("""COMPUTED_VALUE"""),"TRIMESTRE 2")</f>
        <v>TRIMESTRE 2</v>
      </c>
      <c r="M54" s="79" t="str">
        <f ca="1">IFERROR(__xludf.DUMMYFUNCTION("""COMPUTED_VALUE"""),"MUJERES ADULTAS")</f>
        <v>MUJERES ADULTAS</v>
      </c>
    </row>
    <row r="55" spans="1:13">
      <c r="A55" s="79" t="str">
        <f ca="1">IFERROR(__xludf.DUMMYFUNCTION("""COMPUTED_VALUE"""),"6.1.1.0")</f>
        <v>6.1.1.0</v>
      </c>
      <c r="B55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5" s="79" t="str">
        <f ca="1">IFERROR(__xludf.DUMMYFUNCTION("""COMPUTED_VALUE"""),"5. Inclusión")</f>
        <v>5. Inclusión</v>
      </c>
      <c r="D55" s="79" t="str">
        <f ca="1">IFERROR(__xludf.DUMMYFUNCTION("""COMPUTED_VALUE"""),"Guadalajara sin Barreras")</f>
        <v>Guadalajara sin Barreras</v>
      </c>
      <c r="E55" s="79" t="str">
        <f ca="1">IFERROR(__xludf.DUMMYFUNCTION("""COMPUTED_VALUE"""),"Atención Integral para una Vida Digna con Discapacidad")</f>
        <v>Atención Integral para una Vida Digna con Discapacidad</v>
      </c>
      <c r="F55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5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5" s="79" t="str">
        <f ca="1">IFERROR(__xludf.DUMMYFUNCTION("""COMPUTED_VALUE"""),"HOM Abril")</f>
        <v>HOM Abril</v>
      </c>
      <c r="I55" s="79" t="str">
        <f ca="1">IFERROR(__xludf.DUMMYFUNCTION("""COMPUTED_VALUE"""),"Abril")</f>
        <v>Abril</v>
      </c>
      <c r="J55" s="79" t="str">
        <f ca="1">IFERROR(__xludf.DUMMYFUNCTION("""COMPUTED_VALUE"""),"HOM")</f>
        <v>HOM</v>
      </c>
      <c r="K55" s="80">
        <f ca="1">IFERROR(__xludf.DUMMYFUNCTION("""COMPUTED_VALUE"""),47)</f>
        <v>47</v>
      </c>
      <c r="L55" s="79" t="str">
        <f ca="1">IFERROR(__xludf.DUMMYFUNCTION("""COMPUTED_VALUE"""),"TRIMESTRE 2")</f>
        <v>TRIMESTRE 2</v>
      </c>
      <c r="M55" s="79" t="str">
        <f ca="1">IFERROR(__xludf.DUMMYFUNCTION("""COMPUTED_VALUE"""),"HOMBRES ADULTOS")</f>
        <v>HOMBRES ADULTOS</v>
      </c>
    </row>
    <row r="56" spans="1:13">
      <c r="A56" s="79" t="str">
        <f ca="1">IFERROR(__xludf.DUMMYFUNCTION("""COMPUTED_VALUE"""),"6.1.1.0")</f>
        <v>6.1.1.0</v>
      </c>
      <c r="B56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6" s="79" t="str">
        <f ca="1">IFERROR(__xludf.DUMMYFUNCTION("""COMPUTED_VALUE"""),"5. Inclusión")</f>
        <v>5. Inclusión</v>
      </c>
      <c r="D56" s="79" t="str">
        <f ca="1">IFERROR(__xludf.DUMMYFUNCTION("""COMPUTED_VALUE"""),"Guadalajara sin Barreras")</f>
        <v>Guadalajara sin Barreras</v>
      </c>
      <c r="E56" s="79" t="str">
        <f ca="1">IFERROR(__xludf.DUMMYFUNCTION("""COMPUTED_VALUE"""),"Atención Integral para una Vida Digna con Discapacidad")</f>
        <v>Atención Integral para una Vida Digna con Discapacidad</v>
      </c>
      <c r="F56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6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6" s="79" t="str">
        <f ca="1">IFERROR(__xludf.DUMMYFUNCTION("""COMPUTED_VALUE"""),"AMM Abril")</f>
        <v>AMM Abril</v>
      </c>
      <c r="I56" s="79" t="str">
        <f ca="1">IFERROR(__xludf.DUMMYFUNCTION("""COMPUTED_VALUE"""),"Abril")</f>
        <v>Abril</v>
      </c>
      <c r="J56" s="79" t="str">
        <f ca="1">IFERROR(__xludf.DUMMYFUNCTION("""COMPUTED_VALUE"""),"AMM")</f>
        <v>AMM</v>
      </c>
      <c r="K56" s="80">
        <f ca="1">IFERROR(__xludf.DUMMYFUNCTION("""COMPUTED_VALUE"""),18)</f>
        <v>18</v>
      </c>
      <c r="L56" s="79" t="str">
        <f ca="1">IFERROR(__xludf.DUMMYFUNCTION("""COMPUTED_VALUE"""),"TRIMESTRE 2")</f>
        <v>TRIMESTRE 2</v>
      </c>
      <c r="M56" s="79" t="str">
        <f ca="1">IFERROR(__xludf.DUMMYFUNCTION("""COMPUTED_VALUE"""),"ADULTA MAYOR MUJER")</f>
        <v>ADULTA MAYOR MUJER</v>
      </c>
    </row>
    <row r="57" spans="1:13">
      <c r="A57" s="79" t="str">
        <f ca="1">IFERROR(__xludf.DUMMYFUNCTION("""COMPUTED_VALUE"""),"6.1.1.0")</f>
        <v>6.1.1.0</v>
      </c>
      <c r="B57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7" s="79" t="str">
        <f ca="1">IFERROR(__xludf.DUMMYFUNCTION("""COMPUTED_VALUE"""),"5. Inclusión")</f>
        <v>5. Inclusión</v>
      </c>
      <c r="D57" s="79" t="str">
        <f ca="1">IFERROR(__xludf.DUMMYFUNCTION("""COMPUTED_VALUE"""),"Guadalajara sin Barreras")</f>
        <v>Guadalajara sin Barreras</v>
      </c>
      <c r="E57" s="79" t="str">
        <f ca="1">IFERROR(__xludf.DUMMYFUNCTION("""COMPUTED_VALUE"""),"Atención Integral para una Vida Digna con Discapacidad")</f>
        <v>Atención Integral para una Vida Digna con Discapacidad</v>
      </c>
      <c r="F57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57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57" s="79" t="str">
        <f ca="1">IFERROR(__xludf.DUMMYFUNCTION("""COMPUTED_VALUE"""),"AMH Abril")</f>
        <v>AMH Abril</v>
      </c>
      <c r="I57" s="79" t="str">
        <f ca="1">IFERROR(__xludf.DUMMYFUNCTION("""COMPUTED_VALUE"""),"Abril")</f>
        <v>Abril</v>
      </c>
      <c r="J57" s="79" t="str">
        <f ca="1">IFERROR(__xludf.DUMMYFUNCTION("""COMPUTED_VALUE"""),"AMH")</f>
        <v>AMH</v>
      </c>
      <c r="K57" s="80">
        <f ca="1">IFERROR(__xludf.DUMMYFUNCTION("""COMPUTED_VALUE"""),3)</f>
        <v>3</v>
      </c>
      <c r="L57" s="79" t="str">
        <f ca="1">IFERROR(__xludf.DUMMYFUNCTION("""COMPUTED_VALUE"""),"TRIMESTRE 2")</f>
        <v>TRIMESTRE 2</v>
      </c>
      <c r="M57" s="79" t="str">
        <f ca="1">IFERROR(__xludf.DUMMYFUNCTION("""COMPUTED_VALUE"""),"ADULTO MAYOR HOMBRE")</f>
        <v>ADULTO MAYOR HOMBRE</v>
      </c>
    </row>
    <row r="58" spans="1:13">
      <c r="A58" s="79" t="str">
        <f ca="1">IFERROR(__xludf.DUMMYFUNCTION("""COMPUTED_VALUE"""),"6.1.1.1")</f>
        <v>6.1.1.1</v>
      </c>
      <c r="B58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8" s="79" t="str">
        <f ca="1">IFERROR(__xludf.DUMMYFUNCTION("""COMPUTED_VALUE"""),"5. Inclusión")</f>
        <v>5. Inclusión</v>
      </c>
      <c r="D58" s="79" t="str">
        <f ca="1">IFERROR(__xludf.DUMMYFUNCTION("""COMPUTED_VALUE"""),"Guadalajara sin Barreras")</f>
        <v>Guadalajara sin Barreras</v>
      </c>
      <c r="E58" s="79" t="str">
        <f ca="1">IFERROR(__xludf.DUMMYFUNCTION("""COMPUTED_VALUE"""),"Atención Integral para una Vida Digna con Discapacidad")</f>
        <v>Atención Integral para una Vida Digna con Discapacidad</v>
      </c>
      <c r="F58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58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58" s="79" t="str">
        <f ca="1">IFERROR(__xludf.DUMMYFUNCTION("""COMPUTED_VALUE"""),"NAS Abril")</f>
        <v>NAS Abril</v>
      </c>
      <c r="I58" s="79" t="str">
        <f ca="1">IFERROR(__xludf.DUMMYFUNCTION("""COMPUTED_VALUE"""),"Abril")</f>
        <v>Abril</v>
      </c>
      <c r="J58" s="79" t="str">
        <f ca="1">IFERROR(__xludf.DUMMYFUNCTION("""COMPUTED_VALUE"""),"NAS")</f>
        <v>NAS</v>
      </c>
      <c r="K58" s="80">
        <f ca="1">IFERROR(__xludf.DUMMYFUNCTION("""COMPUTED_VALUE"""),0)</f>
        <v>0</v>
      </c>
      <c r="L58" s="79" t="str">
        <f ca="1">IFERROR(__xludf.DUMMYFUNCTION("""COMPUTED_VALUE"""),"TRIMESTRE 2")</f>
        <v>TRIMESTRE 2</v>
      </c>
      <c r="M58" s="79" t="str">
        <f ca="1">IFERROR(__xludf.DUMMYFUNCTION("""COMPUTED_VALUE"""),"NIÑAS")</f>
        <v>NIÑAS</v>
      </c>
    </row>
    <row r="59" spans="1:13">
      <c r="A59" s="79" t="str">
        <f ca="1">IFERROR(__xludf.DUMMYFUNCTION("""COMPUTED_VALUE"""),"6.1.1.1")</f>
        <v>6.1.1.1</v>
      </c>
      <c r="B59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59" s="79" t="str">
        <f ca="1">IFERROR(__xludf.DUMMYFUNCTION("""COMPUTED_VALUE"""),"5. Inclusión")</f>
        <v>5. Inclusión</v>
      </c>
      <c r="D59" s="79" t="str">
        <f ca="1">IFERROR(__xludf.DUMMYFUNCTION("""COMPUTED_VALUE"""),"Guadalajara sin Barreras")</f>
        <v>Guadalajara sin Barreras</v>
      </c>
      <c r="E59" s="79" t="str">
        <f ca="1">IFERROR(__xludf.DUMMYFUNCTION("""COMPUTED_VALUE"""),"Atención Integral para una Vida Digna con Discapacidad")</f>
        <v>Atención Integral para una Vida Digna con Discapacidad</v>
      </c>
      <c r="F59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59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59" s="79" t="str">
        <f ca="1">IFERROR(__xludf.DUMMYFUNCTION("""COMPUTED_VALUE"""),"NOS Abril")</f>
        <v>NOS Abril</v>
      </c>
      <c r="I59" s="79" t="str">
        <f ca="1">IFERROR(__xludf.DUMMYFUNCTION("""COMPUTED_VALUE"""),"Abril")</f>
        <v>Abril</v>
      </c>
      <c r="J59" s="79" t="str">
        <f ca="1">IFERROR(__xludf.DUMMYFUNCTION("""COMPUTED_VALUE"""),"NOS")</f>
        <v>NOS</v>
      </c>
      <c r="K59" s="80">
        <f ca="1">IFERROR(__xludf.DUMMYFUNCTION("""COMPUTED_VALUE"""),0)</f>
        <v>0</v>
      </c>
      <c r="L59" s="79" t="str">
        <f ca="1">IFERROR(__xludf.DUMMYFUNCTION("""COMPUTED_VALUE"""),"TRIMESTRE 2")</f>
        <v>TRIMESTRE 2</v>
      </c>
      <c r="M59" s="79" t="str">
        <f ca="1">IFERROR(__xludf.DUMMYFUNCTION("""COMPUTED_VALUE"""),"NIÑOS")</f>
        <v>NIÑOS</v>
      </c>
    </row>
    <row r="60" spans="1:13">
      <c r="A60" s="79" t="str">
        <f ca="1">IFERROR(__xludf.DUMMYFUNCTION("""COMPUTED_VALUE"""),"6.1.1.1")</f>
        <v>6.1.1.1</v>
      </c>
      <c r="B60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0" s="79" t="str">
        <f ca="1">IFERROR(__xludf.DUMMYFUNCTION("""COMPUTED_VALUE"""),"5. Inclusión")</f>
        <v>5. Inclusión</v>
      </c>
      <c r="D60" s="79" t="str">
        <f ca="1">IFERROR(__xludf.DUMMYFUNCTION("""COMPUTED_VALUE"""),"Guadalajara sin Barreras")</f>
        <v>Guadalajara sin Barreras</v>
      </c>
      <c r="E60" s="79" t="str">
        <f ca="1">IFERROR(__xludf.DUMMYFUNCTION("""COMPUTED_VALUE"""),"Atención Integral para una Vida Digna con Discapacidad")</f>
        <v>Atención Integral para una Vida Digna con Discapacidad</v>
      </c>
      <c r="F60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60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60" s="79" t="str">
        <f ca="1">IFERROR(__xludf.DUMMYFUNCTION("""COMPUTED_VALUE"""),"AM ABRIL")</f>
        <v>AM ABRIL</v>
      </c>
      <c r="I60" s="79" t="str">
        <f ca="1">IFERROR(__xludf.DUMMYFUNCTION("""COMPUTED_VALUE"""),"Abril")</f>
        <v>Abril</v>
      </c>
      <c r="J60" s="79" t="str">
        <f ca="1">IFERROR(__xludf.DUMMYFUNCTION("""COMPUTED_VALUE"""),"AM")</f>
        <v>AM</v>
      </c>
      <c r="K60" s="80">
        <f ca="1">IFERROR(__xludf.DUMMYFUNCTION("""COMPUTED_VALUE"""),1)</f>
        <v>1</v>
      </c>
      <c r="L60" s="79" t="str">
        <f ca="1">IFERROR(__xludf.DUMMYFUNCTION("""COMPUTED_VALUE"""),"TRIMESTRE 2")</f>
        <v>TRIMESTRE 2</v>
      </c>
      <c r="M60" s="79" t="str">
        <f ca="1">IFERROR(__xludf.DUMMYFUNCTION("""COMPUTED_VALUE"""),"ADOLESCENTES MUJERES")</f>
        <v>ADOLESCENTES MUJERES</v>
      </c>
    </row>
    <row r="61" spans="1:13">
      <c r="A61" s="79" t="str">
        <f ca="1">IFERROR(__xludf.DUMMYFUNCTION("""COMPUTED_VALUE"""),"6.1.1.1")</f>
        <v>6.1.1.1</v>
      </c>
      <c r="B61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1" s="79" t="str">
        <f ca="1">IFERROR(__xludf.DUMMYFUNCTION("""COMPUTED_VALUE"""),"5. Inclusión")</f>
        <v>5. Inclusión</v>
      </c>
      <c r="D61" s="79" t="str">
        <f ca="1">IFERROR(__xludf.DUMMYFUNCTION("""COMPUTED_VALUE"""),"Guadalajara sin Barreras")</f>
        <v>Guadalajara sin Barreras</v>
      </c>
      <c r="E61" s="79" t="str">
        <f ca="1">IFERROR(__xludf.DUMMYFUNCTION("""COMPUTED_VALUE"""),"Atención Integral para una Vida Digna con Discapacidad")</f>
        <v>Atención Integral para una Vida Digna con Discapacidad</v>
      </c>
      <c r="F61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61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61" s="79" t="str">
        <f ca="1">IFERROR(__xludf.DUMMYFUNCTION("""COMPUTED_VALUE"""),"AH ABRIL")</f>
        <v>AH ABRIL</v>
      </c>
      <c r="I61" s="79" t="str">
        <f ca="1">IFERROR(__xludf.DUMMYFUNCTION("""COMPUTED_VALUE"""),"Abril")</f>
        <v>Abril</v>
      </c>
      <c r="J61" s="79" t="str">
        <f ca="1">IFERROR(__xludf.DUMMYFUNCTION("""COMPUTED_VALUE"""),"AH")</f>
        <v>AH</v>
      </c>
      <c r="K61" s="80">
        <f ca="1">IFERROR(__xludf.DUMMYFUNCTION("""COMPUTED_VALUE"""),1)</f>
        <v>1</v>
      </c>
      <c r="L61" s="79" t="str">
        <f ca="1">IFERROR(__xludf.DUMMYFUNCTION("""COMPUTED_VALUE"""),"TRIMESTRE 2")</f>
        <v>TRIMESTRE 2</v>
      </c>
      <c r="M61" s="79" t="str">
        <f ca="1">IFERROR(__xludf.DUMMYFUNCTION("""COMPUTED_VALUE"""),"ADOLESCENTES HOMBRES")</f>
        <v>ADOLESCENTES HOMBRES</v>
      </c>
    </row>
    <row r="62" spans="1:13">
      <c r="A62" s="79" t="str">
        <f ca="1">IFERROR(__xludf.DUMMYFUNCTION("""COMPUTED_VALUE"""),"6.1.1.1")</f>
        <v>6.1.1.1</v>
      </c>
      <c r="B62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2" s="79" t="str">
        <f ca="1">IFERROR(__xludf.DUMMYFUNCTION("""COMPUTED_VALUE"""),"5. Inclusión")</f>
        <v>5. Inclusión</v>
      </c>
      <c r="D62" s="79" t="str">
        <f ca="1">IFERROR(__xludf.DUMMYFUNCTION("""COMPUTED_VALUE"""),"Guadalajara sin Barreras")</f>
        <v>Guadalajara sin Barreras</v>
      </c>
      <c r="E62" s="79" t="str">
        <f ca="1">IFERROR(__xludf.DUMMYFUNCTION("""COMPUTED_VALUE"""),"Atención Integral para una Vida Digna con Discapacidad")</f>
        <v>Atención Integral para una Vida Digna con Discapacidad</v>
      </c>
      <c r="F62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62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62" s="79" t="str">
        <f ca="1">IFERROR(__xludf.DUMMYFUNCTION("""COMPUTED_VALUE"""),"MUJ Abril")</f>
        <v>MUJ Abril</v>
      </c>
      <c r="I62" s="79" t="str">
        <f ca="1">IFERROR(__xludf.DUMMYFUNCTION("""COMPUTED_VALUE"""),"Abril")</f>
        <v>Abril</v>
      </c>
      <c r="J62" s="79" t="str">
        <f ca="1">IFERROR(__xludf.DUMMYFUNCTION("""COMPUTED_VALUE"""),"MUJ")</f>
        <v>MUJ</v>
      </c>
      <c r="K62" s="80">
        <f ca="1">IFERROR(__xludf.DUMMYFUNCTION("""COMPUTED_VALUE"""),12)</f>
        <v>12</v>
      </c>
      <c r="L62" s="79" t="str">
        <f ca="1">IFERROR(__xludf.DUMMYFUNCTION("""COMPUTED_VALUE"""),"TRIMESTRE 2")</f>
        <v>TRIMESTRE 2</v>
      </c>
      <c r="M62" s="79" t="str">
        <f ca="1">IFERROR(__xludf.DUMMYFUNCTION("""COMPUTED_VALUE"""),"MUJERES ADULTAS")</f>
        <v>MUJERES ADULTAS</v>
      </c>
    </row>
    <row r="63" spans="1:13">
      <c r="A63" s="79" t="str">
        <f ca="1">IFERROR(__xludf.DUMMYFUNCTION("""COMPUTED_VALUE"""),"6.1.1.1")</f>
        <v>6.1.1.1</v>
      </c>
      <c r="B63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3" s="79" t="str">
        <f ca="1">IFERROR(__xludf.DUMMYFUNCTION("""COMPUTED_VALUE"""),"5. Inclusión")</f>
        <v>5. Inclusión</v>
      </c>
      <c r="D63" s="79" t="str">
        <f ca="1">IFERROR(__xludf.DUMMYFUNCTION("""COMPUTED_VALUE"""),"Guadalajara sin Barreras")</f>
        <v>Guadalajara sin Barreras</v>
      </c>
      <c r="E63" s="79" t="str">
        <f ca="1">IFERROR(__xludf.DUMMYFUNCTION("""COMPUTED_VALUE"""),"Atención Integral para una Vida Digna con Discapacidad")</f>
        <v>Atención Integral para una Vida Digna con Discapacidad</v>
      </c>
      <c r="F63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63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63" s="79" t="str">
        <f ca="1">IFERROR(__xludf.DUMMYFUNCTION("""COMPUTED_VALUE"""),"HOM Abril")</f>
        <v>HOM Abril</v>
      </c>
      <c r="I63" s="79" t="str">
        <f ca="1">IFERROR(__xludf.DUMMYFUNCTION("""COMPUTED_VALUE"""),"Abril")</f>
        <v>Abril</v>
      </c>
      <c r="J63" s="79" t="str">
        <f ca="1">IFERROR(__xludf.DUMMYFUNCTION("""COMPUTED_VALUE"""),"HOM")</f>
        <v>HOM</v>
      </c>
      <c r="K63" s="80">
        <f ca="1">IFERROR(__xludf.DUMMYFUNCTION("""COMPUTED_VALUE"""),14)</f>
        <v>14</v>
      </c>
      <c r="L63" s="79" t="str">
        <f ca="1">IFERROR(__xludf.DUMMYFUNCTION("""COMPUTED_VALUE"""),"TRIMESTRE 2")</f>
        <v>TRIMESTRE 2</v>
      </c>
      <c r="M63" s="79" t="str">
        <f ca="1">IFERROR(__xludf.DUMMYFUNCTION("""COMPUTED_VALUE"""),"HOMBRES ADULTOS")</f>
        <v>HOMBRES ADULTOS</v>
      </c>
    </row>
    <row r="64" spans="1:13">
      <c r="A64" s="79" t="str">
        <f ca="1">IFERROR(__xludf.DUMMYFUNCTION("""COMPUTED_VALUE"""),"6.1.1.1")</f>
        <v>6.1.1.1</v>
      </c>
      <c r="B64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4" s="79" t="str">
        <f ca="1">IFERROR(__xludf.DUMMYFUNCTION("""COMPUTED_VALUE"""),"5. Inclusión")</f>
        <v>5. Inclusión</v>
      </c>
      <c r="D64" s="79" t="str">
        <f ca="1">IFERROR(__xludf.DUMMYFUNCTION("""COMPUTED_VALUE"""),"Guadalajara sin Barreras")</f>
        <v>Guadalajara sin Barreras</v>
      </c>
      <c r="E64" s="79" t="str">
        <f ca="1">IFERROR(__xludf.DUMMYFUNCTION("""COMPUTED_VALUE"""),"Atención Integral para una Vida Digna con Discapacidad")</f>
        <v>Atención Integral para una Vida Digna con Discapacidad</v>
      </c>
      <c r="F64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64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64" s="79" t="str">
        <f ca="1">IFERROR(__xludf.DUMMYFUNCTION("""COMPUTED_VALUE"""),"AMM Abril")</f>
        <v>AMM Abril</v>
      </c>
      <c r="I64" s="79" t="str">
        <f ca="1">IFERROR(__xludf.DUMMYFUNCTION("""COMPUTED_VALUE"""),"Abril")</f>
        <v>Abril</v>
      </c>
      <c r="J64" s="79" t="str">
        <f ca="1">IFERROR(__xludf.DUMMYFUNCTION("""COMPUTED_VALUE"""),"AMM")</f>
        <v>AMM</v>
      </c>
      <c r="K64" s="80">
        <f ca="1">IFERROR(__xludf.DUMMYFUNCTION("""COMPUTED_VALUE"""),13)</f>
        <v>13</v>
      </c>
      <c r="L64" s="79" t="str">
        <f ca="1">IFERROR(__xludf.DUMMYFUNCTION("""COMPUTED_VALUE"""),"TRIMESTRE 2")</f>
        <v>TRIMESTRE 2</v>
      </c>
      <c r="M64" s="79" t="str">
        <f ca="1">IFERROR(__xludf.DUMMYFUNCTION("""COMPUTED_VALUE"""),"ADULTA MAYOR MUJER")</f>
        <v>ADULTA MAYOR MUJER</v>
      </c>
    </row>
    <row r="65" spans="1:26">
      <c r="A65" s="79" t="str">
        <f ca="1">IFERROR(__xludf.DUMMYFUNCTION("""COMPUTED_VALUE"""),"6.1.1.1")</f>
        <v>6.1.1.1</v>
      </c>
      <c r="B65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5" s="79" t="str">
        <f ca="1">IFERROR(__xludf.DUMMYFUNCTION("""COMPUTED_VALUE"""),"5. Inclusión")</f>
        <v>5. Inclusión</v>
      </c>
      <c r="D65" s="79" t="str">
        <f ca="1">IFERROR(__xludf.DUMMYFUNCTION("""COMPUTED_VALUE"""),"Guadalajara sin Barreras")</f>
        <v>Guadalajara sin Barreras</v>
      </c>
      <c r="E65" s="79" t="str">
        <f ca="1">IFERROR(__xludf.DUMMYFUNCTION("""COMPUTED_VALUE"""),"Atención Integral para una Vida Digna con Discapacidad")</f>
        <v>Atención Integral para una Vida Digna con Discapacidad</v>
      </c>
      <c r="F65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65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65" s="79" t="str">
        <f ca="1">IFERROR(__xludf.DUMMYFUNCTION("""COMPUTED_VALUE"""),"AMH Abril")</f>
        <v>AMH Abril</v>
      </c>
      <c r="I65" s="79" t="str">
        <f ca="1">IFERROR(__xludf.DUMMYFUNCTION("""COMPUTED_VALUE"""),"Abril")</f>
        <v>Abril</v>
      </c>
      <c r="J65" s="79" t="str">
        <f ca="1">IFERROR(__xludf.DUMMYFUNCTION("""COMPUTED_VALUE"""),"AMH")</f>
        <v>AMH</v>
      </c>
      <c r="K65" s="80">
        <f ca="1">IFERROR(__xludf.DUMMYFUNCTION("""COMPUTED_VALUE"""),1)</f>
        <v>1</v>
      </c>
      <c r="L65" s="79" t="str">
        <f ca="1">IFERROR(__xludf.DUMMYFUNCTION("""COMPUTED_VALUE"""),"TRIMESTRE 2")</f>
        <v>TRIMESTRE 2</v>
      </c>
      <c r="M65" s="79" t="str">
        <f ca="1">IFERROR(__xludf.DUMMYFUNCTION("""COMPUTED_VALUE"""),"ADULTO MAYOR HOMBRE")</f>
        <v>ADULTO MAYOR HOMBRE</v>
      </c>
    </row>
    <row r="66" spans="1:26">
      <c r="A66" s="81" t="str">
        <f ca="1">IFERROR(__xludf.DUMMYFUNCTION("""COMPUTED_VALUE"""),"6.1.1.0")</f>
        <v>6.1.1.0</v>
      </c>
      <c r="B66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6" s="81" t="str">
        <f ca="1">IFERROR(__xludf.DUMMYFUNCTION("""COMPUTED_VALUE"""),"5. Inclusión")</f>
        <v>5. Inclusión</v>
      </c>
      <c r="D66" s="81" t="str">
        <f ca="1">IFERROR(__xludf.DUMMYFUNCTION("""COMPUTED_VALUE"""),"Guadalajara sin Barreras")</f>
        <v>Guadalajara sin Barreras</v>
      </c>
      <c r="E66" s="81" t="str">
        <f ca="1">IFERROR(__xludf.DUMMYFUNCTION("""COMPUTED_VALUE"""),"Atención Integral para una Vida Digna con Discapacidad")</f>
        <v>Atención Integral para una Vida Digna con Discapacidad</v>
      </c>
      <c r="F66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66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66" s="81" t="str">
        <f ca="1">IFERROR(__xludf.DUMMYFUNCTION("""COMPUTED_VALUE"""),"NAS Mayo")</f>
        <v>NAS Mayo</v>
      </c>
      <c r="I66" s="81" t="str">
        <f ca="1">IFERROR(__xludf.DUMMYFUNCTION("""COMPUTED_VALUE"""),"Mayo")</f>
        <v>Mayo</v>
      </c>
      <c r="J66" s="81" t="str">
        <f ca="1">IFERROR(__xludf.DUMMYFUNCTION("""COMPUTED_VALUE"""),"NAS")</f>
        <v>NAS</v>
      </c>
      <c r="K66" s="80">
        <f ca="1">IFERROR(__xludf.DUMMYFUNCTION("""COMPUTED_VALUE"""),1)</f>
        <v>1</v>
      </c>
      <c r="L66" s="81" t="str">
        <f ca="1">IFERROR(__xludf.DUMMYFUNCTION("""COMPUTED_VALUE"""),"TRIMESTRE 2")</f>
        <v>TRIMESTRE 2</v>
      </c>
      <c r="M66" s="81" t="str">
        <f ca="1">IFERROR(__xludf.DUMMYFUNCTION("""COMPUTED_VALUE"""),"NIÑAS")</f>
        <v>NIÑAS</v>
      </c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</row>
    <row r="67" spans="1:26">
      <c r="A67" s="81" t="str">
        <f ca="1">IFERROR(__xludf.DUMMYFUNCTION("""COMPUTED_VALUE"""),"6.1.1.0")</f>
        <v>6.1.1.0</v>
      </c>
      <c r="B67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7" s="81" t="str">
        <f ca="1">IFERROR(__xludf.DUMMYFUNCTION("""COMPUTED_VALUE"""),"5. Inclusión")</f>
        <v>5. Inclusión</v>
      </c>
      <c r="D67" s="81" t="str">
        <f ca="1">IFERROR(__xludf.DUMMYFUNCTION("""COMPUTED_VALUE"""),"Guadalajara sin Barreras")</f>
        <v>Guadalajara sin Barreras</v>
      </c>
      <c r="E67" s="81" t="str">
        <f ca="1">IFERROR(__xludf.DUMMYFUNCTION("""COMPUTED_VALUE"""),"Atención Integral para una Vida Digna con Discapacidad")</f>
        <v>Atención Integral para una Vida Digna con Discapacidad</v>
      </c>
      <c r="F67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67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67" s="81" t="str">
        <f ca="1">IFERROR(__xludf.DUMMYFUNCTION("""COMPUTED_VALUE"""),"NOS Mayo")</f>
        <v>NOS Mayo</v>
      </c>
      <c r="I67" s="81" t="str">
        <f ca="1">IFERROR(__xludf.DUMMYFUNCTION("""COMPUTED_VALUE"""),"Mayo")</f>
        <v>Mayo</v>
      </c>
      <c r="J67" s="81" t="str">
        <f ca="1">IFERROR(__xludf.DUMMYFUNCTION("""COMPUTED_VALUE"""),"NOS")</f>
        <v>NOS</v>
      </c>
      <c r="K67" s="80">
        <f ca="1">IFERROR(__xludf.DUMMYFUNCTION("""COMPUTED_VALUE"""),3)</f>
        <v>3</v>
      </c>
      <c r="L67" s="81" t="str">
        <f ca="1">IFERROR(__xludf.DUMMYFUNCTION("""COMPUTED_VALUE"""),"TRIMESTRE 2")</f>
        <v>TRIMESTRE 2</v>
      </c>
      <c r="M67" s="81" t="str">
        <f ca="1">IFERROR(__xludf.DUMMYFUNCTION("""COMPUTED_VALUE"""),"NIÑOS")</f>
        <v>NIÑOS</v>
      </c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</row>
    <row r="68" spans="1:26">
      <c r="A68" s="81" t="str">
        <f ca="1">IFERROR(__xludf.DUMMYFUNCTION("""COMPUTED_VALUE"""),"6.1.1.0")</f>
        <v>6.1.1.0</v>
      </c>
      <c r="B68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8" s="81" t="str">
        <f ca="1">IFERROR(__xludf.DUMMYFUNCTION("""COMPUTED_VALUE"""),"5. Inclusión")</f>
        <v>5. Inclusión</v>
      </c>
      <c r="D68" s="81" t="str">
        <f ca="1">IFERROR(__xludf.DUMMYFUNCTION("""COMPUTED_VALUE"""),"Guadalajara sin Barreras")</f>
        <v>Guadalajara sin Barreras</v>
      </c>
      <c r="E68" s="81" t="str">
        <f ca="1">IFERROR(__xludf.DUMMYFUNCTION("""COMPUTED_VALUE"""),"Atención Integral para una Vida Digna con Discapacidad")</f>
        <v>Atención Integral para una Vida Digna con Discapacidad</v>
      </c>
      <c r="F68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68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68" s="81" t="str">
        <f ca="1">IFERROR(__xludf.DUMMYFUNCTION("""COMPUTED_VALUE"""),"AM MAYO")</f>
        <v>AM MAYO</v>
      </c>
      <c r="I68" s="81" t="str">
        <f ca="1">IFERROR(__xludf.DUMMYFUNCTION("""COMPUTED_VALUE"""),"Mayo")</f>
        <v>Mayo</v>
      </c>
      <c r="J68" s="81" t="str">
        <f ca="1">IFERROR(__xludf.DUMMYFUNCTION("""COMPUTED_VALUE"""),"AM")</f>
        <v>AM</v>
      </c>
      <c r="K68" s="80">
        <f ca="1">IFERROR(__xludf.DUMMYFUNCTION("""COMPUTED_VALUE"""),2)</f>
        <v>2</v>
      </c>
      <c r="L68" s="81" t="str">
        <f ca="1">IFERROR(__xludf.DUMMYFUNCTION("""COMPUTED_VALUE"""),"TRIMESTRE 2")</f>
        <v>TRIMESTRE 2</v>
      </c>
      <c r="M68" s="81" t="str">
        <f ca="1">IFERROR(__xludf.DUMMYFUNCTION("""COMPUTED_VALUE"""),"ADOLESCENTES MUJERES")</f>
        <v>ADOLESCENTES MUJERES</v>
      </c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  <row r="69" spans="1:26">
      <c r="A69" s="81" t="str">
        <f ca="1">IFERROR(__xludf.DUMMYFUNCTION("""COMPUTED_VALUE"""),"6.1.1.0")</f>
        <v>6.1.1.0</v>
      </c>
      <c r="B69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69" s="81" t="str">
        <f ca="1">IFERROR(__xludf.DUMMYFUNCTION("""COMPUTED_VALUE"""),"5. Inclusión")</f>
        <v>5. Inclusión</v>
      </c>
      <c r="D69" s="81" t="str">
        <f ca="1">IFERROR(__xludf.DUMMYFUNCTION("""COMPUTED_VALUE"""),"Guadalajara sin Barreras")</f>
        <v>Guadalajara sin Barreras</v>
      </c>
      <c r="E69" s="81" t="str">
        <f ca="1">IFERROR(__xludf.DUMMYFUNCTION("""COMPUTED_VALUE"""),"Atención Integral para una Vida Digna con Discapacidad")</f>
        <v>Atención Integral para una Vida Digna con Discapacidad</v>
      </c>
      <c r="F69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69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69" s="81" t="str">
        <f ca="1">IFERROR(__xludf.DUMMYFUNCTION("""COMPUTED_VALUE"""),"AH MAYO")</f>
        <v>AH MAYO</v>
      </c>
      <c r="I69" s="81" t="str">
        <f ca="1">IFERROR(__xludf.DUMMYFUNCTION("""COMPUTED_VALUE"""),"Mayo")</f>
        <v>Mayo</v>
      </c>
      <c r="J69" s="81" t="str">
        <f ca="1">IFERROR(__xludf.DUMMYFUNCTION("""COMPUTED_VALUE"""),"AH")</f>
        <v>AH</v>
      </c>
      <c r="K69" s="80">
        <f ca="1">IFERROR(__xludf.DUMMYFUNCTION("""COMPUTED_VALUE"""),2)</f>
        <v>2</v>
      </c>
      <c r="L69" s="81" t="str">
        <f ca="1">IFERROR(__xludf.DUMMYFUNCTION("""COMPUTED_VALUE"""),"TRIMESTRE 2")</f>
        <v>TRIMESTRE 2</v>
      </c>
      <c r="M69" s="81" t="str">
        <f ca="1">IFERROR(__xludf.DUMMYFUNCTION("""COMPUTED_VALUE"""),"ADOLESCENTES HOMBRES")</f>
        <v>ADOLESCENTES HOMBRES</v>
      </c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</row>
    <row r="70" spans="1:26">
      <c r="A70" s="81" t="str">
        <f ca="1">IFERROR(__xludf.DUMMYFUNCTION("""COMPUTED_VALUE"""),"6.1.1.0")</f>
        <v>6.1.1.0</v>
      </c>
      <c r="B70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0" s="81" t="str">
        <f ca="1">IFERROR(__xludf.DUMMYFUNCTION("""COMPUTED_VALUE"""),"5. Inclusión")</f>
        <v>5. Inclusión</v>
      </c>
      <c r="D70" s="81" t="str">
        <f ca="1">IFERROR(__xludf.DUMMYFUNCTION("""COMPUTED_VALUE"""),"Guadalajara sin Barreras")</f>
        <v>Guadalajara sin Barreras</v>
      </c>
      <c r="E70" s="81" t="str">
        <f ca="1">IFERROR(__xludf.DUMMYFUNCTION("""COMPUTED_VALUE"""),"Atención Integral para una Vida Digna con Discapacidad")</f>
        <v>Atención Integral para una Vida Digna con Discapacidad</v>
      </c>
      <c r="F70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70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70" s="81" t="str">
        <f ca="1">IFERROR(__xludf.DUMMYFUNCTION("""COMPUTED_VALUE"""),"MUJ Mayo")</f>
        <v>MUJ Mayo</v>
      </c>
      <c r="I70" s="81" t="str">
        <f ca="1">IFERROR(__xludf.DUMMYFUNCTION("""COMPUTED_VALUE"""),"Mayo")</f>
        <v>Mayo</v>
      </c>
      <c r="J70" s="81" t="str">
        <f ca="1">IFERROR(__xludf.DUMMYFUNCTION("""COMPUTED_VALUE"""),"MUJ")</f>
        <v>MUJ</v>
      </c>
      <c r="K70" s="80">
        <f ca="1">IFERROR(__xludf.DUMMYFUNCTION("""COMPUTED_VALUE"""),40)</f>
        <v>40</v>
      </c>
      <c r="L70" s="81" t="str">
        <f ca="1">IFERROR(__xludf.DUMMYFUNCTION("""COMPUTED_VALUE"""),"TRIMESTRE 2")</f>
        <v>TRIMESTRE 2</v>
      </c>
      <c r="M70" s="81" t="str">
        <f ca="1">IFERROR(__xludf.DUMMYFUNCTION("""COMPUTED_VALUE"""),"MUJERES ADULTAS")</f>
        <v>MUJERES ADULTAS</v>
      </c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</row>
    <row r="71" spans="1:26">
      <c r="A71" s="81" t="str">
        <f ca="1">IFERROR(__xludf.DUMMYFUNCTION("""COMPUTED_VALUE"""),"6.1.1.0")</f>
        <v>6.1.1.0</v>
      </c>
      <c r="B71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1" s="81" t="str">
        <f ca="1">IFERROR(__xludf.DUMMYFUNCTION("""COMPUTED_VALUE"""),"5. Inclusión")</f>
        <v>5. Inclusión</v>
      </c>
      <c r="D71" s="81" t="str">
        <f ca="1">IFERROR(__xludf.DUMMYFUNCTION("""COMPUTED_VALUE"""),"Guadalajara sin Barreras")</f>
        <v>Guadalajara sin Barreras</v>
      </c>
      <c r="E71" s="81" t="str">
        <f ca="1">IFERROR(__xludf.DUMMYFUNCTION("""COMPUTED_VALUE"""),"Atención Integral para una Vida Digna con Discapacidad")</f>
        <v>Atención Integral para una Vida Digna con Discapacidad</v>
      </c>
      <c r="F71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71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71" s="81" t="str">
        <f ca="1">IFERROR(__xludf.DUMMYFUNCTION("""COMPUTED_VALUE"""),"HOM Mayo")</f>
        <v>HOM Mayo</v>
      </c>
      <c r="I71" s="81" t="str">
        <f ca="1">IFERROR(__xludf.DUMMYFUNCTION("""COMPUTED_VALUE"""),"Mayo")</f>
        <v>Mayo</v>
      </c>
      <c r="J71" s="81" t="str">
        <f ca="1">IFERROR(__xludf.DUMMYFUNCTION("""COMPUTED_VALUE"""),"HOM")</f>
        <v>HOM</v>
      </c>
      <c r="K71" s="80">
        <f ca="1">IFERROR(__xludf.DUMMYFUNCTION("""COMPUTED_VALUE"""),54)</f>
        <v>54</v>
      </c>
      <c r="L71" s="81" t="str">
        <f ca="1">IFERROR(__xludf.DUMMYFUNCTION("""COMPUTED_VALUE"""),"TRIMESTRE 2")</f>
        <v>TRIMESTRE 2</v>
      </c>
      <c r="M71" s="81" t="str">
        <f ca="1">IFERROR(__xludf.DUMMYFUNCTION("""COMPUTED_VALUE"""),"HOMBRES ADULTOS")</f>
        <v>HOMBRES ADULTOS</v>
      </c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</row>
    <row r="72" spans="1:26">
      <c r="A72" s="81" t="str">
        <f ca="1">IFERROR(__xludf.DUMMYFUNCTION("""COMPUTED_VALUE"""),"6.1.1.0")</f>
        <v>6.1.1.0</v>
      </c>
      <c r="B72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2" s="81" t="str">
        <f ca="1">IFERROR(__xludf.DUMMYFUNCTION("""COMPUTED_VALUE"""),"5. Inclusión")</f>
        <v>5. Inclusión</v>
      </c>
      <c r="D72" s="81" t="str">
        <f ca="1">IFERROR(__xludf.DUMMYFUNCTION("""COMPUTED_VALUE"""),"Guadalajara sin Barreras")</f>
        <v>Guadalajara sin Barreras</v>
      </c>
      <c r="E72" s="81" t="str">
        <f ca="1">IFERROR(__xludf.DUMMYFUNCTION("""COMPUTED_VALUE"""),"Atención Integral para una Vida Digna con Discapacidad")</f>
        <v>Atención Integral para una Vida Digna con Discapacidad</v>
      </c>
      <c r="F72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72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72" s="81" t="str">
        <f ca="1">IFERROR(__xludf.DUMMYFUNCTION("""COMPUTED_VALUE"""),"AMM Mayo")</f>
        <v>AMM Mayo</v>
      </c>
      <c r="I72" s="81" t="str">
        <f ca="1">IFERROR(__xludf.DUMMYFUNCTION("""COMPUTED_VALUE"""),"Mayo")</f>
        <v>Mayo</v>
      </c>
      <c r="J72" s="81" t="str">
        <f ca="1">IFERROR(__xludf.DUMMYFUNCTION("""COMPUTED_VALUE"""),"AMM")</f>
        <v>AMM</v>
      </c>
      <c r="K72" s="80">
        <f ca="1">IFERROR(__xludf.DUMMYFUNCTION("""COMPUTED_VALUE"""),21)</f>
        <v>21</v>
      </c>
      <c r="L72" s="81" t="str">
        <f ca="1">IFERROR(__xludf.DUMMYFUNCTION("""COMPUTED_VALUE"""),"TRIMESTRE 2")</f>
        <v>TRIMESTRE 2</v>
      </c>
      <c r="M72" s="81" t="str">
        <f ca="1">IFERROR(__xludf.DUMMYFUNCTION("""COMPUTED_VALUE"""),"ADULTA MAYOR MUJER")</f>
        <v>ADULTA MAYOR MUJER</v>
      </c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</row>
    <row r="73" spans="1:26">
      <c r="A73" s="81" t="str">
        <f ca="1">IFERROR(__xludf.DUMMYFUNCTION("""COMPUTED_VALUE"""),"6.1.1.0")</f>
        <v>6.1.1.0</v>
      </c>
      <c r="B73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3" s="81" t="str">
        <f ca="1">IFERROR(__xludf.DUMMYFUNCTION("""COMPUTED_VALUE"""),"5. Inclusión")</f>
        <v>5. Inclusión</v>
      </c>
      <c r="D73" s="81" t="str">
        <f ca="1">IFERROR(__xludf.DUMMYFUNCTION("""COMPUTED_VALUE"""),"Guadalajara sin Barreras")</f>
        <v>Guadalajara sin Barreras</v>
      </c>
      <c r="E73" s="81" t="str">
        <f ca="1">IFERROR(__xludf.DUMMYFUNCTION("""COMPUTED_VALUE"""),"Atención Integral para una Vida Digna con Discapacidad")</f>
        <v>Atención Integral para una Vida Digna con Discapacidad</v>
      </c>
      <c r="F73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73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73" s="81" t="str">
        <f ca="1">IFERROR(__xludf.DUMMYFUNCTION("""COMPUTED_VALUE"""),"AMH Mayo")</f>
        <v>AMH Mayo</v>
      </c>
      <c r="I73" s="81" t="str">
        <f ca="1">IFERROR(__xludf.DUMMYFUNCTION("""COMPUTED_VALUE"""),"Mayo")</f>
        <v>Mayo</v>
      </c>
      <c r="J73" s="81" t="str">
        <f ca="1">IFERROR(__xludf.DUMMYFUNCTION("""COMPUTED_VALUE"""),"AMH")</f>
        <v>AMH</v>
      </c>
      <c r="K73" s="80">
        <f ca="1">IFERROR(__xludf.DUMMYFUNCTION("""COMPUTED_VALUE"""),5)</f>
        <v>5</v>
      </c>
      <c r="L73" s="81" t="str">
        <f ca="1">IFERROR(__xludf.DUMMYFUNCTION("""COMPUTED_VALUE"""),"TRIMESTRE 2")</f>
        <v>TRIMESTRE 2</v>
      </c>
      <c r="M73" s="81" t="str">
        <f ca="1">IFERROR(__xludf.DUMMYFUNCTION("""COMPUTED_VALUE"""),"ADULTO MAYOR HOMBRE")</f>
        <v>ADULTO MAYOR HOMBRE</v>
      </c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</row>
    <row r="74" spans="1:26">
      <c r="A74" s="79" t="str">
        <f ca="1">IFERROR(__xludf.DUMMYFUNCTION("""COMPUTED_VALUE"""),"6.1.1.1")</f>
        <v>6.1.1.1</v>
      </c>
      <c r="B74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4" s="79" t="str">
        <f ca="1">IFERROR(__xludf.DUMMYFUNCTION("""COMPUTED_VALUE"""),"5. Inclusión")</f>
        <v>5. Inclusión</v>
      </c>
      <c r="D74" s="79" t="str">
        <f ca="1">IFERROR(__xludf.DUMMYFUNCTION("""COMPUTED_VALUE"""),"Guadalajara sin Barreras")</f>
        <v>Guadalajara sin Barreras</v>
      </c>
      <c r="E74" s="79" t="str">
        <f ca="1">IFERROR(__xludf.DUMMYFUNCTION("""COMPUTED_VALUE"""),"Atención Integral para una Vida Digna con Discapacidad")</f>
        <v>Atención Integral para una Vida Digna con Discapacidad</v>
      </c>
      <c r="F74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74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74" s="79" t="str">
        <f ca="1">IFERROR(__xludf.DUMMYFUNCTION("""COMPUTED_VALUE"""),"NAS Mayo")</f>
        <v>NAS Mayo</v>
      </c>
      <c r="I74" s="79" t="str">
        <f ca="1">IFERROR(__xludf.DUMMYFUNCTION("""COMPUTED_VALUE"""),"Mayo")</f>
        <v>Mayo</v>
      </c>
      <c r="J74" s="79" t="str">
        <f ca="1">IFERROR(__xludf.DUMMYFUNCTION("""COMPUTED_VALUE"""),"NAS")</f>
        <v>NAS</v>
      </c>
      <c r="K74" s="80">
        <f ca="1">IFERROR(__xludf.DUMMYFUNCTION("""COMPUTED_VALUE"""),0)</f>
        <v>0</v>
      </c>
      <c r="L74" s="79" t="str">
        <f ca="1">IFERROR(__xludf.DUMMYFUNCTION("""COMPUTED_VALUE"""),"TRIMESTRE 2")</f>
        <v>TRIMESTRE 2</v>
      </c>
      <c r="M74" s="79" t="str">
        <f ca="1">IFERROR(__xludf.DUMMYFUNCTION("""COMPUTED_VALUE"""),"NIÑAS")</f>
        <v>NIÑAS</v>
      </c>
    </row>
    <row r="75" spans="1:26">
      <c r="A75" s="79" t="str">
        <f ca="1">IFERROR(__xludf.DUMMYFUNCTION("""COMPUTED_VALUE"""),"6.1.1.1")</f>
        <v>6.1.1.1</v>
      </c>
      <c r="B75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5" s="79" t="str">
        <f ca="1">IFERROR(__xludf.DUMMYFUNCTION("""COMPUTED_VALUE"""),"5. Inclusión")</f>
        <v>5. Inclusión</v>
      </c>
      <c r="D75" s="79" t="str">
        <f ca="1">IFERROR(__xludf.DUMMYFUNCTION("""COMPUTED_VALUE"""),"Guadalajara sin Barreras")</f>
        <v>Guadalajara sin Barreras</v>
      </c>
      <c r="E75" s="79" t="str">
        <f ca="1">IFERROR(__xludf.DUMMYFUNCTION("""COMPUTED_VALUE"""),"Atención Integral para una Vida Digna con Discapacidad")</f>
        <v>Atención Integral para una Vida Digna con Discapacidad</v>
      </c>
      <c r="F75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75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75" s="79" t="str">
        <f ca="1">IFERROR(__xludf.DUMMYFUNCTION("""COMPUTED_VALUE"""),"NOS Mayo")</f>
        <v>NOS Mayo</v>
      </c>
      <c r="I75" s="79" t="str">
        <f ca="1">IFERROR(__xludf.DUMMYFUNCTION("""COMPUTED_VALUE"""),"Mayo")</f>
        <v>Mayo</v>
      </c>
      <c r="J75" s="79" t="str">
        <f ca="1">IFERROR(__xludf.DUMMYFUNCTION("""COMPUTED_VALUE"""),"NOS")</f>
        <v>NOS</v>
      </c>
      <c r="K75" s="80">
        <f ca="1">IFERROR(__xludf.DUMMYFUNCTION("""COMPUTED_VALUE"""),0)</f>
        <v>0</v>
      </c>
      <c r="L75" s="79" t="str">
        <f ca="1">IFERROR(__xludf.DUMMYFUNCTION("""COMPUTED_VALUE"""),"TRIMESTRE 2")</f>
        <v>TRIMESTRE 2</v>
      </c>
      <c r="M75" s="79" t="str">
        <f ca="1">IFERROR(__xludf.DUMMYFUNCTION("""COMPUTED_VALUE"""),"NIÑOS")</f>
        <v>NIÑOS</v>
      </c>
    </row>
    <row r="76" spans="1:26">
      <c r="A76" s="79" t="str">
        <f ca="1">IFERROR(__xludf.DUMMYFUNCTION("""COMPUTED_VALUE"""),"6.1.1.1")</f>
        <v>6.1.1.1</v>
      </c>
      <c r="B76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6" s="79" t="str">
        <f ca="1">IFERROR(__xludf.DUMMYFUNCTION("""COMPUTED_VALUE"""),"5. Inclusión")</f>
        <v>5. Inclusión</v>
      </c>
      <c r="D76" s="79" t="str">
        <f ca="1">IFERROR(__xludf.DUMMYFUNCTION("""COMPUTED_VALUE"""),"Guadalajara sin Barreras")</f>
        <v>Guadalajara sin Barreras</v>
      </c>
      <c r="E76" s="79" t="str">
        <f ca="1">IFERROR(__xludf.DUMMYFUNCTION("""COMPUTED_VALUE"""),"Atención Integral para una Vida Digna con Discapacidad")</f>
        <v>Atención Integral para una Vida Digna con Discapacidad</v>
      </c>
      <c r="F76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76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76" s="79" t="str">
        <f ca="1">IFERROR(__xludf.DUMMYFUNCTION("""COMPUTED_VALUE"""),"AM MAYO")</f>
        <v>AM MAYO</v>
      </c>
      <c r="I76" s="79" t="str">
        <f ca="1">IFERROR(__xludf.DUMMYFUNCTION("""COMPUTED_VALUE"""),"Mayo")</f>
        <v>Mayo</v>
      </c>
      <c r="J76" s="79" t="str">
        <f ca="1">IFERROR(__xludf.DUMMYFUNCTION("""COMPUTED_VALUE"""),"AM")</f>
        <v>AM</v>
      </c>
      <c r="K76" s="80">
        <f ca="1">IFERROR(__xludf.DUMMYFUNCTION("""COMPUTED_VALUE"""),1)</f>
        <v>1</v>
      </c>
      <c r="L76" s="79" t="str">
        <f ca="1">IFERROR(__xludf.DUMMYFUNCTION("""COMPUTED_VALUE"""),"TRIMESTRE 2")</f>
        <v>TRIMESTRE 2</v>
      </c>
      <c r="M76" s="79" t="str">
        <f ca="1">IFERROR(__xludf.DUMMYFUNCTION("""COMPUTED_VALUE"""),"ADOLESCENTES MUJERES")</f>
        <v>ADOLESCENTES MUJERES</v>
      </c>
    </row>
    <row r="77" spans="1:26">
      <c r="A77" s="79" t="str">
        <f ca="1">IFERROR(__xludf.DUMMYFUNCTION("""COMPUTED_VALUE"""),"6.1.1.1")</f>
        <v>6.1.1.1</v>
      </c>
      <c r="B77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7" s="79" t="str">
        <f ca="1">IFERROR(__xludf.DUMMYFUNCTION("""COMPUTED_VALUE"""),"5. Inclusión")</f>
        <v>5. Inclusión</v>
      </c>
      <c r="D77" s="79" t="str">
        <f ca="1">IFERROR(__xludf.DUMMYFUNCTION("""COMPUTED_VALUE"""),"Guadalajara sin Barreras")</f>
        <v>Guadalajara sin Barreras</v>
      </c>
      <c r="E77" s="79" t="str">
        <f ca="1">IFERROR(__xludf.DUMMYFUNCTION("""COMPUTED_VALUE"""),"Atención Integral para una Vida Digna con Discapacidad")</f>
        <v>Atención Integral para una Vida Digna con Discapacidad</v>
      </c>
      <c r="F77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77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77" s="79" t="str">
        <f ca="1">IFERROR(__xludf.DUMMYFUNCTION("""COMPUTED_VALUE"""),"AH MAYO")</f>
        <v>AH MAYO</v>
      </c>
      <c r="I77" s="79" t="str">
        <f ca="1">IFERROR(__xludf.DUMMYFUNCTION("""COMPUTED_VALUE"""),"Mayo")</f>
        <v>Mayo</v>
      </c>
      <c r="J77" s="79" t="str">
        <f ca="1">IFERROR(__xludf.DUMMYFUNCTION("""COMPUTED_VALUE"""),"AH")</f>
        <v>AH</v>
      </c>
      <c r="K77" s="80">
        <f ca="1">IFERROR(__xludf.DUMMYFUNCTION("""COMPUTED_VALUE"""),1)</f>
        <v>1</v>
      </c>
      <c r="L77" s="79" t="str">
        <f ca="1">IFERROR(__xludf.DUMMYFUNCTION("""COMPUTED_VALUE"""),"TRIMESTRE 2")</f>
        <v>TRIMESTRE 2</v>
      </c>
      <c r="M77" s="79" t="str">
        <f ca="1">IFERROR(__xludf.DUMMYFUNCTION("""COMPUTED_VALUE"""),"ADOLESCENTES HOMBRES")</f>
        <v>ADOLESCENTES HOMBRES</v>
      </c>
    </row>
    <row r="78" spans="1:26">
      <c r="A78" s="79" t="str">
        <f ca="1">IFERROR(__xludf.DUMMYFUNCTION("""COMPUTED_VALUE"""),"6.1.1.1")</f>
        <v>6.1.1.1</v>
      </c>
      <c r="B78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8" s="79" t="str">
        <f ca="1">IFERROR(__xludf.DUMMYFUNCTION("""COMPUTED_VALUE"""),"5. Inclusión")</f>
        <v>5. Inclusión</v>
      </c>
      <c r="D78" s="79" t="str">
        <f ca="1">IFERROR(__xludf.DUMMYFUNCTION("""COMPUTED_VALUE"""),"Guadalajara sin Barreras")</f>
        <v>Guadalajara sin Barreras</v>
      </c>
      <c r="E78" s="79" t="str">
        <f ca="1">IFERROR(__xludf.DUMMYFUNCTION("""COMPUTED_VALUE"""),"Atención Integral para una Vida Digna con Discapacidad")</f>
        <v>Atención Integral para una Vida Digna con Discapacidad</v>
      </c>
      <c r="F78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78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78" s="79" t="str">
        <f ca="1">IFERROR(__xludf.DUMMYFUNCTION("""COMPUTED_VALUE"""),"MUJ Mayo")</f>
        <v>MUJ Mayo</v>
      </c>
      <c r="I78" s="79" t="str">
        <f ca="1">IFERROR(__xludf.DUMMYFUNCTION("""COMPUTED_VALUE"""),"Mayo")</f>
        <v>Mayo</v>
      </c>
      <c r="J78" s="79" t="str">
        <f ca="1">IFERROR(__xludf.DUMMYFUNCTION("""COMPUTED_VALUE"""),"MUJ")</f>
        <v>MUJ</v>
      </c>
      <c r="K78" s="80">
        <f ca="1">IFERROR(__xludf.DUMMYFUNCTION("""COMPUTED_VALUE"""),25)</f>
        <v>25</v>
      </c>
      <c r="L78" s="79" t="str">
        <f ca="1">IFERROR(__xludf.DUMMYFUNCTION("""COMPUTED_VALUE"""),"TRIMESTRE 2")</f>
        <v>TRIMESTRE 2</v>
      </c>
      <c r="M78" s="79" t="str">
        <f ca="1">IFERROR(__xludf.DUMMYFUNCTION("""COMPUTED_VALUE"""),"MUJERES ADULTAS")</f>
        <v>MUJERES ADULTAS</v>
      </c>
    </row>
    <row r="79" spans="1:26">
      <c r="A79" s="79" t="str">
        <f ca="1">IFERROR(__xludf.DUMMYFUNCTION("""COMPUTED_VALUE"""),"6.1.1.1")</f>
        <v>6.1.1.1</v>
      </c>
      <c r="B79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79" s="79" t="str">
        <f ca="1">IFERROR(__xludf.DUMMYFUNCTION("""COMPUTED_VALUE"""),"5. Inclusión")</f>
        <v>5. Inclusión</v>
      </c>
      <c r="D79" s="79" t="str">
        <f ca="1">IFERROR(__xludf.DUMMYFUNCTION("""COMPUTED_VALUE"""),"Guadalajara sin Barreras")</f>
        <v>Guadalajara sin Barreras</v>
      </c>
      <c r="E79" s="79" t="str">
        <f ca="1">IFERROR(__xludf.DUMMYFUNCTION("""COMPUTED_VALUE"""),"Atención Integral para una Vida Digna con Discapacidad")</f>
        <v>Atención Integral para una Vida Digna con Discapacidad</v>
      </c>
      <c r="F79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79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79" s="79" t="str">
        <f ca="1">IFERROR(__xludf.DUMMYFUNCTION("""COMPUTED_VALUE"""),"HOM Mayo")</f>
        <v>HOM Mayo</v>
      </c>
      <c r="I79" s="79" t="str">
        <f ca="1">IFERROR(__xludf.DUMMYFUNCTION("""COMPUTED_VALUE"""),"Mayo")</f>
        <v>Mayo</v>
      </c>
      <c r="J79" s="79" t="str">
        <f ca="1">IFERROR(__xludf.DUMMYFUNCTION("""COMPUTED_VALUE"""),"HOM")</f>
        <v>HOM</v>
      </c>
      <c r="K79" s="80">
        <f ca="1">IFERROR(__xludf.DUMMYFUNCTION("""COMPUTED_VALUE"""),19)</f>
        <v>19</v>
      </c>
      <c r="L79" s="79" t="str">
        <f ca="1">IFERROR(__xludf.DUMMYFUNCTION("""COMPUTED_VALUE"""),"TRIMESTRE 2")</f>
        <v>TRIMESTRE 2</v>
      </c>
      <c r="M79" s="79" t="str">
        <f ca="1">IFERROR(__xludf.DUMMYFUNCTION("""COMPUTED_VALUE"""),"HOMBRES ADULTOS")</f>
        <v>HOMBRES ADULTOS</v>
      </c>
    </row>
    <row r="80" spans="1:26">
      <c r="A80" s="79" t="str">
        <f ca="1">IFERROR(__xludf.DUMMYFUNCTION("""COMPUTED_VALUE"""),"6.1.1.1")</f>
        <v>6.1.1.1</v>
      </c>
      <c r="B80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0" s="79" t="str">
        <f ca="1">IFERROR(__xludf.DUMMYFUNCTION("""COMPUTED_VALUE"""),"5. Inclusión")</f>
        <v>5. Inclusión</v>
      </c>
      <c r="D80" s="79" t="str">
        <f ca="1">IFERROR(__xludf.DUMMYFUNCTION("""COMPUTED_VALUE"""),"Guadalajara sin Barreras")</f>
        <v>Guadalajara sin Barreras</v>
      </c>
      <c r="E80" s="79" t="str">
        <f ca="1">IFERROR(__xludf.DUMMYFUNCTION("""COMPUTED_VALUE"""),"Atención Integral para una Vida Digna con Discapacidad")</f>
        <v>Atención Integral para una Vida Digna con Discapacidad</v>
      </c>
      <c r="F80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80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80" s="79" t="str">
        <f ca="1">IFERROR(__xludf.DUMMYFUNCTION("""COMPUTED_VALUE"""),"AMM Mayo")</f>
        <v>AMM Mayo</v>
      </c>
      <c r="I80" s="79" t="str">
        <f ca="1">IFERROR(__xludf.DUMMYFUNCTION("""COMPUTED_VALUE"""),"Mayo")</f>
        <v>Mayo</v>
      </c>
      <c r="J80" s="79" t="str">
        <f ca="1">IFERROR(__xludf.DUMMYFUNCTION("""COMPUTED_VALUE"""),"AMM")</f>
        <v>AMM</v>
      </c>
      <c r="K80" s="80">
        <f ca="1">IFERROR(__xludf.DUMMYFUNCTION("""COMPUTED_VALUE"""),28)</f>
        <v>28</v>
      </c>
      <c r="L80" s="79" t="str">
        <f ca="1">IFERROR(__xludf.DUMMYFUNCTION("""COMPUTED_VALUE"""),"TRIMESTRE 2")</f>
        <v>TRIMESTRE 2</v>
      </c>
      <c r="M80" s="79" t="str">
        <f ca="1">IFERROR(__xludf.DUMMYFUNCTION("""COMPUTED_VALUE"""),"ADULTA MAYOR MUJER")</f>
        <v>ADULTA MAYOR MUJER</v>
      </c>
    </row>
    <row r="81" spans="1:13">
      <c r="A81" s="79" t="str">
        <f ca="1">IFERROR(__xludf.DUMMYFUNCTION("""COMPUTED_VALUE"""),"6.1.1.1")</f>
        <v>6.1.1.1</v>
      </c>
      <c r="B81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1" s="79" t="str">
        <f ca="1">IFERROR(__xludf.DUMMYFUNCTION("""COMPUTED_VALUE"""),"5. Inclusión")</f>
        <v>5. Inclusión</v>
      </c>
      <c r="D81" s="79" t="str">
        <f ca="1">IFERROR(__xludf.DUMMYFUNCTION("""COMPUTED_VALUE"""),"Guadalajara sin Barreras")</f>
        <v>Guadalajara sin Barreras</v>
      </c>
      <c r="E81" s="79" t="str">
        <f ca="1">IFERROR(__xludf.DUMMYFUNCTION("""COMPUTED_VALUE"""),"Atención Integral para una Vida Digna con Discapacidad")</f>
        <v>Atención Integral para una Vida Digna con Discapacidad</v>
      </c>
      <c r="F81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81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81" s="79" t="str">
        <f ca="1">IFERROR(__xludf.DUMMYFUNCTION("""COMPUTED_VALUE"""),"AMH Mayo")</f>
        <v>AMH Mayo</v>
      </c>
      <c r="I81" s="79" t="str">
        <f ca="1">IFERROR(__xludf.DUMMYFUNCTION("""COMPUTED_VALUE"""),"Mayo")</f>
        <v>Mayo</v>
      </c>
      <c r="J81" s="79" t="str">
        <f ca="1">IFERROR(__xludf.DUMMYFUNCTION("""COMPUTED_VALUE"""),"AMH")</f>
        <v>AMH</v>
      </c>
      <c r="K81" s="80">
        <f ca="1">IFERROR(__xludf.DUMMYFUNCTION("""COMPUTED_VALUE"""),1)</f>
        <v>1</v>
      </c>
      <c r="L81" s="79" t="str">
        <f ca="1">IFERROR(__xludf.DUMMYFUNCTION("""COMPUTED_VALUE"""),"TRIMESTRE 2")</f>
        <v>TRIMESTRE 2</v>
      </c>
      <c r="M81" s="79" t="str">
        <f ca="1">IFERROR(__xludf.DUMMYFUNCTION("""COMPUTED_VALUE"""),"ADULTO MAYOR HOMBRE")</f>
        <v>ADULTO MAYOR HOMBRE</v>
      </c>
    </row>
    <row r="82" spans="1:13">
      <c r="A82" s="79" t="str">
        <f ca="1">IFERROR(__xludf.DUMMYFUNCTION("""COMPUTED_VALUE"""),"6.1.1.0")</f>
        <v>6.1.1.0</v>
      </c>
      <c r="B82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2" s="79" t="str">
        <f ca="1">IFERROR(__xludf.DUMMYFUNCTION("""COMPUTED_VALUE"""),"5. Inclusión")</f>
        <v>5. Inclusión</v>
      </c>
      <c r="D82" s="79" t="str">
        <f ca="1">IFERROR(__xludf.DUMMYFUNCTION("""COMPUTED_VALUE"""),"Guadalajara sin Barreras")</f>
        <v>Guadalajara sin Barreras</v>
      </c>
      <c r="E82" s="79" t="str">
        <f ca="1">IFERROR(__xludf.DUMMYFUNCTION("""COMPUTED_VALUE"""),"Atención Integral para una Vida Digna con Discapacidad")</f>
        <v>Atención Integral para una Vida Digna con Discapacidad</v>
      </c>
      <c r="F82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2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2" s="79" t="str">
        <f ca="1">IFERROR(__xludf.DUMMYFUNCTION("""COMPUTED_VALUE"""),"NAS Junio")</f>
        <v>NAS Junio</v>
      </c>
      <c r="I82" s="79" t="str">
        <f ca="1">IFERROR(__xludf.DUMMYFUNCTION("""COMPUTED_VALUE"""),"Junio")</f>
        <v>Junio</v>
      </c>
      <c r="J82" s="79" t="str">
        <f ca="1">IFERROR(__xludf.DUMMYFUNCTION("""COMPUTED_VALUE"""),"NAS")</f>
        <v>NAS</v>
      </c>
      <c r="K82" s="80">
        <f ca="1">IFERROR(__xludf.DUMMYFUNCTION("""COMPUTED_VALUE"""),1)</f>
        <v>1</v>
      </c>
      <c r="L82" s="79" t="str">
        <f ca="1">IFERROR(__xludf.DUMMYFUNCTION("""COMPUTED_VALUE"""),"TRIMESTRE 2")</f>
        <v>TRIMESTRE 2</v>
      </c>
      <c r="M82" s="79" t="str">
        <f ca="1">IFERROR(__xludf.DUMMYFUNCTION("""COMPUTED_VALUE"""),"NIÑAS")</f>
        <v>NIÑAS</v>
      </c>
    </row>
    <row r="83" spans="1:13">
      <c r="A83" s="79" t="str">
        <f ca="1">IFERROR(__xludf.DUMMYFUNCTION("""COMPUTED_VALUE"""),"6.1.1.0")</f>
        <v>6.1.1.0</v>
      </c>
      <c r="B83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3" s="79" t="str">
        <f ca="1">IFERROR(__xludf.DUMMYFUNCTION("""COMPUTED_VALUE"""),"5. Inclusión")</f>
        <v>5. Inclusión</v>
      </c>
      <c r="D83" s="79" t="str">
        <f ca="1">IFERROR(__xludf.DUMMYFUNCTION("""COMPUTED_VALUE"""),"Guadalajara sin Barreras")</f>
        <v>Guadalajara sin Barreras</v>
      </c>
      <c r="E83" s="79" t="str">
        <f ca="1">IFERROR(__xludf.DUMMYFUNCTION("""COMPUTED_VALUE"""),"Atención Integral para una Vida Digna con Discapacidad")</f>
        <v>Atención Integral para una Vida Digna con Discapacidad</v>
      </c>
      <c r="F83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3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3" s="79" t="str">
        <f ca="1">IFERROR(__xludf.DUMMYFUNCTION("""COMPUTED_VALUE"""),"NOS Junio")</f>
        <v>NOS Junio</v>
      </c>
      <c r="I83" s="79" t="str">
        <f ca="1">IFERROR(__xludf.DUMMYFUNCTION("""COMPUTED_VALUE"""),"Junio")</f>
        <v>Junio</v>
      </c>
      <c r="J83" s="79" t="str">
        <f ca="1">IFERROR(__xludf.DUMMYFUNCTION("""COMPUTED_VALUE"""),"NOS")</f>
        <v>NOS</v>
      </c>
      <c r="K83" s="80">
        <f ca="1">IFERROR(__xludf.DUMMYFUNCTION("""COMPUTED_VALUE"""),5)</f>
        <v>5</v>
      </c>
      <c r="L83" s="79" t="str">
        <f ca="1">IFERROR(__xludf.DUMMYFUNCTION("""COMPUTED_VALUE"""),"TRIMESTRE 2")</f>
        <v>TRIMESTRE 2</v>
      </c>
      <c r="M83" s="79" t="str">
        <f ca="1">IFERROR(__xludf.DUMMYFUNCTION("""COMPUTED_VALUE"""),"NIÑOS")</f>
        <v>NIÑOS</v>
      </c>
    </row>
    <row r="84" spans="1:13">
      <c r="A84" s="79" t="str">
        <f ca="1">IFERROR(__xludf.DUMMYFUNCTION("""COMPUTED_VALUE"""),"6.1.1.0")</f>
        <v>6.1.1.0</v>
      </c>
      <c r="B84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4" s="79" t="str">
        <f ca="1">IFERROR(__xludf.DUMMYFUNCTION("""COMPUTED_VALUE"""),"5. Inclusión")</f>
        <v>5. Inclusión</v>
      </c>
      <c r="D84" s="79" t="str">
        <f ca="1">IFERROR(__xludf.DUMMYFUNCTION("""COMPUTED_VALUE"""),"Guadalajara sin Barreras")</f>
        <v>Guadalajara sin Barreras</v>
      </c>
      <c r="E84" s="79" t="str">
        <f ca="1">IFERROR(__xludf.DUMMYFUNCTION("""COMPUTED_VALUE"""),"Atención Integral para una Vida Digna con Discapacidad")</f>
        <v>Atención Integral para una Vida Digna con Discapacidad</v>
      </c>
      <c r="F84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4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4" s="79" t="str">
        <f ca="1">IFERROR(__xludf.DUMMYFUNCTION("""COMPUTED_VALUE"""),"AM JUNIO")</f>
        <v>AM JUNIO</v>
      </c>
      <c r="I84" s="79" t="str">
        <f ca="1">IFERROR(__xludf.DUMMYFUNCTION("""COMPUTED_VALUE"""),"Junio")</f>
        <v>Junio</v>
      </c>
      <c r="J84" s="79" t="str">
        <f ca="1">IFERROR(__xludf.DUMMYFUNCTION("""COMPUTED_VALUE"""),"AM")</f>
        <v>AM</v>
      </c>
      <c r="K84" s="80">
        <f ca="1">IFERROR(__xludf.DUMMYFUNCTION("""COMPUTED_VALUE"""),1)</f>
        <v>1</v>
      </c>
      <c r="L84" s="79" t="str">
        <f ca="1">IFERROR(__xludf.DUMMYFUNCTION("""COMPUTED_VALUE"""),"TRIMESTRE 2")</f>
        <v>TRIMESTRE 2</v>
      </c>
      <c r="M84" s="79" t="str">
        <f ca="1">IFERROR(__xludf.DUMMYFUNCTION("""COMPUTED_VALUE"""),"ADOLESCENTES MUJERES")</f>
        <v>ADOLESCENTES MUJERES</v>
      </c>
    </row>
    <row r="85" spans="1:13">
      <c r="A85" s="79" t="str">
        <f ca="1">IFERROR(__xludf.DUMMYFUNCTION("""COMPUTED_VALUE"""),"6.1.1.0")</f>
        <v>6.1.1.0</v>
      </c>
      <c r="B85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5" s="79" t="str">
        <f ca="1">IFERROR(__xludf.DUMMYFUNCTION("""COMPUTED_VALUE"""),"5. Inclusión")</f>
        <v>5. Inclusión</v>
      </c>
      <c r="D85" s="79" t="str">
        <f ca="1">IFERROR(__xludf.DUMMYFUNCTION("""COMPUTED_VALUE"""),"Guadalajara sin Barreras")</f>
        <v>Guadalajara sin Barreras</v>
      </c>
      <c r="E85" s="79" t="str">
        <f ca="1">IFERROR(__xludf.DUMMYFUNCTION("""COMPUTED_VALUE"""),"Atención Integral para una Vida Digna con Discapacidad")</f>
        <v>Atención Integral para una Vida Digna con Discapacidad</v>
      </c>
      <c r="F85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5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5" s="79" t="str">
        <f ca="1">IFERROR(__xludf.DUMMYFUNCTION("""COMPUTED_VALUE"""),"AH JUNIO")</f>
        <v>AH JUNIO</v>
      </c>
      <c r="I85" s="79" t="str">
        <f ca="1">IFERROR(__xludf.DUMMYFUNCTION("""COMPUTED_VALUE"""),"Junio")</f>
        <v>Junio</v>
      </c>
      <c r="J85" s="79" t="str">
        <f ca="1">IFERROR(__xludf.DUMMYFUNCTION("""COMPUTED_VALUE"""),"AH")</f>
        <v>AH</v>
      </c>
      <c r="K85" s="80">
        <f ca="1">IFERROR(__xludf.DUMMYFUNCTION("""COMPUTED_VALUE"""),2)</f>
        <v>2</v>
      </c>
      <c r="L85" s="79" t="str">
        <f ca="1">IFERROR(__xludf.DUMMYFUNCTION("""COMPUTED_VALUE"""),"TRIMESTRE 2")</f>
        <v>TRIMESTRE 2</v>
      </c>
      <c r="M85" s="79" t="str">
        <f ca="1">IFERROR(__xludf.DUMMYFUNCTION("""COMPUTED_VALUE"""),"ADOLESCENTES HOMBRES")</f>
        <v>ADOLESCENTES HOMBRES</v>
      </c>
    </row>
    <row r="86" spans="1:13">
      <c r="A86" s="79" t="str">
        <f ca="1">IFERROR(__xludf.DUMMYFUNCTION("""COMPUTED_VALUE"""),"6.1.1.0")</f>
        <v>6.1.1.0</v>
      </c>
      <c r="B86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6" s="79" t="str">
        <f ca="1">IFERROR(__xludf.DUMMYFUNCTION("""COMPUTED_VALUE"""),"5. Inclusión")</f>
        <v>5. Inclusión</v>
      </c>
      <c r="D86" s="79" t="str">
        <f ca="1">IFERROR(__xludf.DUMMYFUNCTION("""COMPUTED_VALUE"""),"Guadalajara sin Barreras")</f>
        <v>Guadalajara sin Barreras</v>
      </c>
      <c r="E86" s="79" t="str">
        <f ca="1">IFERROR(__xludf.DUMMYFUNCTION("""COMPUTED_VALUE"""),"Atención Integral para una Vida Digna con Discapacidad")</f>
        <v>Atención Integral para una Vida Digna con Discapacidad</v>
      </c>
      <c r="F86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6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6" s="79" t="str">
        <f ca="1">IFERROR(__xludf.DUMMYFUNCTION("""COMPUTED_VALUE"""),"MUJ Junio")</f>
        <v>MUJ Junio</v>
      </c>
      <c r="I86" s="79" t="str">
        <f ca="1">IFERROR(__xludf.DUMMYFUNCTION("""COMPUTED_VALUE"""),"Junio")</f>
        <v>Junio</v>
      </c>
      <c r="J86" s="79" t="str">
        <f ca="1">IFERROR(__xludf.DUMMYFUNCTION("""COMPUTED_VALUE"""),"MUJ")</f>
        <v>MUJ</v>
      </c>
      <c r="K86" s="80">
        <f ca="1">IFERROR(__xludf.DUMMYFUNCTION("""COMPUTED_VALUE"""),44)</f>
        <v>44</v>
      </c>
      <c r="L86" s="79" t="str">
        <f ca="1">IFERROR(__xludf.DUMMYFUNCTION("""COMPUTED_VALUE"""),"TRIMESTRE 2")</f>
        <v>TRIMESTRE 2</v>
      </c>
      <c r="M86" s="79" t="str">
        <f ca="1">IFERROR(__xludf.DUMMYFUNCTION("""COMPUTED_VALUE"""),"MUJERES ADULTAS")</f>
        <v>MUJERES ADULTAS</v>
      </c>
    </row>
    <row r="87" spans="1:13">
      <c r="A87" s="79" t="str">
        <f ca="1">IFERROR(__xludf.DUMMYFUNCTION("""COMPUTED_VALUE"""),"6.1.1.0")</f>
        <v>6.1.1.0</v>
      </c>
      <c r="B87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7" s="79" t="str">
        <f ca="1">IFERROR(__xludf.DUMMYFUNCTION("""COMPUTED_VALUE"""),"5. Inclusión")</f>
        <v>5. Inclusión</v>
      </c>
      <c r="D87" s="79" t="str">
        <f ca="1">IFERROR(__xludf.DUMMYFUNCTION("""COMPUTED_VALUE"""),"Guadalajara sin Barreras")</f>
        <v>Guadalajara sin Barreras</v>
      </c>
      <c r="E87" s="79" t="str">
        <f ca="1">IFERROR(__xludf.DUMMYFUNCTION("""COMPUTED_VALUE"""),"Atención Integral para una Vida Digna con Discapacidad")</f>
        <v>Atención Integral para una Vida Digna con Discapacidad</v>
      </c>
      <c r="F87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7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7" s="79" t="str">
        <f ca="1">IFERROR(__xludf.DUMMYFUNCTION("""COMPUTED_VALUE"""),"HOM Junio")</f>
        <v>HOM Junio</v>
      </c>
      <c r="I87" s="79" t="str">
        <f ca="1">IFERROR(__xludf.DUMMYFUNCTION("""COMPUTED_VALUE"""),"Junio")</f>
        <v>Junio</v>
      </c>
      <c r="J87" s="79" t="str">
        <f ca="1">IFERROR(__xludf.DUMMYFUNCTION("""COMPUTED_VALUE"""),"HOM")</f>
        <v>HOM</v>
      </c>
      <c r="K87" s="80">
        <f ca="1">IFERROR(__xludf.DUMMYFUNCTION("""COMPUTED_VALUE"""),55)</f>
        <v>55</v>
      </c>
      <c r="L87" s="79" t="str">
        <f ca="1">IFERROR(__xludf.DUMMYFUNCTION("""COMPUTED_VALUE"""),"TRIMESTRE 2")</f>
        <v>TRIMESTRE 2</v>
      </c>
      <c r="M87" s="79" t="str">
        <f ca="1">IFERROR(__xludf.DUMMYFUNCTION("""COMPUTED_VALUE"""),"HOMBRES ADULTOS")</f>
        <v>HOMBRES ADULTOS</v>
      </c>
    </row>
    <row r="88" spans="1:13">
      <c r="A88" s="79" t="str">
        <f ca="1">IFERROR(__xludf.DUMMYFUNCTION("""COMPUTED_VALUE"""),"6.1.1.0")</f>
        <v>6.1.1.0</v>
      </c>
      <c r="B88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8" s="79" t="str">
        <f ca="1">IFERROR(__xludf.DUMMYFUNCTION("""COMPUTED_VALUE"""),"5. Inclusión")</f>
        <v>5. Inclusión</v>
      </c>
      <c r="D88" s="79" t="str">
        <f ca="1">IFERROR(__xludf.DUMMYFUNCTION("""COMPUTED_VALUE"""),"Guadalajara sin Barreras")</f>
        <v>Guadalajara sin Barreras</v>
      </c>
      <c r="E88" s="79" t="str">
        <f ca="1">IFERROR(__xludf.DUMMYFUNCTION("""COMPUTED_VALUE"""),"Atención Integral para una Vida Digna con Discapacidad")</f>
        <v>Atención Integral para una Vida Digna con Discapacidad</v>
      </c>
      <c r="F88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8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8" s="79" t="str">
        <f ca="1">IFERROR(__xludf.DUMMYFUNCTION("""COMPUTED_VALUE"""),"AMM Junio")</f>
        <v>AMM Junio</v>
      </c>
      <c r="I88" s="79" t="str">
        <f ca="1">IFERROR(__xludf.DUMMYFUNCTION("""COMPUTED_VALUE"""),"Junio")</f>
        <v>Junio</v>
      </c>
      <c r="J88" s="79" t="str">
        <f ca="1">IFERROR(__xludf.DUMMYFUNCTION("""COMPUTED_VALUE"""),"AMM")</f>
        <v>AMM</v>
      </c>
      <c r="K88" s="80">
        <f ca="1">IFERROR(__xludf.DUMMYFUNCTION("""COMPUTED_VALUE"""),29)</f>
        <v>29</v>
      </c>
      <c r="L88" s="79" t="str">
        <f ca="1">IFERROR(__xludf.DUMMYFUNCTION("""COMPUTED_VALUE"""),"TRIMESTRE 2")</f>
        <v>TRIMESTRE 2</v>
      </c>
      <c r="M88" s="79" t="str">
        <f ca="1">IFERROR(__xludf.DUMMYFUNCTION("""COMPUTED_VALUE"""),"ADULTA MAYOR MUJER")</f>
        <v>ADULTA MAYOR MUJER</v>
      </c>
    </row>
    <row r="89" spans="1:13">
      <c r="A89" s="79" t="str">
        <f ca="1">IFERROR(__xludf.DUMMYFUNCTION("""COMPUTED_VALUE"""),"6.1.1.0")</f>
        <v>6.1.1.0</v>
      </c>
      <c r="B89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89" s="79" t="str">
        <f ca="1">IFERROR(__xludf.DUMMYFUNCTION("""COMPUTED_VALUE"""),"5. Inclusión")</f>
        <v>5. Inclusión</v>
      </c>
      <c r="D89" s="79" t="str">
        <f ca="1">IFERROR(__xludf.DUMMYFUNCTION("""COMPUTED_VALUE"""),"Guadalajara sin Barreras")</f>
        <v>Guadalajara sin Barreras</v>
      </c>
      <c r="E89" s="79" t="str">
        <f ca="1">IFERROR(__xludf.DUMMYFUNCTION("""COMPUTED_VALUE"""),"Atención Integral para una Vida Digna con Discapacidad")</f>
        <v>Atención Integral para una Vida Digna con Discapacidad</v>
      </c>
      <c r="F89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89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89" s="79" t="str">
        <f ca="1">IFERROR(__xludf.DUMMYFUNCTION("""COMPUTED_VALUE"""),"AMH Junio")</f>
        <v>AMH Junio</v>
      </c>
      <c r="I89" s="79" t="str">
        <f ca="1">IFERROR(__xludf.DUMMYFUNCTION("""COMPUTED_VALUE"""),"Junio")</f>
        <v>Junio</v>
      </c>
      <c r="J89" s="79" t="str">
        <f ca="1">IFERROR(__xludf.DUMMYFUNCTION("""COMPUTED_VALUE"""),"AMH")</f>
        <v>AMH</v>
      </c>
      <c r="K89" s="80">
        <f ca="1">IFERROR(__xludf.DUMMYFUNCTION("""COMPUTED_VALUE"""),4)</f>
        <v>4</v>
      </c>
      <c r="L89" s="79" t="str">
        <f ca="1">IFERROR(__xludf.DUMMYFUNCTION("""COMPUTED_VALUE"""),"TRIMESTRE 2")</f>
        <v>TRIMESTRE 2</v>
      </c>
      <c r="M89" s="79" t="str">
        <f ca="1">IFERROR(__xludf.DUMMYFUNCTION("""COMPUTED_VALUE"""),"ADULTO MAYOR HOMBRE")</f>
        <v>ADULTO MAYOR HOMBRE</v>
      </c>
    </row>
    <row r="90" spans="1:13">
      <c r="A90" s="79" t="str">
        <f ca="1">IFERROR(__xludf.DUMMYFUNCTION("""COMPUTED_VALUE"""),"6.1.1.1")</f>
        <v>6.1.1.1</v>
      </c>
      <c r="B90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0" s="79" t="str">
        <f ca="1">IFERROR(__xludf.DUMMYFUNCTION("""COMPUTED_VALUE"""),"5. Inclusión")</f>
        <v>5. Inclusión</v>
      </c>
      <c r="D90" s="79" t="str">
        <f ca="1">IFERROR(__xludf.DUMMYFUNCTION("""COMPUTED_VALUE"""),"Guadalajara sin Barreras")</f>
        <v>Guadalajara sin Barreras</v>
      </c>
      <c r="E90" s="79" t="str">
        <f ca="1">IFERROR(__xludf.DUMMYFUNCTION("""COMPUTED_VALUE"""),"Atención Integral para una Vida Digna con Discapacidad")</f>
        <v>Atención Integral para una Vida Digna con Discapacidad</v>
      </c>
      <c r="F90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0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0" s="79" t="str">
        <f ca="1">IFERROR(__xludf.DUMMYFUNCTION("""COMPUTED_VALUE"""),"NAS Junio")</f>
        <v>NAS Junio</v>
      </c>
      <c r="I90" s="79" t="str">
        <f ca="1">IFERROR(__xludf.DUMMYFUNCTION("""COMPUTED_VALUE"""),"Junio")</f>
        <v>Junio</v>
      </c>
      <c r="J90" s="79" t="str">
        <f ca="1">IFERROR(__xludf.DUMMYFUNCTION("""COMPUTED_VALUE"""),"NAS")</f>
        <v>NAS</v>
      </c>
      <c r="K90" s="80">
        <f ca="1">IFERROR(__xludf.DUMMYFUNCTION("""COMPUTED_VALUE"""),0)</f>
        <v>0</v>
      </c>
      <c r="L90" s="79" t="str">
        <f ca="1">IFERROR(__xludf.DUMMYFUNCTION("""COMPUTED_VALUE"""),"TRIMESTRE 2")</f>
        <v>TRIMESTRE 2</v>
      </c>
      <c r="M90" s="79" t="str">
        <f ca="1">IFERROR(__xludf.DUMMYFUNCTION("""COMPUTED_VALUE"""),"NIÑAS")</f>
        <v>NIÑAS</v>
      </c>
    </row>
    <row r="91" spans="1:13">
      <c r="A91" s="79" t="str">
        <f ca="1">IFERROR(__xludf.DUMMYFUNCTION("""COMPUTED_VALUE"""),"6.1.1.1")</f>
        <v>6.1.1.1</v>
      </c>
      <c r="B91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1" s="79" t="str">
        <f ca="1">IFERROR(__xludf.DUMMYFUNCTION("""COMPUTED_VALUE"""),"5. Inclusión")</f>
        <v>5. Inclusión</v>
      </c>
      <c r="D91" s="79" t="str">
        <f ca="1">IFERROR(__xludf.DUMMYFUNCTION("""COMPUTED_VALUE"""),"Guadalajara sin Barreras")</f>
        <v>Guadalajara sin Barreras</v>
      </c>
      <c r="E91" s="79" t="str">
        <f ca="1">IFERROR(__xludf.DUMMYFUNCTION("""COMPUTED_VALUE"""),"Atención Integral para una Vida Digna con Discapacidad")</f>
        <v>Atención Integral para una Vida Digna con Discapacidad</v>
      </c>
      <c r="F91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1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1" s="79" t="str">
        <f ca="1">IFERROR(__xludf.DUMMYFUNCTION("""COMPUTED_VALUE"""),"NOS Junio")</f>
        <v>NOS Junio</v>
      </c>
      <c r="I91" s="79" t="str">
        <f ca="1">IFERROR(__xludf.DUMMYFUNCTION("""COMPUTED_VALUE"""),"Junio")</f>
        <v>Junio</v>
      </c>
      <c r="J91" s="79" t="str">
        <f ca="1">IFERROR(__xludf.DUMMYFUNCTION("""COMPUTED_VALUE"""),"NOS")</f>
        <v>NOS</v>
      </c>
      <c r="K91" s="80">
        <f ca="1">IFERROR(__xludf.DUMMYFUNCTION("""COMPUTED_VALUE"""),0)</f>
        <v>0</v>
      </c>
      <c r="L91" s="79" t="str">
        <f ca="1">IFERROR(__xludf.DUMMYFUNCTION("""COMPUTED_VALUE"""),"TRIMESTRE 2")</f>
        <v>TRIMESTRE 2</v>
      </c>
      <c r="M91" s="79" t="str">
        <f ca="1">IFERROR(__xludf.DUMMYFUNCTION("""COMPUTED_VALUE"""),"NIÑOS")</f>
        <v>NIÑOS</v>
      </c>
    </row>
    <row r="92" spans="1:13">
      <c r="A92" s="79" t="str">
        <f ca="1">IFERROR(__xludf.DUMMYFUNCTION("""COMPUTED_VALUE"""),"6.1.1.1")</f>
        <v>6.1.1.1</v>
      </c>
      <c r="B92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2" s="79" t="str">
        <f ca="1">IFERROR(__xludf.DUMMYFUNCTION("""COMPUTED_VALUE"""),"5. Inclusión")</f>
        <v>5. Inclusión</v>
      </c>
      <c r="D92" s="79" t="str">
        <f ca="1">IFERROR(__xludf.DUMMYFUNCTION("""COMPUTED_VALUE"""),"Guadalajara sin Barreras")</f>
        <v>Guadalajara sin Barreras</v>
      </c>
      <c r="E92" s="79" t="str">
        <f ca="1">IFERROR(__xludf.DUMMYFUNCTION("""COMPUTED_VALUE"""),"Atención Integral para una Vida Digna con Discapacidad")</f>
        <v>Atención Integral para una Vida Digna con Discapacidad</v>
      </c>
      <c r="F92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2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2" s="79" t="str">
        <f ca="1">IFERROR(__xludf.DUMMYFUNCTION("""COMPUTED_VALUE"""),"AM JUNIO")</f>
        <v>AM JUNIO</v>
      </c>
      <c r="I92" s="79" t="str">
        <f ca="1">IFERROR(__xludf.DUMMYFUNCTION("""COMPUTED_VALUE"""),"Junio")</f>
        <v>Junio</v>
      </c>
      <c r="J92" s="79" t="str">
        <f ca="1">IFERROR(__xludf.DUMMYFUNCTION("""COMPUTED_VALUE"""),"AM")</f>
        <v>AM</v>
      </c>
      <c r="K92" s="80">
        <f ca="1">IFERROR(__xludf.DUMMYFUNCTION("""COMPUTED_VALUE"""),1)</f>
        <v>1</v>
      </c>
      <c r="L92" s="79" t="str">
        <f ca="1">IFERROR(__xludf.DUMMYFUNCTION("""COMPUTED_VALUE"""),"TRIMESTRE 2")</f>
        <v>TRIMESTRE 2</v>
      </c>
      <c r="M92" s="79" t="str">
        <f ca="1">IFERROR(__xludf.DUMMYFUNCTION("""COMPUTED_VALUE"""),"ADOLESCENTES MUJERES")</f>
        <v>ADOLESCENTES MUJERES</v>
      </c>
    </row>
    <row r="93" spans="1:13">
      <c r="A93" s="79" t="str">
        <f ca="1">IFERROR(__xludf.DUMMYFUNCTION("""COMPUTED_VALUE"""),"6.1.1.1")</f>
        <v>6.1.1.1</v>
      </c>
      <c r="B93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3" s="79" t="str">
        <f ca="1">IFERROR(__xludf.DUMMYFUNCTION("""COMPUTED_VALUE"""),"5. Inclusión")</f>
        <v>5. Inclusión</v>
      </c>
      <c r="D93" s="79" t="str">
        <f ca="1">IFERROR(__xludf.DUMMYFUNCTION("""COMPUTED_VALUE"""),"Guadalajara sin Barreras")</f>
        <v>Guadalajara sin Barreras</v>
      </c>
      <c r="E93" s="79" t="str">
        <f ca="1">IFERROR(__xludf.DUMMYFUNCTION("""COMPUTED_VALUE"""),"Atención Integral para una Vida Digna con Discapacidad")</f>
        <v>Atención Integral para una Vida Digna con Discapacidad</v>
      </c>
      <c r="F93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3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3" s="79" t="str">
        <f ca="1">IFERROR(__xludf.DUMMYFUNCTION("""COMPUTED_VALUE"""),"AH JUNIO")</f>
        <v>AH JUNIO</v>
      </c>
      <c r="I93" s="79" t="str">
        <f ca="1">IFERROR(__xludf.DUMMYFUNCTION("""COMPUTED_VALUE"""),"Junio")</f>
        <v>Junio</v>
      </c>
      <c r="J93" s="79" t="str">
        <f ca="1">IFERROR(__xludf.DUMMYFUNCTION("""COMPUTED_VALUE"""),"AH")</f>
        <v>AH</v>
      </c>
      <c r="K93" s="80">
        <f ca="1">IFERROR(__xludf.DUMMYFUNCTION("""COMPUTED_VALUE"""),3)</f>
        <v>3</v>
      </c>
      <c r="L93" s="79" t="str">
        <f ca="1">IFERROR(__xludf.DUMMYFUNCTION("""COMPUTED_VALUE"""),"TRIMESTRE 2")</f>
        <v>TRIMESTRE 2</v>
      </c>
      <c r="M93" s="79" t="str">
        <f ca="1">IFERROR(__xludf.DUMMYFUNCTION("""COMPUTED_VALUE"""),"ADOLESCENTES HOMBRES")</f>
        <v>ADOLESCENTES HOMBRES</v>
      </c>
    </row>
    <row r="94" spans="1:13">
      <c r="A94" s="79" t="str">
        <f ca="1">IFERROR(__xludf.DUMMYFUNCTION("""COMPUTED_VALUE"""),"6.1.1.1")</f>
        <v>6.1.1.1</v>
      </c>
      <c r="B94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4" s="79" t="str">
        <f ca="1">IFERROR(__xludf.DUMMYFUNCTION("""COMPUTED_VALUE"""),"5. Inclusión")</f>
        <v>5. Inclusión</v>
      </c>
      <c r="D94" s="79" t="str">
        <f ca="1">IFERROR(__xludf.DUMMYFUNCTION("""COMPUTED_VALUE"""),"Guadalajara sin Barreras")</f>
        <v>Guadalajara sin Barreras</v>
      </c>
      <c r="E94" s="79" t="str">
        <f ca="1">IFERROR(__xludf.DUMMYFUNCTION("""COMPUTED_VALUE"""),"Atención Integral para una Vida Digna con Discapacidad")</f>
        <v>Atención Integral para una Vida Digna con Discapacidad</v>
      </c>
      <c r="F94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4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4" s="79" t="str">
        <f ca="1">IFERROR(__xludf.DUMMYFUNCTION("""COMPUTED_VALUE"""),"MUJ Junio")</f>
        <v>MUJ Junio</v>
      </c>
      <c r="I94" s="79" t="str">
        <f ca="1">IFERROR(__xludf.DUMMYFUNCTION("""COMPUTED_VALUE"""),"Junio")</f>
        <v>Junio</v>
      </c>
      <c r="J94" s="79" t="str">
        <f ca="1">IFERROR(__xludf.DUMMYFUNCTION("""COMPUTED_VALUE"""),"MUJ")</f>
        <v>MUJ</v>
      </c>
      <c r="K94" s="80">
        <f ca="1">IFERROR(__xludf.DUMMYFUNCTION("""COMPUTED_VALUE"""),33)</f>
        <v>33</v>
      </c>
      <c r="L94" s="79" t="str">
        <f ca="1">IFERROR(__xludf.DUMMYFUNCTION("""COMPUTED_VALUE"""),"TRIMESTRE 2")</f>
        <v>TRIMESTRE 2</v>
      </c>
      <c r="M94" s="79" t="str">
        <f ca="1">IFERROR(__xludf.DUMMYFUNCTION("""COMPUTED_VALUE"""),"MUJERES ADULTAS")</f>
        <v>MUJERES ADULTAS</v>
      </c>
    </row>
    <row r="95" spans="1:13">
      <c r="A95" s="79" t="str">
        <f ca="1">IFERROR(__xludf.DUMMYFUNCTION("""COMPUTED_VALUE"""),"6.1.1.1")</f>
        <v>6.1.1.1</v>
      </c>
      <c r="B95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5" s="79" t="str">
        <f ca="1">IFERROR(__xludf.DUMMYFUNCTION("""COMPUTED_VALUE"""),"5. Inclusión")</f>
        <v>5. Inclusión</v>
      </c>
      <c r="D95" s="79" t="str">
        <f ca="1">IFERROR(__xludf.DUMMYFUNCTION("""COMPUTED_VALUE"""),"Guadalajara sin Barreras")</f>
        <v>Guadalajara sin Barreras</v>
      </c>
      <c r="E95" s="79" t="str">
        <f ca="1">IFERROR(__xludf.DUMMYFUNCTION("""COMPUTED_VALUE"""),"Atención Integral para una Vida Digna con Discapacidad")</f>
        <v>Atención Integral para una Vida Digna con Discapacidad</v>
      </c>
      <c r="F95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5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5" s="79" t="str">
        <f ca="1">IFERROR(__xludf.DUMMYFUNCTION("""COMPUTED_VALUE"""),"HOM Junio")</f>
        <v>HOM Junio</v>
      </c>
      <c r="I95" s="79" t="str">
        <f ca="1">IFERROR(__xludf.DUMMYFUNCTION("""COMPUTED_VALUE"""),"Junio")</f>
        <v>Junio</v>
      </c>
      <c r="J95" s="79" t="str">
        <f ca="1">IFERROR(__xludf.DUMMYFUNCTION("""COMPUTED_VALUE"""),"HOM")</f>
        <v>HOM</v>
      </c>
      <c r="K95" s="80">
        <f ca="1">IFERROR(__xludf.DUMMYFUNCTION("""COMPUTED_VALUE"""),15)</f>
        <v>15</v>
      </c>
      <c r="L95" s="79" t="str">
        <f ca="1">IFERROR(__xludf.DUMMYFUNCTION("""COMPUTED_VALUE"""),"TRIMESTRE 2")</f>
        <v>TRIMESTRE 2</v>
      </c>
      <c r="M95" s="79" t="str">
        <f ca="1">IFERROR(__xludf.DUMMYFUNCTION("""COMPUTED_VALUE"""),"HOMBRES ADULTOS")</f>
        <v>HOMBRES ADULTOS</v>
      </c>
    </row>
    <row r="96" spans="1:13">
      <c r="A96" s="79" t="str">
        <f ca="1">IFERROR(__xludf.DUMMYFUNCTION("""COMPUTED_VALUE"""),"6.1.1.1")</f>
        <v>6.1.1.1</v>
      </c>
      <c r="B96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" s="79" t="str">
        <f ca="1">IFERROR(__xludf.DUMMYFUNCTION("""COMPUTED_VALUE"""),"5. Inclusión")</f>
        <v>5. Inclusión</v>
      </c>
      <c r="D96" s="79" t="str">
        <f ca="1">IFERROR(__xludf.DUMMYFUNCTION("""COMPUTED_VALUE"""),"Guadalajara sin Barreras")</f>
        <v>Guadalajara sin Barreras</v>
      </c>
      <c r="E96" s="79" t="str">
        <f ca="1">IFERROR(__xludf.DUMMYFUNCTION("""COMPUTED_VALUE"""),"Atención Integral para una Vida Digna con Discapacidad")</f>
        <v>Atención Integral para una Vida Digna con Discapacidad</v>
      </c>
      <c r="F96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6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6" s="79" t="str">
        <f ca="1">IFERROR(__xludf.DUMMYFUNCTION("""COMPUTED_VALUE"""),"AMM Junio")</f>
        <v>AMM Junio</v>
      </c>
      <c r="I96" s="79" t="str">
        <f ca="1">IFERROR(__xludf.DUMMYFUNCTION("""COMPUTED_VALUE"""),"Junio")</f>
        <v>Junio</v>
      </c>
      <c r="J96" s="79" t="str">
        <f ca="1">IFERROR(__xludf.DUMMYFUNCTION("""COMPUTED_VALUE"""),"AMM")</f>
        <v>AMM</v>
      </c>
      <c r="K96" s="80">
        <f ca="1">IFERROR(__xludf.DUMMYFUNCTION("""COMPUTED_VALUE"""),31)</f>
        <v>31</v>
      </c>
      <c r="L96" s="79" t="str">
        <f ca="1">IFERROR(__xludf.DUMMYFUNCTION("""COMPUTED_VALUE"""),"TRIMESTRE 2")</f>
        <v>TRIMESTRE 2</v>
      </c>
      <c r="M96" s="79" t="str">
        <f ca="1">IFERROR(__xludf.DUMMYFUNCTION("""COMPUTED_VALUE"""),"ADULTA MAYOR MUJER")</f>
        <v>ADULTA MAYOR MUJER</v>
      </c>
    </row>
    <row r="97" spans="1:26">
      <c r="A97" s="79" t="str">
        <f ca="1">IFERROR(__xludf.DUMMYFUNCTION("""COMPUTED_VALUE"""),"6.1.1.1")</f>
        <v>6.1.1.1</v>
      </c>
      <c r="B97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7" s="79" t="str">
        <f ca="1">IFERROR(__xludf.DUMMYFUNCTION("""COMPUTED_VALUE"""),"5. Inclusión")</f>
        <v>5. Inclusión</v>
      </c>
      <c r="D97" s="79" t="str">
        <f ca="1">IFERROR(__xludf.DUMMYFUNCTION("""COMPUTED_VALUE"""),"Guadalajara sin Barreras")</f>
        <v>Guadalajara sin Barreras</v>
      </c>
      <c r="E97" s="79" t="str">
        <f ca="1">IFERROR(__xludf.DUMMYFUNCTION("""COMPUTED_VALUE"""),"Atención Integral para una Vida Digna con Discapacidad")</f>
        <v>Atención Integral para una Vida Digna con Discapacidad</v>
      </c>
      <c r="F97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97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97" s="79" t="str">
        <f ca="1">IFERROR(__xludf.DUMMYFUNCTION("""COMPUTED_VALUE"""),"AMH Junio")</f>
        <v>AMH Junio</v>
      </c>
      <c r="I97" s="79" t="str">
        <f ca="1">IFERROR(__xludf.DUMMYFUNCTION("""COMPUTED_VALUE"""),"Junio")</f>
        <v>Junio</v>
      </c>
      <c r="J97" s="79" t="str">
        <f ca="1">IFERROR(__xludf.DUMMYFUNCTION("""COMPUTED_VALUE"""),"AMH")</f>
        <v>AMH</v>
      </c>
      <c r="K97" s="80">
        <f ca="1">IFERROR(__xludf.DUMMYFUNCTION("""COMPUTED_VALUE"""),2)</f>
        <v>2</v>
      </c>
      <c r="L97" s="79" t="str">
        <f ca="1">IFERROR(__xludf.DUMMYFUNCTION("""COMPUTED_VALUE"""),"TRIMESTRE 2")</f>
        <v>TRIMESTRE 2</v>
      </c>
      <c r="M97" s="79" t="str">
        <f ca="1">IFERROR(__xludf.DUMMYFUNCTION("""COMPUTED_VALUE"""),"ADULTO MAYOR HOMBRE")</f>
        <v>ADULTO MAYOR HOMBRE</v>
      </c>
    </row>
    <row r="98" spans="1:26">
      <c r="A98" s="81" t="str">
        <f ca="1">IFERROR(__xludf.DUMMYFUNCTION("""COMPUTED_VALUE"""),"6.1.1.0")</f>
        <v>6.1.1.0</v>
      </c>
      <c r="B98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8" s="81" t="str">
        <f ca="1">IFERROR(__xludf.DUMMYFUNCTION("""COMPUTED_VALUE"""),"5. Inclusión")</f>
        <v>5. Inclusión</v>
      </c>
      <c r="D98" s="81" t="str">
        <f ca="1">IFERROR(__xludf.DUMMYFUNCTION("""COMPUTED_VALUE"""),"Guadalajara sin Barreras")</f>
        <v>Guadalajara sin Barreras</v>
      </c>
      <c r="E98" s="81" t="str">
        <f ca="1">IFERROR(__xludf.DUMMYFUNCTION("""COMPUTED_VALUE"""),"Atención Integral para una Vida Digna con Discapacidad")</f>
        <v>Atención Integral para una Vida Digna con Discapacidad</v>
      </c>
      <c r="F98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98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98" s="81" t="str">
        <f ca="1">IFERROR(__xludf.DUMMYFUNCTION("""COMPUTED_VALUE"""),"NAS Julio")</f>
        <v>NAS Julio</v>
      </c>
      <c r="I98" s="81" t="str">
        <f ca="1">IFERROR(__xludf.DUMMYFUNCTION("""COMPUTED_VALUE"""),"Julio")</f>
        <v>Julio</v>
      </c>
      <c r="J98" s="81" t="str">
        <f ca="1">IFERROR(__xludf.DUMMYFUNCTION("""COMPUTED_VALUE"""),"NAS")</f>
        <v>NAS</v>
      </c>
      <c r="K98" s="80">
        <f ca="1">IFERROR(__xludf.DUMMYFUNCTION("""COMPUTED_VALUE"""),0)</f>
        <v>0</v>
      </c>
      <c r="L98" s="81" t="str">
        <f ca="1">IFERROR(__xludf.DUMMYFUNCTION("""COMPUTED_VALUE"""),"TRIMESTRE 3")</f>
        <v>TRIMESTRE 3</v>
      </c>
      <c r="M98" s="81" t="str">
        <f ca="1">IFERROR(__xludf.DUMMYFUNCTION("""COMPUTED_VALUE"""),"NIÑAS")</f>
        <v>NIÑAS</v>
      </c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</row>
    <row r="99" spans="1:26">
      <c r="A99" s="81" t="str">
        <f ca="1">IFERROR(__xludf.DUMMYFUNCTION("""COMPUTED_VALUE"""),"6.1.1.0")</f>
        <v>6.1.1.0</v>
      </c>
      <c r="B99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9" s="81" t="str">
        <f ca="1">IFERROR(__xludf.DUMMYFUNCTION("""COMPUTED_VALUE"""),"5. Inclusión")</f>
        <v>5. Inclusión</v>
      </c>
      <c r="D99" s="81" t="str">
        <f ca="1">IFERROR(__xludf.DUMMYFUNCTION("""COMPUTED_VALUE"""),"Guadalajara sin Barreras")</f>
        <v>Guadalajara sin Barreras</v>
      </c>
      <c r="E99" s="81" t="str">
        <f ca="1">IFERROR(__xludf.DUMMYFUNCTION("""COMPUTED_VALUE"""),"Atención Integral para una Vida Digna con Discapacidad")</f>
        <v>Atención Integral para una Vida Digna con Discapacidad</v>
      </c>
      <c r="F99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99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99" s="81" t="str">
        <f ca="1">IFERROR(__xludf.DUMMYFUNCTION("""COMPUTED_VALUE"""),"NOS Julio")</f>
        <v>NOS Julio</v>
      </c>
      <c r="I99" s="81" t="str">
        <f ca="1">IFERROR(__xludf.DUMMYFUNCTION("""COMPUTED_VALUE"""),"Julio")</f>
        <v>Julio</v>
      </c>
      <c r="J99" s="81" t="str">
        <f ca="1">IFERROR(__xludf.DUMMYFUNCTION("""COMPUTED_VALUE"""),"NOS")</f>
        <v>NOS</v>
      </c>
      <c r="K99" s="80">
        <f ca="1">IFERROR(__xludf.DUMMYFUNCTION("""COMPUTED_VALUE"""),4)</f>
        <v>4</v>
      </c>
      <c r="L99" s="81" t="str">
        <f ca="1">IFERROR(__xludf.DUMMYFUNCTION("""COMPUTED_VALUE"""),"TRIMESTRE 3")</f>
        <v>TRIMESTRE 3</v>
      </c>
      <c r="M99" s="81" t="str">
        <f ca="1">IFERROR(__xludf.DUMMYFUNCTION("""COMPUTED_VALUE"""),"NIÑOS")</f>
        <v>NIÑOS</v>
      </c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</row>
    <row r="100" spans="1:26">
      <c r="A100" s="81" t="str">
        <f ca="1">IFERROR(__xludf.DUMMYFUNCTION("""COMPUTED_VALUE"""),"6.1.1.0")</f>
        <v>6.1.1.0</v>
      </c>
      <c r="B100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0" s="81" t="str">
        <f ca="1">IFERROR(__xludf.DUMMYFUNCTION("""COMPUTED_VALUE"""),"5. Inclusión")</f>
        <v>5. Inclusión</v>
      </c>
      <c r="D100" s="81" t="str">
        <f ca="1">IFERROR(__xludf.DUMMYFUNCTION("""COMPUTED_VALUE"""),"Guadalajara sin Barreras")</f>
        <v>Guadalajara sin Barreras</v>
      </c>
      <c r="E100" s="81" t="str">
        <f ca="1">IFERROR(__xludf.DUMMYFUNCTION("""COMPUTED_VALUE"""),"Atención Integral para una Vida Digna con Discapacidad")</f>
        <v>Atención Integral para una Vida Digna con Discapacidad</v>
      </c>
      <c r="F100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00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00" s="81" t="str">
        <f ca="1">IFERROR(__xludf.DUMMYFUNCTION("""COMPUTED_VALUE"""),"AM JULIO")</f>
        <v>AM JULIO</v>
      </c>
      <c r="I100" s="81" t="str">
        <f ca="1">IFERROR(__xludf.DUMMYFUNCTION("""COMPUTED_VALUE"""),"Julio")</f>
        <v>Julio</v>
      </c>
      <c r="J100" s="81" t="str">
        <f ca="1">IFERROR(__xludf.DUMMYFUNCTION("""COMPUTED_VALUE"""),"AM")</f>
        <v>AM</v>
      </c>
      <c r="K100" s="80">
        <f ca="1">IFERROR(__xludf.DUMMYFUNCTION("""COMPUTED_VALUE"""),0)</f>
        <v>0</v>
      </c>
      <c r="L100" s="81" t="str">
        <f ca="1">IFERROR(__xludf.DUMMYFUNCTION("""COMPUTED_VALUE"""),"TRIMESTRE 3")</f>
        <v>TRIMESTRE 3</v>
      </c>
      <c r="M100" s="81" t="str">
        <f ca="1">IFERROR(__xludf.DUMMYFUNCTION("""COMPUTED_VALUE"""),"ADOLESCENTES MUJERES")</f>
        <v>ADOLESCENTES MUJERES</v>
      </c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</row>
    <row r="101" spans="1:26">
      <c r="A101" s="81" t="str">
        <f ca="1">IFERROR(__xludf.DUMMYFUNCTION("""COMPUTED_VALUE"""),"6.1.1.0")</f>
        <v>6.1.1.0</v>
      </c>
      <c r="B101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1" s="81" t="str">
        <f ca="1">IFERROR(__xludf.DUMMYFUNCTION("""COMPUTED_VALUE"""),"5. Inclusión")</f>
        <v>5. Inclusión</v>
      </c>
      <c r="D101" s="81" t="str">
        <f ca="1">IFERROR(__xludf.DUMMYFUNCTION("""COMPUTED_VALUE"""),"Guadalajara sin Barreras")</f>
        <v>Guadalajara sin Barreras</v>
      </c>
      <c r="E101" s="81" t="str">
        <f ca="1">IFERROR(__xludf.DUMMYFUNCTION("""COMPUTED_VALUE"""),"Atención Integral para una Vida Digna con Discapacidad")</f>
        <v>Atención Integral para una Vida Digna con Discapacidad</v>
      </c>
      <c r="F101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01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01" s="81" t="str">
        <f ca="1">IFERROR(__xludf.DUMMYFUNCTION("""COMPUTED_VALUE"""),"AH JULIO")</f>
        <v>AH JULIO</v>
      </c>
      <c r="I101" s="81" t="str">
        <f ca="1">IFERROR(__xludf.DUMMYFUNCTION("""COMPUTED_VALUE"""),"Julio")</f>
        <v>Julio</v>
      </c>
      <c r="J101" s="81" t="str">
        <f ca="1">IFERROR(__xludf.DUMMYFUNCTION("""COMPUTED_VALUE"""),"AH")</f>
        <v>AH</v>
      </c>
      <c r="K101" s="80">
        <f ca="1">IFERROR(__xludf.DUMMYFUNCTION("""COMPUTED_VALUE"""),1)</f>
        <v>1</v>
      </c>
      <c r="L101" s="81" t="str">
        <f ca="1">IFERROR(__xludf.DUMMYFUNCTION("""COMPUTED_VALUE"""),"TRIMESTRE 3")</f>
        <v>TRIMESTRE 3</v>
      </c>
      <c r="M101" s="81" t="str">
        <f ca="1">IFERROR(__xludf.DUMMYFUNCTION("""COMPUTED_VALUE"""),"ADOLESCENTES HOMBRES")</f>
        <v>ADOLESCENTES HOMBRES</v>
      </c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</row>
    <row r="102" spans="1:26">
      <c r="A102" s="81" t="str">
        <f ca="1">IFERROR(__xludf.DUMMYFUNCTION("""COMPUTED_VALUE"""),"6.1.1.0")</f>
        <v>6.1.1.0</v>
      </c>
      <c r="B102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2" s="81" t="str">
        <f ca="1">IFERROR(__xludf.DUMMYFUNCTION("""COMPUTED_VALUE"""),"5. Inclusión")</f>
        <v>5. Inclusión</v>
      </c>
      <c r="D102" s="81" t="str">
        <f ca="1">IFERROR(__xludf.DUMMYFUNCTION("""COMPUTED_VALUE"""),"Guadalajara sin Barreras")</f>
        <v>Guadalajara sin Barreras</v>
      </c>
      <c r="E102" s="81" t="str">
        <f ca="1">IFERROR(__xludf.DUMMYFUNCTION("""COMPUTED_VALUE"""),"Atención Integral para una Vida Digna con Discapacidad")</f>
        <v>Atención Integral para una Vida Digna con Discapacidad</v>
      </c>
      <c r="F102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02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02" s="81" t="str">
        <f ca="1">IFERROR(__xludf.DUMMYFUNCTION("""COMPUTED_VALUE"""),"MUJ Julio")</f>
        <v>MUJ Julio</v>
      </c>
      <c r="I102" s="81" t="str">
        <f ca="1">IFERROR(__xludf.DUMMYFUNCTION("""COMPUTED_VALUE"""),"Julio")</f>
        <v>Julio</v>
      </c>
      <c r="J102" s="81" t="str">
        <f ca="1">IFERROR(__xludf.DUMMYFUNCTION("""COMPUTED_VALUE"""),"MUJ")</f>
        <v>MUJ</v>
      </c>
      <c r="K102" s="80">
        <f ca="1">IFERROR(__xludf.DUMMYFUNCTION("""COMPUTED_VALUE"""),28)</f>
        <v>28</v>
      </c>
      <c r="L102" s="81" t="str">
        <f ca="1">IFERROR(__xludf.DUMMYFUNCTION("""COMPUTED_VALUE"""),"TRIMESTRE 3")</f>
        <v>TRIMESTRE 3</v>
      </c>
      <c r="M102" s="81" t="str">
        <f ca="1">IFERROR(__xludf.DUMMYFUNCTION("""COMPUTED_VALUE"""),"MUJERES ADULTAS")</f>
        <v>MUJERES ADULTAS</v>
      </c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</row>
    <row r="103" spans="1:26">
      <c r="A103" s="81" t="str">
        <f ca="1">IFERROR(__xludf.DUMMYFUNCTION("""COMPUTED_VALUE"""),"6.1.1.0")</f>
        <v>6.1.1.0</v>
      </c>
      <c r="B103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3" s="81" t="str">
        <f ca="1">IFERROR(__xludf.DUMMYFUNCTION("""COMPUTED_VALUE"""),"5. Inclusión")</f>
        <v>5. Inclusión</v>
      </c>
      <c r="D103" s="81" t="str">
        <f ca="1">IFERROR(__xludf.DUMMYFUNCTION("""COMPUTED_VALUE"""),"Guadalajara sin Barreras")</f>
        <v>Guadalajara sin Barreras</v>
      </c>
      <c r="E103" s="81" t="str">
        <f ca="1">IFERROR(__xludf.DUMMYFUNCTION("""COMPUTED_VALUE"""),"Atención Integral para una Vida Digna con Discapacidad")</f>
        <v>Atención Integral para una Vida Digna con Discapacidad</v>
      </c>
      <c r="F103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03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03" s="81" t="str">
        <f ca="1">IFERROR(__xludf.DUMMYFUNCTION("""COMPUTED_VALUE"""),"HOM Julio")</f>
        <v>HOM Julio</v>
      </c>
      <c r="I103" s="81" t="str">
        <f ca="1">IFERROR(__xludf.DUMMYFUNCTION("""COMPUTED_VALUE"""),"Julio")</f>
        <v>Julio</v>
      </c>
      <c r="J103" s="81" t="str">
        <f ca="1">IFERROR(__xludf.DUMMYFUNCTION("""COMPUTED_VALUE"""),"HOM")</f>
        <v>HOM</v>
      </c>
      <c r="K103" s="80">
        <f ca="1">IFERROR(__xludf.DUMMYFUNCTION("""COMPUTED_VALUE"""),45)</f>
        <v>45</v>
      </c>
      <c r="L103" s="81" t="str">
        <f ca="1">IFERROR(__xludf.DUMMYFUNCTION("""COMPUTED_VALUE"""),"TRIMESTRE 3")</f>
        <v>TRIMESTRE 3</v>
      </c>
      <c r="M103" s="81" t="str">
        <f ca="1">IFERROR(__xludf.DUMMYFUNCTION("""COMPUTED_VALUE"""),"HOMBRES ADULTOS")</f>
        <v>HOMBRES ADULTOS</v>
      </c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</row>
    <row r="104" spans="1:26">
      <c r="A104" s="81" t="str">
        <f ca="1">IFERROR(__xludf.DUMMYFUNCTION("""COMPUTED_VALUE"""),"6.1.1.0")</f>
        <v>6.1.1.0</v>
      </c>
      <c r="B104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4" s="81" t="str">
        <f ca="1">IFERROR(__xludf.DUMMYFUNCTION("""COMPUTED_VALUE"""),"5. Inclusión")</f>
        <v>5. Inclusión</v>
      </c>
      <c r="D104" s="81" t="str">
        <f ca="1">IFERROR(__xludf.DUMMYFUNCTION("""COMPUTED_VALUE"""),"Guadalajara sin Barreras")</f>
        <v>Guadalajara sin Barreras</v>
      </c>
      <c r="E104" s="81" t="str">
        <f ca="1">IFERROR(__xludf.DUMMYFUNCTION("""COMPUTED_VALUE"""),"Atención Integral para una Vida Digna con Discapacidad")</f>
        <v>Atención Integral para una Vida Digna con Discapacidad</v>
      </c>
      <c r="F104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04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04" s="81" t="str">
        <f ca="1">IFERROR(__xludf.DUMMYFUNCTION("""COMPUTED_VALUE"""),"AMM Julio")</f>
        <v>AMM Julio</v>
      </c>
      <c r="I104" s="81" t="str">
        <f ca="1">IFERROR(__xludf.DUMMYFUNCTION("""COMPUTED_VALUE"""),"Julio")</f>
        <v>Julio</v>
      </c>
      <c r="J104" s="81" t="str">
        <f ca="1">IFERROR(__xludf.DUMMYFUNCTION("""COMPUTED_VALUE"""),"AMM")</f>
        <v>AMM</v>
      </c>
      <c r="K104" s="80">
        <f ca="1">IFERROR(__xludf.DUMMYFUNCTION("""COMPUTED_VALUE"""),16)</f>
        <v>16</v>
      </c>
      <c r="L104" s="81" t="str">
        <f ca="1">IFERROR(__xludf.DUMMYFUNCTION("""COMPUTED_VALUE"""),"TRIMESTRE 3")</f>
        <v>TRIMESTRE 3</v>
      </c>
      <c r="M104" s="81" t="str">
        <f ca="1">IFERROR(__xludf.DUMMYFUNCTION("""COMPUTED_VALUE"""),"ADULTA MAYOR MUJER")</f>
        <v>ADULTA MAYOR MUJER</v>
      </c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</row>
    <row r="105" spans="1:26">
      <c r="A105" s="81" t="str">
        <f ca="1">IFERROR(__xludf.DUMMYFUNCTION("""COMPUTED_VALUE"""),"6.1.1.0")</f>
        <v>6.1.1.0</v>
      </c>
      <c r="B105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5" s="81" t="str">
        <f ca="1">IFERROR(__xludf.DUMMYFUNCTION("""COMPUTED_VALUE"""),"5. Inclusión")</f>
        <v>5. Inclusión</v>
      </c>
      <c r="D105" s="81" t="str">
        <f ca="1">IFERROR(__xludf.DUMMYFUNCTION("""COMPUTED_VALUE"""),"Guadalajara sin Barreras")</f>
        <v>Guadalajara sin Barreras</v>
      </c>
      <c r="E105" s="81" t="str">
        <f ca="1">IFERROR(__xludf.DUMMYFUNCTION("""COMPUTED_VALUE"""),"Atención Integral para una Vida Digna con Discapacidad")</f>
        <v>Atención Integral para una Vida Digna con Discapacidad</v>
      </c>
      <c r="F105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05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05" s="81" t="str">
        <f ca="1">IFERROR(__xludf.DUMMYFUNCTION("""COMPUTED_VALUE"""),"AMH Julio")</f>
        <v>AMH Julio</v>
      </c>
      <c r="I105" s="81" t="str">
        <f ca="1">IFERROR(__xludf.DUMMYFUNCTION("""COMPUTED_VALUE"""),"Julio")</f>
        <v>Julio</v>
      </c>
      <c r="J105" s="81" t="str">
        <f ca="1">IFERROR(__xludf.DUMMYFUNCTION("""COMPUTED_VALUE"""),"AMH")</f>
        <v>AMH</v>
      </c>
      <c r="K105" s="80">
        <f ca="1">IFERROR(__xludf.DUMMYFUNCTION("""COMPUTED_VALUE"""),0)</f>
        <v>0</v>
      </c>
      <c r="L105" s="81" t="str">
        <f ca="1">IFERROR(__xludf.DUMMYFUNCTION("""COMPUTED_VALUE"""),"TRIMESTRE 3")</f>
        <v>TRIMESTRE 3</v>
      </c>
      <c r="M105" s="81" t="str">
        <f ca="1">IFERROR(__xludf.DUMMYFUNCTION("""COMPUTED_VALUE"""),"ADULTO MAYOR HOMBRE")</f>
        <v>ADULTO MAYOR HOMBRE</v>
      </c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</row>
    <row r="106" spans="1:26">
      <c r="A106" s="79" t="str">
        <f ca="1">IFERROR(__xludf.DUMMYFUNCTION("""COMPUTED_VALUE"""),"6.1.1.1")</f>
        <v>6.1.1.1</v>
      </c>
      <c r="B106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6" s="79" t="str">
        <f ca="1">IFERROR(__xludf.DUMMYFUNCTION("""COMPUTED_VALUE"""),"5. Inclusión")</f>
        <v>5. Inclusión</v>
      </c>
      <c r="D106" s="79" t="str">
        <f ca="1">IFERROR(__xludf.DUMMYFUNCTION("""COMPUTED_VALUE"""),"Guadalajara sin Barreras")</f>
        <v>Guadalajara sin Barreras</v>
      </c>
      <c r="E106" s="79" t="str">
        <f ca="1">IFERROR(__xludf.DUMMYFUNCTION("""COMPUTED_VALUE"""),"Atención Integral para una Vida Digna con Discapacidad")</f>
        <v>Atención Integral para una Vida Digna con Discapacidad</v>
      </c>
      <c r="F106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06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06" s="79" t="str">
        <f ca="1">IFERROR(__xludf.DUMMYFUNCTION("""COMPUTED_VALUE"""),"NAS Julio")</f>
        <v>NAS Julio</v>
      </c>
      <c r="I106" s="79" t="str">
        <f ca="1">IFERROR(__xludf.DUMMYFUNCTION("""COMPUTED_VALUE"""),"Julio")</f>
        <v>Julio</v>
      </c>
      <c r="J106" s="79" t="str">
        <f ca="1">IFERROR(__xludf.DUMMYFUNCTION("""COMPUTED_VALUE"""),"NAS")</f>
        <v>NAS</v>
      </c>
      <c r="K106" s="80">
        <f ca="1">IFERROR(__xludf.DUMMYFUNCTION("""COMPUTED_VALUE"""),0)</f>
        <v>0</v>
      </c>
      <c r="L106" s="79" t="str">
        <f ca="1">IFERROR(__xludf.DUMMYFUNCTION("""COMPUTED_VALUE"""),"TRIMESTRE 3")</f>
        <v>TRIMESTRE 3</v>
      </c>
      <c r="M106" s="79" t="str">
        <f ca="1">IFERROR(__xludf.DUMMYFUNCTION("""COMPUTED_VALUE"""),"NIÑAS")</f>
        <v>NIÑAS</v>
      </c>
    </row>
    <row r="107" spans="1:26">
      <c r="A107" s="79" t="str">
        <f ca="1">IFERROR(__xludf.DUMMYFUNCTION("""COMPUTED_VALUE"""),"6.1.1.1")</f>
        <v>6.1.1.1</v>
      </c>
      <c r="B107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7" s="79" t="str">
        <f ca="1">IFERROR(__xludf.DUMMYFUNCTION("""COMPUTED_VALUE"""),"5. Inclusión")</f>
        <v>5. Inclusión</v>
      </c>
      <c r="D107" s="79" t="str">
        <f ca="1">IFERROR(__xludf.DUMMYFUNCTION("""COMPUTED_VALUE"""),"Guadalajara sin Barreras")</f>
        <v>Guadalajara sin Barreras</v>
      </c>
      <c r="E107" s="79" t="str">
        <f ca="1">IFERROR(__xludf.DUMMYFUNCTION("""COMPUTED_VALUE"""),"Atención Integral para una Vida Digna con Discapacidad")</f>
        <v>Atención Integral para una Vida Digna con Discapacidad</v>
      </c>
      <c r="F107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07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07" s="79" t="str">
        <f ca="1">IFERROR(__xludf.DUMMYFUNCTION("""COMPUTED_VALUE"""),"NOS Julio")</f>
        <v>NOS Julio</v>
      </c>
      <c r="I107" s="79" t="str">
        <f ca="1">IFERROR(__xludf.DUMMYFUNCTION("""COMPUTED_VALUE"""),"Julio")</f>
        <v>Julio</v>
      </c>
      <c r="J107" s="79" t="str">
        <f ca="1">IFERROR(__xludf.DUMMYFUNCTION("""COMPUTED_VALUE"""),"NOS")</f>
        <v>NOS</v>
      </c>
      <c r="K107" s="80">
        <f ca="1">IFERROR(__xludf.DUMMYFUNCTION("""COMPUTED_VALUE"""),1)</f>
        <v>1</v>
      </c>
      <c r="L107" s="79" t="str">
        <f ca="1">IFERROR(__xludf.DUMMYFUNCTION("""COMPUTED_VALUE"""),"TRIMESTRE 3")</f>
        <v>TRIMESTRE 3</v>
      </c>
      <c r="M107" s="79" t="str">
        <f ca="1">IFERROR(__xludf.DUMMYFUNCTION("""COMPUTED_VALUE"""),"NIÑOS")</f>
        <v>NIÑOS</v>
      </c>
    </row>
    <row r="108" spans="1:26">
      <c r="A108" s="79" t="str">
        <f ca="1">IFERROR(__xludf.DUMMYFUNCTION("""COMPUTED_VALUE"""),"6.1.1.1")</f>
        <v>6.1.1.1</v>
      </c>
      <c r="B108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8" s="79" t="str">
        <f ca="1">IFERROR(__xludf.DUMMYFUNCTION("""COMPUTED_VALUE"""),"5. Inclusión")</f>
        <v>5. Inclusión</v>
      </c>
      <c r="D108" s="79" t="str">
        <f ca="1">IFERROR(__xludf.DUMMYFUNCTION("""COMPUTED_VALUE"""),"Guadalajara sin Barreras")</f>
        <v>Guadalajara sin Barreras</v>
      </c>
      <c r="E108" s="79" t="str">
        <f ca="1">IFERROR(__xludf.DUMMYFUNCTION("""COMPUTED_VALUE"""),"Atención Integral para una Vida Digna con Discapacidad")</f>
        <v>Atención Integral para una Vida Digna con Discapacidad</v>
      </c>
      <c r="F108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08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08" s="79" t="str">
        <f ca="1">IFERROR(__xludf.DUMMYFUNCTION("""COMPUTED_VALUE"""),"AM JULIO")</f>
        <v>AM JULIO</v>
      </c>
      <c r="I108" s="79" t="str">
        <f ca="1">IFERROR(__xludf.DUMMYFUNCTION("""COMPUTED_VALUE"""),"Julio")</f>
        <v>Julio</v>
      </c>
      <c r="J108" s="79" t="str">
        <f ca="1">IFERROR(__xludf.DUMMYFUNCTION("""COMPUTED_VALUE"""),"AM")</f>
        <v>AM</v>
      </c>
      <c r="K108" s="80">
        <f ca="1">IFERROR(__xludf.DUMMYFUNCTION("""COMPUTED_VALUE"""),2)</f>
        <v>2</v>
      </c>
      <c r="L108" s="79" t="str">
        <f ca="1">IFERROR(__xludf.DUMMYFUNCTION("""COMPUTED_VALUE"""),"TRIMESTRE 3")</f>
        <v>TRIMESTRE 3</v>
      </c>
      <c r="M108" s="79" t="str">
        <f ca="1">IFERROR(__xludf.DUMMYFUNCTION("""COMPUTED_VALUE"""),"ADOLESCENTES MUJERES")</f>
        <v>ADOLESCENTES MUJERES</v>
      </c>
    </row>
    <row r="109" spans="1:26">
      <c r="A109" s="79" t="str">
        <f ca="1">IFERROR(__xludf.DUMMYFUNCTION("""COMPUTED_VALUE"""),"6.1.1.1")</f>
        <v>6.1.1.1</v>
      </c>
      <c r="B109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09" s="79" t="str">
        <f ca="1">IFERROR(__xludf.DUMMYFUNCTION("""COMPUTED_VALUE"""),"5. Inclusión")</f>
        <v>5. Inclusión</v>
      </c>
      <c r="D109" s="79" t="str">
        <f ca="1">IFERROR(__xludf.DUMMYFUNCTION("""COMPUTED_VALUE"""),"Guadalajara sin Barreras")</f>
        <v>Guadalajara sin Barreras</v>
      </c>
      <c r="E109" s="79" t="str">
        <f ca="1">IFERROR(__xludf.DUMMYFUNCTION("""COMPUTED_VALUE"""),"Atención Integral para una Vida Digna con Discapacidad")</f>
        <v>Atención Integral para una Vida Digna con Discapacidad</v>
      </c>
      <c r="F109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09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09" s="79" t="str">
        <f ca="1">IFERROR(__xludf.DUMMYFUNCTION("""COMPUTED_VALUE"""),"AH JULIO")</f>
        <v>AH JULIO</v>
      </c>
      <c r="I109" s="79" t="str">
        <f ca="1">IFERROR(__xludf.DUMMYFUNCTION("""COMPUTED_VALUE"""),"Julio")</f>
        <v>Julio</v>
      </c>
      <c r="J109" s="79" t="str">
        <f ca="1">IFERROR(__xludf.DUMMYFUNCTION("""COMPUTED_VALUE"""),"AH")</f>
        <v>AH</v>
      </c>
      <c r="K109" s="80">
        <f ca="1">IFERROR(__xludf.DUMMYFUNCTION("""COMPUTED_VALUE"""),1)</f>
        <v>1</v>
      </c>
      <c r="L109" s="79" t="str">
        <f ca="1">IFERROR(__xludf.DUMMYFUNCTION("""COMPUTED_VALUE"""),"TRIMESTRE 3")</f>
        <v>TRIMESTRE 3</v>
      </c>
      <c r="M109" s="79" t="str">
        <f ca="1">IFERROR(__xludf.DUMMYFUNCTION("""COMPUTED_VALUE"""),"ADOLESCENTES HOMBRES")</f>
        <v>ADOLESCENTES HOMBRES</v>
      </c>
    </row>
    <row r="110" spans="1:26">
      <c r="A110" s="79" t="str">
        <f ca="1">IFERROR(__xludf.DUMMYFUNCTION("""COMPUTED_VALUE"""),"6.1.1.1")</f>
        <v>6.1.1.1</v>
      </c>
      <c r="B110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0" s="79" t="str">
        <f ca="1">IFERROR(__xludf.DUMMYFUNCTION("""COMPUTED_VALUE"""),"5. Inclusión")</f>
        <v>5. Inclusión</v>
      </c>
      <c r="D110" s="79" t="str">
        <f ca="1">IFERROR(__xludf.DUMMYFUNCTION("""COMPUTED_VALUE"""),"Guadalajara sin Barreras")</f>
        <v>Guadalajara sin Barreras</v>
      </c>
      <c r="E110" s="79" t="str">
        <f ca="1">IFERROR(__xludf.DUMMYFUNCTION("""COMPUTED_VALUE"""),"Atención Integral para una Vida Digna con Discapacidad")</f>
        <v>Atención Integral para una Vida Digna con Discapacidad</v>
      </c>
      <c r="F110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10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10" s="79" t="str">
        <f ca="1">IFERROR(__xludf.DUMMYFUNCTION("""COMPUTED_VALUE"""),"MUJ Julio")</f>
        <v>MUJ Julio</v>
      </c>
      <c r="I110" s="79" t="str">
        <f ca="1">IFERROR(__xludf.DUMMYFUNCTION("""COMPUTED_VALUE"""),"Julio")</f>
        <v>Julio</v>
      </c>
      <c r="J110" s="79" t="str">
        <f ca="1">IFERROR(__xludf.DUMMYFUNCTION("""COMPUTED_VALUE"""),"MUJ")</f>
        <v>MUJ</v>
      </c>
      <c r="K110" s="80">
        <f ca="1">IFERROR(__xludf.DUMMYFUNCTION("""COMPUTED_VALUE"""),26)</f>
        <v>26</v>
      </c>
      <c r="L110" s="79" t="str">
        <f ca="1">IFERROR(__xludf.DUMMYFUNCTION("""COMPUTED_VALUE"""),"TRIMESTRE 3")</f>
        <v>TRIMESTRE 3</v>
      </c>
      <c r="M110" s="79" t="str">
        <f ca="1">IFERROR(__xludf.DUMMYFUNCTION("""COMPUTED_VALUE"""),"MUJERES ADULTAS")</f>
        <v>MUJERES ADULTAS</v>
      </c>
    </row>
    <row r="111" spans="1:26">
      <c r="A111" s="79" t="str">
        <f ca="1">IFERROR(__xludf.DUMMYFUNCTION("""COMPUTED_VALUE"""),"6.1.1.1")</f>
        <v>6.1.1.1</v>
      </c>
      <c r="B111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1" s="79" t="str">
        <f ca="1">IFERROR(__xludf.DUMMYFUNCTION("""COMPUTED_VALUE"""),"5. Inclusión")</f>
        <v>5. Inclusión</v>
      </c>
      <c r="D111" s="79" t="str">
        <f ca="1">IFERROR(__xludf.DUMMYFUNCTION("""COMPUTED_VALUE"""),"Guadalajara sin Barreras")</f>
        <v>Guadalajara sin Barreras</v>
      </c>
      <c r="E111" s="79" t="str">
        <f ca="1">IFERROR(__xludf.DUMMYFUNCTION("""COMPUTED_VALUE"""),"Atención Integral para una Vida Digna con Discapacidad")</f>
        <v>Atención Integral para una Vida Digna con Discapacidad</v>
      </c>
      <c r="F111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11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11" s="79" t="str">
        <f ca="1">IFERROR(__xludf.DUMMYFUNCTION("""COMPUTED_VALUE"""),"HOM Julio")</f>
        <v>HOM Julio</v>
      </c>
      <c r="I111" s="79" t="str">
        <f ca="1">IFERROR(__xludf.DUMMYFUNCTION("""COMPUTED_VALUE"""),"Julio")</f>
        <v>Julio</v>
      </c>
      <c r="J111" s="79" t="str">
        <f ca="1">IFERROR(__xludf.DUMMYFUNCTION("""COMPUTED_VALUE"""),"HOM")</f>
        <v>HOM</v>
      </c>
      <c r="K111" s="80">
        <f ca="1">IFERROR(__xludf.DUMMYFUNCTION("""COMPUTED_VALUE"""),37)</f>
        <v>37</v>
      </c>
      <c r="L111" s="79" t="str">
        <f ca="1">IFERROR(__xludf.DUMMYFUNCTION("""COMPUTED_VALUE"""),"TRIMESTRE 3")</f>
        <v>TRIMESTRE 3</v>
      </c>
      <c r="M111" s="79" t="str">
        <f ca="1">IFERROR(__xludf.DUMMYFUNCTION("""COMPUTED_VALUE"""),"HOMBRES ADULTOS")</f>
        <v>HOMBRES ADULTOS</v>
      </c>
    </row>
    <row r="112" spans="1:26">
      <c r="A112" s="79" t="str">
        <f ca="1">IFERROR(__xludf.DUMMYFUNCTION("""COMPUTED_VALUE"""),"6.1.1.1")</f>
        <v>6.1.1.1</v>
      </c>
      <c r="B112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2" s="79" t="str">
        <f ca="1">IFERROR(__xludf.DUMMYFUNCTION("""COMPUTED_VALUE"""),"5. Inclusión")</f>
        <v>5. Inclusión</v>
      </c>
      <c r="D112" s="79" t="str">
        <f ca="1">IFERROR(__xludf.DUMMYFUNCTION("""COMPUTED_VALUE"""),"Guadalajara sin Barreras")</f>
        <v>Guadalajara sin Barreras</v>
      </c>
      <c r="E112" s="79" t="str">
        <f ca="1">IFERROR(__xludf.DUMMYFUNCTION("""COMPUTED_VALUE"""),"Atención Integral para una Vida Digna con Discapacidad")</f>
        <v>Atención Integral para una Vida Digna con Discapacidad</v>
      </c>
      <c r="F112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12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12" s="79" t="str">
        <f ca="1">IFERROR(__xludf.DUMMYFUNCTION("""COMPUTED_VALUE"""),"AMM Julio")</f>
        <v>AMM Julio</v>
      </c>
      <c r="I112" s="79" t="str">
        <f ca="1">IFERROR(__xludf.DUMMYFUNCTION("""COMPUTED_VALUE"""),"Julio")</f>
        <v>Julio</v>
      </c>
      <c r="J112" s="79" t="str">
        <f ca="1">IFERROR(__xludf.DUMMYFUNCTION("""COMPUTED_VALUE"""),"AMM")</f>
        <v>AMM</v>
      </c>
      <c r="K112" s="80">
        <f ca="1">IFERROR(__xludf.DUMMYFUNCTION("""COMPUTED_VALUE"""),17)</f>
        <v>17</v>
      </c>
      <c r="L112" s="79" t="str">
        <f ca="1">IFERROR(__xludf.DUMMYFUNCTION("""COMPUTED_VALUE"""),"TRIMESTRE 3")</f>
        <v>TRIMESTRE 3</v>
      </c>
      <c r="M112" s="79" t="str">
        <f ca="1">IFERROR(__xludf.DUMMYFUNCTION("""COMPUTED_VALUE"""),"ADULTA MAYOR MUJER")</f>
        <v>ADULTA MAYOR MUJER</v>
      </c>
    </row>
    <row r="113" spans="1:13">
      <c r="A113" s="79" t="str">
        <f ca="1">IFERROR(__xludf.DUMMYFUNCTION("""COMPUTED_VALUE"""),"6.1.1.1")</f>
        <v>6.1.1.1</v>
      </c>
      <c r="B113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3" s="79" t="str">
        <f ca="1">IFERROR(__xludf.DUMMYFUNCTION("""COMPUTED_VALUE"""),"5. Inclusión")</f>
        <v>5. Inclusión</v>
      </c>
      <c r="D113" s="79" t="str">
        <f ca="1">IFERROR(__xludf.DUMMYFUNCTION("""COMPUTED_VALUE"""),"Guadalajara sin Barreras")</f>
        <v>Guadalajara sin Barreras</v>
      </c>
      <c r="E113" s="79" t="str">
        <f ca="1">IFERROR(__xludf.DUMMYFUNCTION("""COMPUTED_VALUE"""),"Atención Integral para una Vida Digna con Discapacidad")</f>
        <v>Atención Integral para una Vida Digna con Discapacidad</v>
      </c>
      <c r="F113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13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13" s="79" t="str">
        <f ca="1">IFERROR(__xludf.DUMMYFUNCTION("""COMPUTED_VALUE"""),"AMH Julio")</f>
        <v>AMH Julio</v>
      </c>
      <c r="I113" s="79" t="str">
        <f ca="1">IFERROR(__xludf.DUMMYFUNCTION("""COMPUTED_VALUE"""),"Julio")</f>
        <v>Julio</v>
      </c>
      <c r="J113" s="79" t="str">
        <f ca="1">IFERROR(__xludf.DUMMYFUNCTION("""COMPUTED_VALUE"""),"AMH")</f>
        <v>AMH</v>
      </c>
      <c r="K113" s="80">
        <f ca="1">IFERROR(__xludf.DUMMYFUNCTION("""COMPUTED_VALUE"""),0)</f>
        <v>0</v>
      </c>
      <c r="L113" s="79" t="str">
        <f ca="1">IFERROR(__xludf.DUMMYFUNCTION("""COMPUTED_VALUE"""),"TRIMESTRE 3")</f>
        <v>TRIMESTRE 3</v>
      </c>
      <c r="M113" s="79" t="str">
        <f ca="1">IFERROR(__xludf.DUMMYFUNCTION("""COMPUTED_VALUE"""),"ADULTO MAYOR HOMBRE")</f>
        <v>ADULTO MAYOR HOMBRE</v>
      </c>
    </row>
    <row r="114" spans="1:13">
      <c r="A114" s="79" t="str">
        <f ca="1">IFERROR(__xludf.DUMMYFUNCTION("""COMPUTED_VALUE"""),"6.1.1.0")</f>
        <v>6.1.1.0</v>
      </c>
      <c r="B114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4" s="79" t="str">
        <f ca="1">IFERROR(__xludf.DUMMYFUNCTION("""COMPUTED_VALUE"""),"5. Inclusión")</f>
        <v>5. Inclusión</v>
      </c>
      <c r="D114" s="79" t="str">
        <f ca="1">IFERROR(__xludf.DUMMYFUNCTION("""COMPUTED_VALUE"""),"Guadalajara sin Barreras")</f>
        <v>Guadalajara sin Barreras</v>
      </c>
      <c r="E114" s="79" t="str">
        <f ca="1">IFERROR(__xludf.DUMMYFUNCTION("""COMPUTED_VALUE"""),"Atención Integral para una Vida Digna con Discapacidad")</f>
        <v>Atención Integral para una Vida Digna con Discapacidad</v>
      </c>
      <c r="F114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14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14" s="79" t="str">
        <f ca="1">IFERROR(__xludf.DUMMYFUNCTION("""COMPUTED_VALUE"""),"NAS Agosto")</f>
        <v>NAS Agosto</v>
      </c>
      <c r="I114" s="79" t="str">
        <f ca="1">IFERROR(__xludf.DUMMYFUNCTION("""COMPUTED_VALUE"""),"Agosto")</f>
        <v>Agosto</v>
      </c>
      <c r="J114" s="79" t="str">
        <f ca="1">IFERROR(__xludf.DUMMYFUNCTION("""COMPUTED_VALUE"""),"NAS")</f>
        <v>NAS</v>
      </c>
      <c r="K114" s="80">
        <f ca="1">IFERROR(__xludf.DUMMYFUNCTION("""COMPUTED_VALUE"""),1)</f>
        <v>1</v>
      </c>
      <c r="L114" s="79" t="str">
        <f ca="1">IFERROR(__xludf.DUMMYFUNCTION("""COMPUTED_VALUE"""),"TRIMESTRE 3")</f>
        <v>TRIMESTRE 3</v>
      </c>
      <c r="M114" s="79" t="str">
        <f ca="1">IFERROR(__xludf.DUMMYFUNCTION("""COMPUTED_VALUE"""),"NIÑAS")</f>
        <v>NIÑAS</v>
      </c>
    </row>
    <row r="115" spans="1:13">
      <c r="A115" s="79" t="str">
        <f ca="1">IFERROR(__xludf.DUMMYFUNCTION("""COMPUTED_VALUE"""),"6.1.1.0")</f>
        <v>6.1.1.0</v>
      </c>
      <c r="B115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5" s="79" t="str">
        <f ca="1">IFERROR(__xludf.DUMMYFUNCTION("""COMPUTED_VALUE"""),"5. Inclusión")</f>
        <v>5. Inclusión</v>
      </c>
      <c r="D115" s="79" t="str">
        <f ca="1">IFERROR(__xludf.DUMMYFUNCTION("""COMPUTED_VALUE"""),"Guadalajara sin Barreras")</f>
        <v>Guadalajara sin Barreras</v>
      </c>
      <c r="E115" s="79" t="str">
        <f ca="1">IFERROR(__xludf.DUMMYFUNCTION("""COMPUTED_VALUE"""),"Atención Integral para una Vida Digna con Discapacidad")</f>
        <v>Atención Integral para una Vida Digna con Discapacidad</v>
      </c>
      <c r="F115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15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15" s="79" t="str">
        <f ca="1">IFERROR(__xludf.DUMMYFUNCTION("""COMPUTED_VALUE"""),"NOS Agosto")</f>
        <v>NOS Agosto</v>
      </c>
      <c r="I115" s="79" t="str">
        <f ca="1">IFERROR(__xludf.DUMMYFUNCTION("""COMPUTED_VALUE"""),"Agosto")</f>
        <v>Agosto</v>
      </c>
      <c r="J115" s="79" t="str">
        <f ca="1">IFERROR(__xludf.DUMMYFUNCTION("""COMPUTED_VALUE"""),"NOS")</f>
        <v>NOS</v>
      </c>
      <c r="K115" s="80">
        <f ca="1">IFERROR(__xludf.DUMMYFUNCTION("""COMPUTED_VALUE"""),4)</f>
        <v>4</v>
      </c>
      <c r="L115" s="79" t="str">
        <f ca="1">IFERROR(__xludf.DUMMYFUNCTION("""COMPUTED_VALUE"""),"TRIMESTRE 3")</f>
        <v>TRIMESTRE 3</v>
      </c>
      <c r="M115" s="79" t="str">
        <f ca="1">IFERROR(__xludf.DUMMYFUNCTION("""COMPUTED_VALUE"""),"NIÑOS")</f>
        <v>NIÑOS</v>
      </c>
    </row>
    <row r="116" spans="1:13">
      <c r="A116" s="79" t="str">
        <f ca="1">IFERROR(__xludf.DUMMYFUNCTION("""COMPUTED_VALUE"""),"6.1.1.0")</f>
        <v>6.1.1.0</v>
      </c>
      <c r="B116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6" s="79" t="str">
        <f ca="1">IFERROR(__xludf.DUMMYFUNCTION("""COMPUTED_VALUE"""),"5. Inclusión")</f>
        <v>5. Inclusión</v>
      </c>
      <c r="D116" s="79" t="str">
        <f ca="1">IFERROR(__xludf.DUMMYFUNCTION("""COMPUTED_VALUE"""),"Guadalajara sin Barreras")</f>
        <v>Guadalajara sin Barreras</v>
      </c>
      <c r="E116" s="79" t="str">
        <f ca="1">IFERROR(__xludf.DUMMYFUNCTION("""COMPUTED_VALUE"""),"Atención Integral para una Vida Digna con Discapacidad")</f>
        <v>Atención Integral para una Vida Digna con Discapacidad</v>
      </c>
      <c r="F116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16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16" s="79" t="str">
        <f ca="1">IFERROR(__xludf.DUMMYFUNCTION("""COMPUTED_VALUE"""),"AM AGOSTO")</f>
        <v>AM AGOSTO</v>
      </c>
      <c r="I116" s="79" t="str">
        <f ca="1">IFERROR(__xludf.DUMMYFUNCTION("""COMPUTED_VALUE"""),"Agosto")</f>
        <v>Agosto</v>
      </c>
      <c r="J116" s="79" t="str">
        <f ca="1">IFERROR(__xludf.DUMMYFUNCTION("""COMPUTED_VALUE"""),"AM")</f>
        <v>AM</v>
      </c>
      <c r="K116" s="80">
        <f ca="1">IFERROR(__xludf.DUMMYFUNCTION("""COMPUTED_VALUE"""),3)</f>
        <v>3</v>
      </c>
      <c r="L116" s="79" t="str">
        <f ca="1">IFERROR(__xludf.DUMMYFUNCTION("""COMPUTED_VALUE"""),"TRIMESTRE 3")</f>
        <v>TRIMESTRE 3</v>
      </c>
      <c r="M116" s="79" t="str">
        <f ca="1">IFERROR(__xludf.DUMMYFUNCTION("""COMPUTED_VALUE"""),"ADOLESCENTES MUJERES")</f>
        <v>ADOLESCENTES MUJERES</v>
      </c>
    </row>
    <row r="117" spans="1:13">
      <c r="A117" s="79" t="str">
        <f ca="1">IFERROR(__xludf.DUMMYFUNCTION("""COMPUTED_VALUE"""),"6.1.1.0")</f>
        <v>6.1.1.0</v>
      </c>
      <c r="B117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7" s="79" t="str">
        <f ca="1">IFERROR(__xludf.DUMMYFUNCTION("""COMPUTED_VALUE"""),"5. Inclusión")</f>
        <v>5. Inclusión</v>
      </c>
      <c r="D117" s="79" t="str">
        <f ca="1">IFERROR(__xludf.DUMMYFUNCTION("""COMPUTED_VALUE"""),"Guadalajara sin Barreras")</f>
        <v>Guadalajara sin Barreras</v>
      </c>
      <c r="E117" s="79" t="str">
        <f ca="1">IFERROR(__xludf.DUMMYFUNCTION("""COMPUTED_VALUE"""),"Atención Integral para una Vida Digna con Discapacidad")</f>
        <v>Atención Integral para una Vida Digna con Discapacidad</v>
      </c>
      <c r="F117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17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17" s="79" t="str">
        <f ca="1">IFERROR(__xludf.DUMMYFUNCTION("""COMPUTED_VALUE"""),"AH AGOSTO")</f>
        <v>AH AGOSTO</v>
      </c>
      <c r="I117" s="79" t="str">
        <f ca="1">IFERROR(__xludf.DUMMYFUNCTION("""COMPUTED_VALUE"""),"Agosto")</f>
        <v>Agosto</v>
      </c>
      <c r="J117" s="79" t="str">
        <f ca="1">IFERROR(__xludf.DUMMYFUNCTION("""COMPUTED_VALUE"""),"AH")</f>
        <v>AH</v>
      </c>
      <c r="K117" s="80">
        <f ca="1">IFERROR(__xludf.DUMMYFUNCTION("""COMPUTED_VALUE"""),2)</f>
        <v>2</v>
      </c>
      <c r="L117" s="79" t="str">
        <f ca="1">IFERROR(__xludf.DUMMYFUNCTION("""COMPUTED_VALUE"""),"TRIMESTRE 3")</f>
        <v>TRIMESTRE 3</v>
      </c>
      <c r="M117" s="79" t="str">
        <f ca="1">IFERROR(__xludf.DUMMYFUNCTION("""COMPUTED_VALUE"""),"ADOLESCENTES HOMBRES")</f>
        <v>ADOLESCENTES HOMBRES</v>
      </c>
    </row>
    <row r="118" spans="1:13">
      <c r="A118" s="79" t="str">
        <f ca="1">IFERROR(__xludf.DUMMYFUNCTION("""COMPUTED_VALUE"""),"6.1.1.0")</f>
        <v>6.1.1.0</v>
      </c>
      <c r="B118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8" s="79" t="str">
        <f ca="1">IFERROR(__xludf.DUMMYFUNCTION("""COMPUTED_VALUE"""),"5. Inclusión")</f>
        <v>5. Inclusión</v>
      </c>
      <c r="D118" s="79" t="str">
        <f ca="1">IFERROR(__xludf.DUMMYFUNCTION("""COMPUTED_VALUE"""),"Guadalajara sin Barreras")</f>
        <v>Guadalajara sin Barreras</v>
      </c>
      <c r="E118" s="79" t="str">
        <f ca="1">IFERROR(__xludf.DUMMYFUNCTION("""COMPUTED_VALUE"""),"Atención Integral para una Vida Digna con Discapacidad")</f>
        <v>Atención Integral para una Vida Digna con Discapacidad</v>
      </c>
      <c r="F118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18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18" s="79" t="str">
        <f ca="1">IFERROR(__xludf.DUMMYFUNCTION("""COMPUTED_VALUE"""),"MUJ Agosto")</f>
        <v>MUJ Agosto</v>
      </c>
      <c r="I118" s="79" t="str">
        <f ca="1">IFERROR(__xludf.DUMMYFUNCTION("""COMPUTED_VALUE"""),"Agosto")</f>
        <v>Agosto</v>
      </c>
      <c r="J118" s="79" t="str">
        <f ca="1">IFERROR(__xludf.DUMMYFUNCTION("""COMPUTED_VALUE"""),"MUJ")</f>
        <v>MUJ</v>
      </c>
      <c r="K118" s="80">
        <f ca="1">IFERROR(__xludf.DUMMYFUNCTION("""COMPUTED_VALUE"""),49)</f>
        <v>49</v>
      </c>
      <c r="L118" s="79" t="str">
        <f ca="1">IFERROR(__xludf.DUMMYFUNCTION("""COMPUTED_VALUE"""),"TRIMESTRE 3")</f>
        <v>TRIMESTRE 3</v>
      </c>
      <c r="M118" s="79" t="str">
        <f ca="1">IFERROR(__xludf.DUMMYFUNCTION("""COMPUTED_VALUE"""),"MUJERES ADULTAS")</f>
        <v>MUJERES ADULTAS</v>
      </c>
    </row>
    <row r="119" spans="1:13">
      <c r="A119" s="79" t="str">
        <f ca="1">IFERROR(__xludf.DUMMYFUNCTION("""COMPUTED_VALUE"""),"6.1.1.0")</f>
        <v>6.1.1.0</v>
      </c>
      <c r="B119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19" s="79" t="str">
        <f ca="1">IFERROR(__xludf.DUMMYFUNCTION("""COMPUTED_VALUE"""),"5. Inclusión")</f>
        <v>5. Inclusión</v>
      </c>
      <c r="D119" s="79" t="str">
        <f ca="1">IFERROR(__xludf.DUMMYFUNCTION("""COMPUTED_VALUE"""),"Guadalajara sin Barreras")</f>
        <v>Guadalajara sin Barreras</v>
      </c>
      <c r="E119" s="79" t="str">
        <f ca="1">IFERROR(__xludf.DUMMYFUNCTION("""COMPUTED_VALUE"""),"Atención Integral para una Vida Digna con Discapacidad")</f>
        <v>Atención Integral para una Vida Digna con Discapacidad</v>
      </c>
      <c r="F119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19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19" s="79" t="str">
        <f ca="1">IFERROR(__xludf.DUMMYFUNCTION("""COMPUTED_VALUE"""),"HOM Agosto")</f>
        <v>HOM Agosto</v>
      </c>
      <c r="I119" s="79" t="str">
        <f ca="1">IFERROR(__xludf.DUMMYFUNCTION("""COMPUTED_VALUE"""),"Agosto")</f>
        <v>Agosto</v>
      </c>
      <c r="J119" s="79" t="str">
        <f ca="1">IFERROR(__xludf.DUMMYFUNCTION("""COMPUTED_VALUE"""),"HOM")</f>
        <v>HOM</v>
      </c>
      <c r="K119" s="80">
        <f ca="1">IFERROR(__xludf.DUMMYFUNCTION("""COMPUTED_VALUE"""),68)</f>
        <v>68</v>
      </c>
      <c r="L119" s="79" t="str">
        <f ca="1">IFERROR(__xludf.DUMMYFUNCTION("""COMPUTED_VALUE"""),"TRIMESTRE 3")</f>
        <v>TRIMESTRE 3</v>
      </c>
      <c r="M119" s="79" t="str">
        <f ca="1">IFERROR(__xludf.DUMMYFUNCTION("""COMPUTED_VALUE"""),"HOMBRES ADULTOS")</f>
        <v>HOMBRES ADULTOS</v>
      </c>
    </row>
    <row r="120" spans="1:13">
      <c r="A120" s="79" t="str">
        <f ca="1">IFERROR(__xludf.DUMMYFUNCTION("""COMPUTED_VALUE"""),"6.1.1.0")</f>
        <v>6.1.1.0</v>
      </c>
      <c r="B120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0" s="79" t="str">
        <f ca="1">IFERROR(__xludf.DUMMYFUNCTION("""COMPUTED_VALUE"""),"5. Inclusión")</f>
        <v>5. Inclusión</v>
      </c>
      <c r="D120" s="79" t="str">
        <f ca="1">IFERROR(__xludf.DUMMYFUNCTION("""COMPUTED_VALUE"""),"Guadalajara sin Barreras")</f>
        <v>Guadalajara sin Barreras</v>
      </c>
      <c r="E120" s="79" t="str">
        <f ca="1">IFERROR(__xludf.DUMMYFUNCTION("""COMPUTED_VALUE"""),"Atención Integral para una Vida Digna con Discapacidad")</f>
        <v>Atención Integral para una Vida Digna con Discapacidad</v>
      </c>
      <c r="F120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20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20" s="79" t="str">
        <f ca="1">IFERROR(__xludf.DUMMYFUNCTION("""COMPUTED_VALUE"""),"AMM Agosto")</f>
        <v>AMM Agosto</v>
      </c>
      <c r="I120" s="79" t="str">
        <f ca="1">IFERROR(__xludf.DUMMYFUNCTION("""COMPUTED_VALUE"""),"Agosto")</f>
        <v>Agosto</v>
      </c>
      <c r="J120" s="79" t="str">
        <f ca="1">IFERROR(__xludf.DUMMYFUNCTION("""COMPUTED_VALUE"""),"AMM")</f>
        <v>AMM</v>
      </c>
      <c r="K120" s="80">
        <f ca="1">IFERROR(__xludf.DUMMYFUNCTION("""COMPUTED_VALUE"""),26)</f>
        <v>26</v>
      </c>
      <c r="L120" s="79" t="str">
        <f ca="1">IFERROR(__xludf.DUMMYFUNCTION("""COMPUTED_VALUE"""),"TRIMESTRE 3")</f>
        <v>TRIMESTRE 3</v>
      </c>
      <c r="M120" s="79" t="str">
        <f ca="1">IFERROR(__xludf.DUMMYFUNCTION("""COMPUTED_VALUE"""),"ADULTA MAYOR MUJER")</f>
        <v>ADULTA MAYOR MUJER</v>
      </c>
    </row>
    <row r="121" spans="1:13">
      <c r="A121" s="79" t="str">
        <f ca="1">IFERROR(__xludf.DUMMYFUNCTION("""COMPUTED_VALUE"""),"6.1.1.0")</f>
        <v>6.1.1.0</v>
      </c>
      <c r="B121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1" s="79" t="str">
        <f ca="1">IFERROR(__xludf.DUMMYFUNCTION("""COMPUTED_VALUE"""),"5. Inclusión")</f>
        <v>5. Inclusión</v>
      </c>
      <c r="D121" s="79" t="str">
        <f ca="1">IFERROR(__xludf.DUMMYFUNCTION("""COMPUTED_VALUE"""),"Guadalajara sin Barreras")</f>
        <v>Guadalajara sin Barreras</v>
      </c>
      <c r="E121" s="79" t="str">
        <f ca="1">IFERROR(__xludf.DUMMYFUNCTION("""COMPUTED_VALUE"""),"Atención Integral para una Vida Digna con Discapacidad")</f>
        <v>Atención Integral para una Vida Digna con Discapacidad</v>
      </c>
      <c r="F121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21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21" s="79" t="str">
        <f ca="1">IFERROR(__xludf.DUMMYFUNCTION("""COMPUTED_VALUE"""),"AMH Agosto")</f>
        <v>AMH Agosto</v>
      </c>
      <c r="I121" s="79" t="str">
        <f ca="1">IFERROR(__xludf.DUMMYFUNCTION("""COMPUTED_VALUE"""),"Agosto")</f>
        <v>Agosto</v>
      </c>
      <c r="J121" s="79" t="str">
        <f ca="1">IFERROR(__xludf.DUMMYFUNCTION("""COMPUTED_VALUE"""),"AMH")</f>
        <v>AMH</v>
      </c>
      <c r="K121" s="80">
        <f ca="1">IFERROR(__xludf.DUMMYFUNCTION("""COMPUTED_VALUE"""),2)</f>
        <v>2</v>
      </c>
      <c r="L121" s="79" t="str">
        <f ca="1">IFERROR(__xludf.DUMMYFUNCTION("""COMPUTED_VALUE"""),"TRIMESTRE 3")</f>
        <v>TRIMESTRE 3</v>
      </c>
      <c r="M121" s="79" t="str">
        <f ca="1">IFERROR(__xludf.DUMMYFUNCTION("""COMPUTED_VALUE"""),"ADULTO MAYOR HOMBRE")</f>
        <v>ADULTO MAYOR HOMBRE</v>
      </c>
    </row>
    <row r="122" spans="1:13">
      <c r="A122" s="79" t="str">
        <f ca="1">IFERROR(__xludf.DUMMYFUNCTION("""COMPUTED_VALUE"""),"6.1.1.1")</f>
        <v>6.1.1.1</v>
      </c>
      <c r="B122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2" s="79" t="str">
        <f ca="1">IFERROR(__xludf.DUMMYFUNCTION("""COMPUTED_VALUE"""),"5. Inclusión")</f>
        <v>5. Inclusión</v>
      </c>
      <c r="D122" s="79" t="str">
        <f ca="1">IFERROR(__xludf.DUMMYFUNCTION("""COMPUTED_VALUE"""),"Guadalajara sin Barreras")</f>
        <v>Guadalajara sin Barreras</v>
      </c>
      <c r="E122" s="79" t="str">
        <f ca="1">IFERROR(__xludf.DUMMYFUNCTION("""COMPUTED_VALUE"""),"Atención Integral para una Vida Digna con Discapacidad")</f>
        <v>Atención Integral para una Vida Digna con Discapacidad</v>
      </c>
      <c r="F122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2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2" s="79" t="str">
        <f ca="1">IFERROR(__xludf.DUMMYFUNCTION("""COMPUTED_VALUE"""),"NAS Agosto")</f>
        <v>NAS Agosto</v>
      </c>
      <c r="I122" s="79" t="str">
        <f ca="1">IFERROR(__xludf.DUMMYFUNCTION("""COMPUTED_VALUE"""),"Agosto")</f>
        <v>Agosto</v>
      </c>
      <c r="J122" s="79" t="str">
        <f ca="1">IFERROR(__xludf.DUMMYFUNCTION("""COMPUTED_VALUE"""),"NAS")</f>
        <v>NAS</v>
      </c>
      <c r="K122" s="80">
        <f ca="1">IFERROR(__xludf.DUMMYFUNCTION("""COMPUTED_VALUE"""),0)</f>
        <v>0</v>
      </c>
      <c r="L122" s="79" t="str">
        <f ca="1">IFERROR(__xludf.DUMMYFUNCTION("""COMPUTED_VALUE"""),"TRIMESTRE 3")</f>
        <v>TRIMESTRE 3</v>
      </c>
      <c r="M122" s="79" t="str">
        <f ca="1">IFERROR(__xludf.DUMMYFUNCTION("""COMPUTED_VALUE"""),"NIÑAS")</f>
        <v>NIÑAS</v>
      </c>
    </row>
    <row r="123" spans="1:13">
      <c r="A123" s="79" t="str">
        <f ca="1">IFERROR(__xludf.DUMMYFUNCTION("""COMPUTED_VALUE"""),"6.1.1.1")</f>
        <v>6.1.1.1</v>
      </c>
      <c r="B123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3" s="79" t="str">
        <f ca="1">IFERROR(__xludf.DUMMYFUNCTION("""COMPUTED_VALUE"""),"5. Inclusión")</f>
        <v>5. Inclusión</v>
      </c>
      <c r="D123" s="79" t="str">
        <f ca="1">IFERROR(__xludf.DUMMYFUNCTION("""COMPUTED_VALUE"""),"Guadalajara sin Barreras")</f>
        <v>Guadalajara sin Barreras</v>
      </c>
      <c r="E123" s="79" t="str">
        <f ca="1">IFERROR(__xludf.DUMMYFUNCTION("""COMPUTED_VALUE"""),"Atención Integral para una Vida Digna con Discapacidad")</f>
        <v>Atención Integral para una Vida Digna con Discapacidad</v>
      </c>
      <c r="F123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3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3" s="79" t="str">
        <f ca="1">IFERROR(__xludf.DUMMYFUNCTION("""COMPUTED_VALUE"""),"NOS Agosto")</f>
        <v>NOS Agosto</v>
      </c>
      <c r="I123" s="79" t="str">
        <f ca="1">IFERROR(__xludf.DUMMYFUNCTION("""COMPUTED_VALUE"""),"Agosto")</f>
        <v>Agosto</v>
      </c>
      <c r="J123" s="79" t="str">
        <f ca="1">IFERROR(__xludf.DUMMYFUNCTION("""COMPUTED_VALUE"""),"NOS")</f>
        <v>NOS</v>
      </c>
      <c r="K123" s="80">
        <f ca="1">IFERROR(__xludf.DUMMYFUNCTION("""COMPUTED_VALUE"""),0)</f>
        <v>0</v>
      </c>
      <c r="L123" s="79" t="str">
        <f ca="1">IFERROR(__xludf.DUMMYFUNCTION("""COMPUTED_VALUE"""),"TRIMESTRE 3")</f>
        <v>TRIMESTRE 3</v>
      </c>
      <c r="M123" s="79" t="str">
        <f ca="1">IFERROR(__xludf.DUMMYFUNCTION("""COMPUTED_VALUE"""),"NIÑOS")</f>
        <v>NIÑOS</v>
      </c>
    </row>
    <row r="124" spans="1:13">
      <c r="A124" s="79" t="str">
        <f ca="1">IFERROR(__xludf.DUMMYFUNCTION("""COMPUTED_VALUE"""),"6.1.1.1")</f>
        <v>6.1.1.1</v>
      </c>
      <c r="B124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4" s="79" t="str">
        <f ca="1">IFERROR(__xludf.DUMMYFUNCTION("""COMPUTED_VALUE"""),"5. Inclusión")</f>
        <v>5. Inclusión</v>
      </c>
      <c r="D124" s="79" t="str">
        <f ca="1">IFERROR(__xludf.DUMMYFUNCTION("""COMPUTED_VALUE"""),"Guadalajara sin Barreras")</f>
        <v>Guadalajara sin Barreras</v>
      </c>
      <c r="E124" s="79" t="str">
        <f ca="1">IFERROR(__xludf.DUMMYFUNCTION("""COMPUTED_VALUE"""),"Atención Integral para una Vida Digna con Discapacidad")</f>
        <v>Atención Integral para una Vida Digna con Discapacidad</v>
      </c>
      <c r="F124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4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4" s="79" t="str">
        <f ca="1">IFERROR(__xludf.DUMMYFUNCTION("""COMPUTED_VALUE"""),"AM AGOSTO")</f>
        <v>AM AGOSTO</v>
      </c>
      <c r="I124" s="79" t="str">
        <f ca="1">IFERROR(__xludf.DUMMYFUNCTION("""COMPUTED_VALUE"""),"Agosto")</f>
        <v>Agosto</v>
      </c>
      <c r="J124" s="79" t="str">
        <f ca="1">IFERROR(__xludf.DUMMYFUNCTION("""COMPUTED_VALUE"""),"AM")</f>
        <v>AM</v>
      </c>
      <c r="K124" s="80">
        <f ca="1">IFERROR(__xludf.DUMMYFUNCTION("""COMPUTED_VALUE"""),5)</f>
        <v>5</v>
      </c>
      <c r="L124" s="79" t="str">
        <f ca="1">IFERROR(__xludf.DUMMYFUNCTION("""COMPUTED_VALUE"""),"TRIMESTRE 3")</f>
        <v>TRIMESTRE 3</v>
      </c>
      <c r="M124" s="79" t="str">
        <f ca="1">IFERROR(__xludf.DUMMYFUNCTION("""COMPUTED_VALUE"""),"ADOLESCENTES MUJERES")</f>
        <v>ADOLESCENTES MUJERES</v>
      </c>
    </row>
    <row r="125" spans="1:13">
      <c r="A125" s="79" t="str">
        <f ca="1">IFERROR(__xludf.DUMMYFUNCTION("""COMPUTED_VALUE"""),"6.1.1.1")</f>
        <v>6.1.1.1</v>
      </c>
      <c r="B125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5" s="79" t="str">
        <f ca="1">IFERROR(__xludf.DUMMYFUNCTION("""COMPUTED_VALUE"""),"5. Inclusión")</f>
        <v>5. Inclusión</v>
      </c>
      <c r="D125" s="79" t="str">
        <f ca="1">IFERROR(__xludf.DUMMYFUNCTION("""COMPUTED_VALUE"""),"Guadalajara sin Barreras")</f>
        <v>Guadalajara sin Barreras</v>
      </c>
      <c r="E125" s="79" t="str">
        <f ca="1">IFERROR(__xludf.DUMMYFUNCTION("""COMPUTED_VALUE"""),"Atención Integral para una Vida Digna con Discapacidad")</f>
        <v>Atención Integral para una Vida Digna con Discapacidad</v>
      </c>
      <c r="F125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5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5" s="79" t="str">
        <f ca="1">IFERROR(__xludf.DUMMYFUNCTION("""COMPUTED_VALUE"""),"AH AGOSTO")</f>
        <v>AH AGOSTO</v>
      </c>
      <c r="I125" s="79" t="str">
        <f ca="1">IFERROR(__xludf.DUMMYFUNCTION("""COMPUTED_VALUE"""),"Agosto")</f>
        <v>Agosto</v>
      </c>
      <c r="J125" s="79" t="str">
        <f ca="1">IFERROR(__xludf.DUMMYFUNCTION("""COMPUTED_VALUE"""),"AH")</f>
        <v>AH</v>
      </c>
      <c r="K125" s="80">
        <f ca="1">IFERROR(__xludf.DUMMYFUNCTION("""COMPUTED_VALUE"""),6)</f>
        <v>6</v>
      </c>
      <c r="L125" s="79" t="str">
        <f ca="1">IFERROR(__xludf.DUMMYFUNCTION("""COMPUTED_VALUE"""),"TRIMESTRE 3")</f>
        <v>TRIMESTRE 3</v>
      </c>
      <c r="M125" s="79" t="str">
        <f ca="1">IFERROR(__xludf.DUMMYFUNCTION("""COMPUTED_VALUE"""),"ADOLESCENTES HOMBRES")</f>
        <v>ADOLESCENTES HOMBRES</v>
      </c>
    </row>
    <row r="126" spans="1:13">
      <c r="A126" s="79" t="str">
        <f ca="1">IFERROR(__xludf.DUMMYFUNCTION("""COMPUTED_VALUE"""),"6.1.1.1")</f>
        <v>6.1.1.1</v>
      </c>
      <c r="B126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6" s="79" t="str">
        <f ca="1">IFERROR(__xludf.DUMMYFUNCTION("""COMPUTED_VALUE"""),"5. Inclusión")</f>
        <v>5. Inclusión</v>
      </c>
      <c r="D126" s="79" t="str">
        <f ca="1">IFERROR(__xludf.DUMMYFUNCTION("""COMPUTED_VALUE"""),"Guadalajara sin Barreras")</f>
        <v>Guadalajara sin Barreras</v>
      </c>
      <c r="E126" s="79" t="str">
        <f ca="1">IFERROR(__xludf.DUMMYFUNCTION("""COMPUTED_VALUE"""),"Atención Integral para una Vida Digna con Discapacidad")</f>
        <v>Atención Integral para una Vida Digna con Discapacidad</v>
      </c>
      <c r="F126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6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6" s="79" t="str">
        <f ca="1">IFERROR(__xludf.DUMMYFUNCTION("""COMPUTED_VALUE"""),"MUJ Agosto")</f>
        <v>MUJ Agosto</v>
      </c>
      <c r="I126" s="79" t="str">
        <f ca="1">IFERROR(__xludf.DUMMYFUNCTION("""COMPUTED_VALUE"""),"Agosto")</f>
        <v>Agosto</v>
      </c>
      <c r="J126" s="79" t="str">
        <f ca="1">IFERROR(__xludf.DUMMYFUNCTION("""COMPUTED_VALUE"""),"MUJ")</f>
        <v>MUJ</v>
      </c>
      <c r="K126" s="80">
        <f ca="1">IFERROR(__xludf.DUMMYFUNCTION("""COMPUTED_VALUE"""),50)</f>
        <v>50</v>
      </c>
      <c r="L126" s="79" t="str">
        <f ca="1">IFERROR(__xludf.DUMMYFUNCTION("""COMPUTED_VALUE"""),"TRIMESTRE 3")</f>
        <v>TRIMESTRE 3</v>
      </c>
      <c r="M126" s="79" t="str">
        <f ca="1">IFERROR(__xludf.DUMMYFUNCTION("""COMPUTED_VALUE"""),"MUJERES ADULTAS")</f>
        <v>MUJERES ADULTAS</v>
      </c>
    </row>
    <row r="127" spans="1:13">
      <c r="A127" s="79" t="str">
        <f ca="1">IFERROR(__xludf.DUMMYFUNCTION("""COMPUTED_VALUE"""),"6.1.1.1")</f>
        <v>6.1.1.1</v>
      </c>
      <c r="B127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7" s="79" t="str">
        <f ca="1">IFERROR(__xludf.DUMMYFUNCTION("""COMPUTED_VALUE"""),"5. Inclusión")</f>
        <v>5. Inclusión</v>
      </c>
      <c r="D127" s="79" t="str">
        <f ca="1">IFERROR(__xludf.DUMMYFUNCTION("""COMPUTED_VALUE"""),"Guadalajara sin Barreras")</f>
        <v>Guadalajara sin Barreras</v>
      </c>
      <c r="E127" s="79" t="str">
        <f ca="1">IFERROR(__xludf.DUMMYFUNCTION("""COMPUTED_VALUE"""),"Atención Integral para una Vida Digna con Discapacidad")</f>
        <v>Atención Integral para una Vida Digna con Discapacidad</v>
      </c>
      <c r="F127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7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7" s="79" t="str">
        <f ca="1">IFERROR(__xludf.DUMMYFUNCTION("""COMPUTED_VALUE"""),"HOM Agosto")</f>
        <v>HOM Agosto</v>
      </c>
      <c r="I127" s="79" t="str">
        <f ca="1">IFERROR(__xludf.DUMMYFUNCTION("""COMPUTED_VALUE"""),"Agosto")</f>
        <v>Agosto</v>
      </c>
      <c r="J127" s="79" t="str">
        <f ca="1">IFERROR(__xludf.DUMMYFUNCTION("""COMPUTED_VALUE"""),"HOM")</f>
        <v>HOM</v>
      </c>
      <c r="K127" s="80">
        <f ca="1">IFERROR(__xludf.DUMMYFUNCTION("""COMPUTED_VALUE"""),54)</f>
        <v>54</v>
      </c>
      <c r="L127" s="79" t="str">
        <f ca="1">IFERROR(__xludf.DUMMYFUNCTION("""COMPUTED_VALUE"""),"TRIMESTRE 3")</f>
        <v>TRIMESTRE 3</v>
      </c>
      <c r="M127" s="79" t="str">
        <f ca="1">IFERROR(__xludf.DUMMYFUNCTION("""COMPUTED_VALUE"""),"HOMBRES ADULTOS")</f>
        <v>HOMBRES ADULTOS</v>
      </c>
    </row>
    <row r="128" spans="1:13">
      <c r="A128" s="79" t="str">
        <f ca="1">IFERROR(__xludf.DUMMYFUNCTION("""COMPUTED_VALUE"""),"6.1.1.1")</f>
        <v>6.1.1.1</v>
      </c>
      <c r="B128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8" s="79" t="str">
        <f ca="1">IFERROR(__xludf.DUMMYFUNCTION("""COMPUTED_VALUE"""),"5. Inclusión")</f>
        <v>5. Inclusión</v>
      </c>
      <c r="D128" s="79" t="str">
        <f ca="1">IFERROR(__xludf.DUMMYFUNCTION("""COMPUTED_VALUE"""),"Guadalajara sin Barreras")</f>
        <v>Guadalajara sin Barreras</v>
      </c>
      <c r="E128" s="79" t="str">
        <f ca="1">IFERROR(__xludf.DUMMYFUNCTION("""COMPUTED_VALUE"""),"Atención Integral para una Vida Digna con Discapacidad")</f>
        <v>Atención Integral para una Vida Digna con Discapacidad</v>
      </c>
      <c r="F128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8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8" s="79" t="str">
        <f ca="1">IFERROR(__xludf.DUMMYFUNCTION("""COMPUTED_VALUE"""),"AMM Agosto")</f>
        <v>AMM Agosto</v>
      </c>
      <c r="I128" s="79" t="str">
        <f ca="1">IFERROR(__xludf.DUMMYFUNCTION("""COMPUTED_VALUE"""),"Agosto")</f>
        <v>Agosto</v>
      </c>
      <c r="J128" s="79" t="str">
        <f ca="1">IFERROR(__xludf.DUMMYFUNCTION("""COMPUTED_VALUE"""),"AMM")</f>
        <v>AMM</v>
      </c>
      <c r="K128" s="80">
        <f ca="1">IFERROR(__xludf.DUMMYFUNCTION("""COMPUTED_VALUE"""),27)</f>
        <v>27</v>
      </c>
      <c r="L128" s="79" t="str">
        <f ca="1">IFERROR(__xludf.DUMMYFUNCTION("""COMPUTED_VALUE"""),"TRIMESTRE 3")</f>
        <v>TRIMESTRE 3</v>
      </c>
      <c r="M128" s="79" t="str">
        <f ca="1">IFERROR(__xludf.DUMMYFUNCTION("""COMPUTED_VALUE"""),"ADULTA MAYOR MUJER")</f>
        <v>ADULTA MAYOR MUJER</v>
      </c>
    </row>
    <row r="129" spans="1:26">
      <c r="A129" s="79" t="str">
        <f ca="1">IFERROR(__xludf.DUMMYFUNCTION("""COMPUTED_VALUE"""),"6.1.1.1")</f>
        <v>6.1.1.1</v>
      </c>
      <c r="B129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29" s="79" t="str">
        <f ca="1">IFERROR(__xludf.DUMMYFUNCTION("""COMPUTED_VALUE"""),"5. Inclusión")</f>
        <v>5. Inclusión</v>
      </c>
      <c r="D129" s="79" t="str">
        <f ca="1">IFERROR(__xludf.DUMMYFUNCTION("""COMPUTED_VALUE"""),"Guadalajara sin Barreras")</f>
        <v>Guadalajara sin Barreras</v>
      </c>
      <c r="E129" s="79" t="str">
        <f ca="1">IFERROR(__xludf.DUMMYFUNCTION("""COMPUTED_VALUE"""),"Atención Integral para una Vida Digna con Discapacidad")</f>
        <v>Atención Integral para una Vida Digna con Discapacidad</v>
      </c>
      <c r="F129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29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29" s="79" t="str">
        <f ca="1">IFERROR(__xludf.DUMMYFUNCTION("""COMPUTED_VALUE"""),"AMH Agosto")</f>
        <v>AMH Agosto</v>
      </c>
      <c r="I129" s="79" t="str">
        <f ca="1">IFERROR(__xludf.DUMMYFUNCTION("""COMPUTED_VALUE"""),"Agosto")</f>
        <v>Agosto</v>
      </c>
      <c r="J129" s="79" t="str">
        <f ca="1">IFERROR(__xludf.DUMMYFUNCTION("""COMPUTED_VALUE"""),"AMH")</f>
        <v>AMH</v>
      </c>
      <c r="K129" s="80">
        <f ca="1">IFERROR(__xludf.DUMMYFUNCTION("""COMPUTED_VALUE"""),1)</f>
        <v>1</v>
      </c>
      <c r="L129" s="79" t="str">
        <f ca="1">IFERROR(__xludf.DUMMYFUNCTION("""COMPUTED_VALUE"""),"TRIMESTRE 3")</f>
        <v>TRIMESTRE 3</v>
      </c>
      <c r="M129" s="79" t="str">
        <f ca="1">IFERROR(__xludf.DUMMYFUNCTION("""COMPUTED_VALUE"""),"ADULTO MAYOR HOMBRE")</f>
        <v>ADULTO MAYOR HOMBRE</v>
      </c>
    </row>
    <row r="130" spans="1:26">
      <c r="A130" s="81" t="str">
        <f ca="1">IFERROR(__xludf.DUMMYFUNCTION("""COMPUTED_VALUE"""),"6.1.1.0")</f>
        <v>6.1.1.0</v>
      </c>
      <c r="B130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0" s="81" t="str">
        <f ca="1">IFERROR(__xludf.DUMMYFUNCTION("""COMPUTED_VALUE"""),"5. Inclusión")</f>
        <v>5. Inclusión</v>
      </c>
      <c r="D130" s="81" t="str">
        <f ca="1">IFERROR(__xludf.DUMMYFUNCTION("""COMPUTED_VALUE"""),"Guadalajara sin Barreras")</f>
        <v>Guadalajara sin Barreras</v>
      </c>
      <c r="E130" s="81" t="str">
        <f ca="1">IFERROR(__xludf.DUMMYFUNCTION("""COMPUTED_VALUE"""),"Atención Integral para una Vida Digna con Discapacidad")</f>
        <v>Atención Integral para una Vida Digna con Discapacidad</v>
      </c>
      <c r="F130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0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0" s="81" t="str">
        <f ca="1">IFERROR(__xludf.DUMMYFUNCTION("""COMPUTED_VALUE"""),"NAS Septiembre")</f>
        <v>NAS Septiembre</v>
      </c>
      <c r="I130" s="81" t="str">
        <f ca="1">IFERROR(__xludf.DUMMYFUNCTION("""COMPUTED_VALUE"""),"Septiembre")</f>
        <v>Septiembre</v>
      </c>
      <c r="J130" s="81" t="str">
        <f ca="1">IFERROR(__xludf.DUMMYFUNCTION("""COMPUTED_VALUE"""),"NAS")</f>
        <v>NAS</v>
      </c>
      <c r="K130" s="80">
        <f ca="1">IFERROR(__xludf.DUMMYFUNCTION("""COMPUTED_VALUE"""),1)</f>
        <v>1</v>
      </c>
      <c r="L130" s="81" t="str">
        <f ca="1">IFERROR(__xludf.DUMMYFUNCTION("""COMPUTED_VALUE"""),"TRIMESTRE 3")</f>
        <v>TRIMESTRE 3</v>
      </c>
      <c r="M130" s="81" t="str">
        <f ca="1">IFERROR(__xludf.DUMMYFUNCTION("""COMPUTED_VALUE"""),"NIÑAS")</f>
        <v>NIÑAS</v>
      </c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</row>
    <row r="131" spans="1:26">
      <c r="A131" s="81" t="str">
        <f ca="1">IFERROR(__xludf.DUMMYFUNCTION("""COMPUTED_VALUE"""),"6.1.1.0")</f>
        <v>6.1.1.0</v>
      </c>
      <c r="B131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1" s="81" t="str">
        <f ca="1">IFERROR(__xludf.DUMMYFUNCTION("""COMPUTED_VALUE"""),"5. Inclusión")</f>
        <v>5. Inclusión</v>
      </c>
      <c r="D131" s="81" t="str">
        <f ca="1">IFERROR(__xludf.DUMMYFUNCTION("""COMPUTED_VALUE"""),"Guadalajara sin Barreras")</f>
        <v>Guadalajara sin Barreras</v>
      </c>
      <c r="E131" s="81" t="str">
        <f ca="1">IFERROR(__xludf.DUMMYFUNCTION("""COMPUTED_VALUE"""),"Atención Integral para una Vida Digna con Discapacidad")</f>
        <v>Atención Integral para una Vida Digna con Discapacidad</v>
      </c>
      <c r="F131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1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1" s="81" t="str">
        <f ca="1">IFERROR(__xludf.DUMMYFUNCTION("""COMPUTED_VALUE"""),"NOS Septiembre")</f>
        <v>NOS Septiembre</v>
      </c>
      <c r="I131" s="81" t="str">
        <f ca="1">IFERROR(__xludf.DUMMYFUNCTION("""COMPUTED_VALUE"""),"Septiembre")</f>
        <v>Septiembre</v>
      </c>
      <c r="J131" s="81" t="str">
        <f ca="1">IFERROR(__xludf.DUMMYFUNCTION("""COMPUTED_VALUE"""),"NOS")</f>
        <v>NOS</v>
      </c>
      <c r="K131" s="80">
        <f ca="1">IFERROR(__xludf.DUMMYFUNCTION("""COMPUTED_VALUE"""),8)</f>
        <v>8</v>
      </c>
      <c r="L131" s="81" t="str">
        <f ca="1">IFERROR(__xludf.DUMMYFUNCTION("""COMPUTED_VALUE"""),"TRIMESTRE 3")</f>
        <v>TRIMESTRE 3</v>
      </c>
      <c r="M131" s="81" t="str">
        <f ca="1">IFERROR(__xludf.DUMMYFUNCTION("""COMPUTED_VALUE"""),"NIÑOS")</f>
        <v>NIÑOS</v>
      </c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</row>
    <row r="132" spans="1:26">
      <c r="A132" s="81" t="str">
        <f ca="1">IFERROR(__xludf.DUMMYFUNCTION("""COMPUTED_VALUE"""),"6.1.1.0")</f>
        <v>6.1.1.0</v>
      </c>
      <c r="B132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2" s="81" t="str">
        <f ca="1">IFERROR(__xludf.DUMMYFUNCTION("""COMPUTED_VALUE"""),"5. Inclusión")</f>
        <v>5. Inclusión</v>
      </c>
      <c r="D132" s="81" t="str">
        <f ca="1">IFERROR(__xludf.DUMMYFUNCTION("""COMPUTED_VALUE"""),"Guadalajara sin Barreras")</f>
        <v>Guadalajara sin Barreras</v>
      </c>
      <c r="E132" s="81" t="str">
        <f ca="1">IFERROR(__xludf.DUMMYFUNCTION("""COMPUTED_VALUE"""),"Atención Integral para una Vida Digna con Discapacidad")</f>
        <v>Atención Integral para una Vida Digna con Discapacidad</v>
      </c>
      <c r="F132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2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2" s="81" t="str">
        <f ca="1">IFERROR(__xludf.DUMMYFUNCTION("""COMPUTED_VALUE"""),"AM SEPTIEMBRE")</f>
        <v>AM SEPTIEMBRE</v>
      </c>
      <c r="I132" s="81" t="str">
        <f ca="1">IFERROR(__xludf.DUMMYFUNCTION("""COMPUTED_VALUE"""),"Septiembre")</f>
        <v>Septiembre</v>
      </c>
      <c r="J132" s="81" t="str">
        <f ca="1">IFERROR(__xludf.DUMMYFUNCTION("""COMPUTED_VALUE"""),"AM")</f>
        <v>AM</v>
      </c>
      <c r="K132" s="80">
        <f ca="1">IFERROR(__xludf.DUMMYFUNCTION("""COMPUTED_VALUE"""),1)</f>
        <v>1</v>
      </c>
      <c r="L132" s="81" t="str">
        <f ca="1">IFERROR(__xludf.DUMMYFUNCTION("""COMPUTED_VALUE"""),"TRIMESTRE 3")</f>
        <v>TRIMESTRE 3</v>
      </c>
      <c r="M132" s="81" t="str">
        <f ca="1">IFERROR(__xludf.DUMMYFUNCTION("""COMPUTED_VALUE"""),"ADOLESCENTES MUJERES")</f>
        <v>ADOLESCENTES MUJERES</v>
      </c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</row>
    <row r="133" spans="1:26">
      <c r="A133" s="81" t="str">
        <f ca="1">IFERROR(__xludf.DUMMYFUNCTION("""COMPUTED_VALUE"""),"6.1.1.0")</f>
        <v>6.1.1.0</v>
      </c>
      <c r="B133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3" s="81" t="str">
        <f ca="1">IFERROR(__xludf.DUMMYFUNCTION("""COMPUTED_VALUE"""),"5. Inclusión")</f>
        <v>5. Inclusión</v>
      </c>
      <c r="D133" s="81" t="str">
        <f ca="1">IFERROR(__xludf.DUMMYFUNCTION("""COMPUTED_VALUE"""),"Guadalajara sin Barreras")</f>
        <v>Guadalajara sin Barreras</v>
      </c>
      <c r="E133" s="81" t="str">
        <f ca="1">IFERROR(__xludf.DUMMYFUNCTION("""COMPUTED_VALUE"""),"Atención Integral para una Vida Digna con Discapacidad")</f>
        <v>Atención Integral para una Vida Digna con Discapacidad</v>
      </c>
      <c r="F133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3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3" s="81" t="str">
        <f ca="1">IFERROR(__xludf.DUMMYFUNCTION("""COMPUTED_VALUE"""),"AH SEPTIEMBRE")</f>
        <v>AH SEPTIEMBRE</v>
      </c>
      <c r="I133" s="81" t="str">
        <f ca="1">IFERROR(__xludf.DUMMYFUNCTION("""COMPUTED_VALUE"""),"Septiembre")</f>
        <v>Septiembre</v>
      </c>
      <c r="J133" s="81" t="str">
        <f ca="1">IFERROR(__xludf.DUMMYFUNCTION("""COMPUTED_VALUE"""),"AH")</f>
        <v>AH</v>
      </c>
      <c r="K133" s="80">
        <f ca="1">IFERROR(__xludf.DUMMYFUNCTION("""COMPUTED_VALUE"""),3)</f>
        <v>3</v>
      </c>
      <c r="L133" s="81" t="str">
        <f ca="1">IFERROR(__xludf.DUMMYFUNCTION("""COMPUTED_VALUE"""),"TRIMESTRE 3")</f>
        <v>TRIMESTRE 3</v>
      </c>
      <c r="M133" s="81" t="str">
        <f ca="1">IFERROR(__xludf.DUMMYFUNCTION("""COMPUTED_VALUE"""),"ADOLESCENTES HOMBRES")</f>
        <v>ADOLESCENTES HOMBRES</v>
      </c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</row>
    <row r="134" spans="1:26">
      <c r="A134" s="81" t="str">
        <f ca="1">IFERROR(__xludf.DUMMYFUNCTION("""COMPUTED_VALUE"""),"6.1.1.0")</f>
        <v>6.1.1.0</v>
      </c>
      <c r="B134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4" s="81" t="str">
        <f ca="1">IFERROR(__xludf.DUMMYFUNCTION("""COMPUTED_VALUE"""),"5. Inclusión")</f>
        <v>5. Inclusión</v>
      </c>
      <c r="D134" s="81" t="str">
        <f ca="1">IFERROR(__xludf.DUMMYFUNCTION("""COMPUTED_VALUE"""),"Guadalajara sin Barreras")</f>
        <v>Guadalajara sin Barreras</v>
      </c>
      <c r="E134" s="81" t="str">
        <f ca="1">IFERROR(__xludf.DUMMYFUNCTION("""COMPUTED_VALUE"""),"Atención Integral para una Vida Digna con Discapacidad")</f>
        <v>Atención Integral para una Vida Digna con Discapacidad</v>
      </c>
      <c r="F134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4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4" s="81" t="str">
        <f ca="1">IFERROR(__xludf.DUMMYFUNCTION("""COMPUTED_VALUE"""),"MUJ Septiembre")</f>
        <v>MUJ Septiembre</v>
      </c>
      <c r="I134" s="81" t="str">
        <f ca="1">IFERROR(__xludf.DUMMYFUNCTION("""COMPUTED_VALUE"""),"Septiembre")</f>
        <v>Septiembre</v>
      </c>
      <c r="J134" s="81" t="str">
        <f ca="1">IFERROR(__xludf.DUMMYFUNCTION("""COMPUTED_VALUE"""),"MUJ")</f>
        <v>MUJ</v>
      </c>
      <c r="K134" s="80">
        <f ca="1">IFERROR(__xludf.DUMMYFUNCTION("""COMPUTED_VALUE"""),51)</f>
        <v>51</v>
      </c>
      <c r="L134" s="81" t="str">
        <f ca="1">IFERROR(__xludf.DUMMYFUNCTION("""COMPUTED_VALUE"""),"TRIMESTRE 3")</f>
        <v>TRIMESTRE 3</v>
      </c>
      <c r="M134" s="81" t="str">
        <f ca="1">IFERROR(__xludf.DUMMYFUNCTION("""COMPUTED_VALUE"""),"MUJERES ADULTAS")</f>
        <v>MUJERES ADULTAS</v>
      </c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</row>
    <row r="135" spans="1:26">
      <c r="A135" s="81" t="str">
        <f ca="1">IFERROR(__xludf.DUMMYFUNCTION("""COMPUTED_VALUE"""),"6.1.1.0")</f>
        <v>6.1.1.0</v>
      </c>
      <c r="B135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5" s="81" t="str">
        <f ca="1">IFERROR(__xludf.DUMMYFUNCTION("""COMPUTED_VALUE"""),"5. Inclusión")</f>
        <v>5. Inclusión</v>
      </c>
      <c r="D135" s="81" t="str">
        <f ca="1">IFERROR(__xludf.DUMMYFUNCTION("""COMPUTED_VALUE"""),"Guadalajara sin Barreras")</f>
        <v>Guadalajara sin Barreras</v>
      </c>
      <c r="E135" s="81" t="str">
        <f ca="1">IFERROR(__xludf.DUMMYFUNCTION("""COMPUTED_VALUE"""),"Atención Integral para una Vida Digna con Discapacidad")</f>
        <v>Atención Integral para una Vida Digna con Discapacidad</v>
      </c>
      <c r="F135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5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5" s="81" t="str">
        <f ca="1">IFERROR(__xludf.DUMMYFUNCTION("""COMPUTED_VALUE"""),"HOM Septiembre")</f>
        <v>HOM Septiembre</v>
      </c>
      <c r="I135" s="81" t="str">
        <f ca="1">IFERROR(__xludf.DUMMYFUNCTION("""COMPUTED_VALUE"""),"Septiembre")</f>
        <v>Septiembre</v>
      </c>
      <c r="J135" s="81" t="str">
        <f ca="1">IFERROR(__xludf.DUMMYFUNCTION("""COMPUTED_VALUE"""),"HOM")</f>
        <v>HOM</v>
      </c>
      <c r="K135" s="80">
        <f ca="1">IFERROR(__xludf.DUMMYFUNCTION("""COMPUTED_VALUE"""),64)</f>
        <v>64</v>
      </c>
      <c r="L135" s="81" t="str">
        <f ca="1">IFERROR(__xludf.DUMMYFUNCTION("""COMPUTED_VALUE"""),"TRIMESTRE 3")</f>
        <v>TRIMESTRE 3</v>
      </c>
      <c r="M135" s="81" t="str">
        <f ca="1">IFERROR(__xludf.DUMMYFUNCTION("""COMPUTED_VALUE"""),"HOMBRES ADULTOS")</f>
        <v>HOMBRES ADULTOS</v>
      </c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</row>
    <row r="136" spans="1:26">
      <c r="A136" s="81" t="str">
        <f ca="1">IFERROR(__xludf.DUMMYFUNCTION("""COMPUTED_VALUE"""),"6.1.1.0")</f>
        <v>6.1.1.0</v>
      </c>
      <c r="B136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6" s="81" t="str">
        <f ca="1">IFERROR(__xludf.DUMMYFUNCTION("""COMPUTED_VALUE"""),"5. Inclusión")</f>
        <v>5. Inclusión</v>
      </c>
      <c r="D136" s="81" t="str">
        <f ca="1">IFERROR(__xludf.DUMMYFUNCTION("""COMPUTED_VALUE"""),"Guadalajara sin Barreras")</f>
        <v>Guadalajara sin Barreras</v>
      </c>
      <c r="E136" s="81" t="str">
        <f ca="1">IFERROR(__xludf.DUMMYFUNCTION("""COMPUTED_VALUE"""),"Atención Integral para una Vida Digna con Discapacidad")</f>
        <v>Atención Integral para una Vida Digna con Discapacidad</v>
      </c>
      <c r="F136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6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6" s="81" t="str">
        <f ca="1">IFERROR(__xludf.DUMMYFUNCTION("""COMPUTED_VALUE"""),"AMM Septiembre")</f>
        <v>AMM Septiembre</v>
      </c>
      <c r="I136" s="81" t="str">
        <f ca="1">IFERROR(__xludf.DUMMYFUNCTION("""COMPUTED_VALUE"""),"Septiembre")</f>
        <v>Septiembre</v>
      </c>
      <c r="J136" s="81" t="str">
        <f ca="1">IFERROR(__xludf.DUMMYFUNCTION("""COMPUTED_VALUE"""),"AMM")</f>
        <v>AMM</v>
      </c>
      <c r="K136" s="80">
        <f ca="1">IFERROR(__xludf.DUMMYFUNCTION("""COMPUTED_VALUE"""),28)</f>
        <v>28</v>
      </c>
      <c r="L136" s="81" t="str">
        <f ca="1">IFERROR(__xludf.DUMMYFUNCTION("""COMPUTED_VALUE"""),"TRIMESTRE 3")</f>
        <v>TRIMESTRE 3</v>
      </c>
      <c r="M136" s="81" t="str">
        <f ca="1">IFERROR(__xludf.DUMMYFUNCTION("""COMPUTED_VALUE"""),"ADULTA MAYOR MUJER")</f>
        <v>ADULTA MAYOR MUJER</v>
      </c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</row>
    <row r="137" spans="1:26">
      <c r="A137" s="81" t="str">
        <f ca="1">IFERROR(__xludf.DUMMYFUNCTION("""COMPUTED_VALUE"""),"6.1.1.0")</f>
        <v>6.1.1.0</v>
      </c>
      <c r="B137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7" s="81" t="str">
        <f ca="1">IFERROR(__xludf.DUMMYFUNCTION("""COMPUTED_VALUE"""),"5. Inclusión")</f>
        <v>5. Inclusión</v>
      </c>
      <c r="D137" s="81" t="str">
        <f ca="1">IFERROR(__xludf.DUMMYFUNCTION("""COMPUTED_VALUE"""),"Guadalajara sin Barreras")</f>
        <v>Guadalajara sin Barreras</v>
      </c>
      <c r="E137" s="81" t="str">
        <f ca="1">IFERROR(__xludf.DUMMYFUNCTION("""COMPUTED_VALUE"""),"Atención Integral para una Vida Digna con Discapacidad")</f>
        <v>Atención Integral para una Vida Digna con Discapacidad</v>
      </c>
      <c r="F137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37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37" s="81" t="str">
        <f ca="1">IFERROR(__xludf.DUMMYFUNCTION("""COMPUTED_VALUE"""),"AMH Septiembre")</f>
        <v>AMH Septiembre</v>
      </c>
      <c r="I137" s="81" t="str">
        <f ca="1">IFERROR(__xludf.DUMMYFUNCTION("""COMPUTED_VALUE"""),"Septiembre")</f>
        <v>Septiembre</v>
      </c>
      <c r="J137" s="81" t="str">
        <f ca="1">IFERROR(__xludf.DUMMYFUNCTION("""COMPUTED_VALUE"""),"AMH")</f>
        <v>AMH</v>
      </c>
      <c r="K137" s="80">
        <f ca="1">IFERROR(__xludf.DUMMYFUNCTION("""COMPUTED_VALUE"""),4)</f>
        <v>4</v>
      </c>
      <c r="L137" s="81" t="str">
        <f ca="1">IFERROR(__xludf.DUMMYFUNCTION("""COMPUTED_VALUE"""),"TRIMESTRE 3")</f>
        <v>TRIMESTRE 3</v>
      </c>
      <c r="M137" s="81" t="str">
        <f ca="1">IFERROR(__xludf.DUMMYFUNCTION("""COMPUTED_VALUE"""),"ADULTO MAYOR HOMBRE")</f>
        <v>ADULTO MAYOR HOMBRE</v>
      </c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</row>
    <row r="138" spans="1:26">
      <c r="A138" s="79" t="str">
        <f ca="1">IFERROR(__xludf.DUMMYFUNCTION("""COMPUTED_VALUE"""),"6.1.1.1")</f>
        <v>6.1.1.1</v>
      </c>
      <c r="B138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8" s="79" t="str">
        <f ca="1">IFERROR(__xludf.DUMMYFUNCTION("""COMPUTED_VALUE"""),"5. Inclusión")</f>
        <v>5. Inclusión</v>
      </c>
      <c r="D138" s="79" t="str">
        <f ca="1">IFERROR(__xludf.DUMMYFUNCTION("""COMPUTED_VALUE"""),"Guadalajara sin Barreras")</f>
        <v>Guadalajara sin Barreras</v>
      </c>
      <c r="E138" s="79" t="str">
        <f ca="1">IFERROR(__xludf.DUMMYFUNCTION("""COMPUTED_VALUE"""),"Atención Integral para una Vida Digna con Discapacidad")</f>
        <v>Atención Integral para una Vida Digna con Discapacidad</v>
      </c>
      <c r="F138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38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38" s="79" t="str">
        <f ca="1">IFERROR(__xludf.DUMMYFUNCTION("""COMPUTED_VALUE"""),"NAS Septiembre")</f>
        <v>NAS Septiembre</v>
      </c>
      <c r="I138" s="79" t="str">
        <f ca="1">IFERROR(__xludf.DUMMYFUNCTION("""COMPUTED_VALUE"""),"Septiembre")</f>
        <v>Septiembre</v>
      </c>
      <c r="J138" s="79" t="str">
        <f ca="1">IFERROR(__xludf.DUMMYFUNCTION("""COMPUTED_VALUE"""),"NAS")</f>
        <v>NAS</v>
      </c>
      <c r="K138" s="80">
        <f ca="1">IFERROR(__xludf.DUMMYFUNCTION("""COMPUTED_VALUE"""),1)</f>
        <v>1</v>
      </c>
      <c r="L138" s="79" t="str">
        <f ca="1">IFERROR(__xludf.DUMMYFUNCTION("""COMPUTED_VALUE"""),"TRIMESTRE 3")</f>
        <v>TRIMESTRE 3</v>
      </c>
      <c r="M138" s="79" t="str">
        <f ca="1">IFERROR(__xludf.DUMMYFUNCTION("""COMPUTED_VALUE"""),"NIÑAS")</f>
        <v>NIÑAS</v>
      </c>
    </row>
    <row r="139" spans="1:26">
      <c r="A139" s="79" t="str">
        <f ca="1">IFERROR(__xludf.DUMMYFUNCTION("""COMPUTED_VALUE"""),"6.1.1.1")</f>
        <v>6.1.1.1</v>
      </c>
      <c r="B139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39" s="79" t="str">
        <f ca="1">IFERROR(__xludf.DUMMYFUNCTION("""COMPUTED_VALUE"""),"5. Inclusión")</f>
        <v>5. Inclusión</v>
      </c>
      <c r="D139" s="79" t="str">
        <f ca="1">IFERROR(__xludf.DUMMYFUNCTION("""COMPUTED_VALUE"""),"Guadalajara sin Barreras")</f>
        <v>Guadalajara sin Barreras</v>
      </c>
      <c r="E139" s="79" t="str">
        <f ca="1">IFERROR(__xludf.DUMMYFUNCTION("""COMPUTED_VALUE"""),"Atención Integral para una Vida Digna con Discapacidad")</f>
        <v>Atención Integral para una Vida Digna con Discapacidad</v>
      </c>
      <c r="F139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39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39" s="79" t="str">
        <f ca="1">IFERROR(__xludf.DUMMYFUNCTION("""COMPUTED_VALUE"""),"NOS Septiembre")</f>
        <v>NOS Septiembre</v>
      </c>
      <c r="I139" s="79" t="str">
        <f ca="1">IFERROR(__xludf.DUMMYFUNCTION("""COMPUTED_VALUE"""),"Septiembre")</f>
        <v>Septiembre</v>
      </c>
      <c r="J139" s="79" t="str">
        <f ca="1">IFERROR(__xludf.DUMMYFUNCTION("""COMPUTED_VALUE"""),"NOS")</f>
        <v>NOS</v>
      </c>
      <c r="K139" s="80">
        <f ca="1">IFERROR(__xludf.DUMMYFUNCTION("""COMPUTED_VALUE"""),4)</f>
        <v>4</v>
      </c>
      <c r="L139" s="79" t="str">
        <f ca="1">IFERROR(__xludf.DUMMYFUNCTION("""COMPUTED_VALUE"""),"TRIMESTRE 3")</f>
        <v>TRIMESTRE 3</v>
      </c>
      <c r="M139" s="79" t="str">
        <f ca="1">IFERROR(__xludf.DUMMYFUNCTION("""COMPUTED_VALUE"""),"NIÑOS")</f>
        <v>NIÑOS</v>
      </c>
    </row>
    <row r="140" spans="1:26">
      <c r="A140" s="79" t="str">
        <f ca="1">IFERROR(__xludf.DUMMYFUNCTION("""COMPUTED_VALUE"""),"6.1.1.1")</f>
        <v>6.1.1.1</v>
      </c>
      <c r="B140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0" s="79" t="str">
        <f ca="1">IFERROR(__xludf.DUMMYFUNCTION("""COMPUTED_VALUE"""),"5. Inclusión")</f>
        <v>5. Inclusión</v>
      </c>
      <c r="D140" s="79" t="str">
        <f ca="1">IFERROR(__xludf.DUMMYFUNCTION("""COMPUTED_VALUE"""),"Guadalajara sin Barreras")</f>
        <v>Guadalajara sin Barreras</v>
      </c>
      <c r="E140" s="79" t="str">
        <f ca="1">IFERROR(__xludf.DUMMYFUNCTION("""COMPUTED_VALUE"""),"Atención Integral para una Vida Digna con Discapacidad")</f>
        <v>Atención Integral para una Vida Digna con Discapacidad</v>
      </c>
      <c r="F140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40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40" s="79" t="str">
        <f ca="1">IFERROR(__xludf.DUMMYFUNCTION("""COMPUTED_VALUE"""),"AM SEPTIEMBRE")</f>
        <v>AM SEPTIEMBRE</v>
      </c>
      <c r="I140" s="79" t="str">
        <f ca="1">IFERROR(__xludf.DUMMYFUNCTION("""COMPUTED_VALUE"""),"Septiembre")</f>
        <v>Septiembre</v>
      </c>
      <c r="J140" s="79" t="str">
        <f ca="1">IFERROR(__xludf.DUMMYFUNCTION("""COMPUTED_VALUE"""),"AM")</f>
        <v>AM</v>
      </c>
      <c r="K140" s="80">
        <f ca="1">IFERROR(__xludf.DUMMYFUNCTION("""COMPUTED_VALUE"""),2)</f>
        <v>2</v>
      </c>
      <c r="L140" s="79" t="str">
        <f ca="1">IFERROR(__xludf.DUMMYFUNCTION("""COMPUTED_VALUE"""),"TRIMESTRE 3")</f>
        <v>TRIMESTRE 3</v>
      </c>
      <c r="M140" s="79" t="str">
        <f ca="1">IFERROR(__xludf.DUMMYFUNCTION("""COMPUTED_VALUE"""),"ADOLESCENTES MUJERES")</f>
        <v>ADOLESCENTES MUJERES</v>
      </c>
    </row>
    <row r="141" spans="1:26">
      <c r="A141" s="79" t="str">
        <f ca="1">IFERROR(__xludf.DUMMYFUNCTION("""COMPUTED_VALUE"""),"6.1.1.1")</f>
        <v>6.1.1.1</v>
      </c>
      <c r="B141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1" s="79" t="str">
        <f ca="1">IFERROR(__xludf.DUMMYFUNCTION("""COMPUTED_VALUE"""),"5. Inclusión")</f>
        <v>5. Inclusión</v>
      </c>
      <c r="D141" s="79" t="str">
        <f ca="1">IFERROR(__xludf.DUMMYFUNCTION("""COMPUTED_VALUE"""),"Guadalajara sin Barreras")</f>
        <v>Guadalajara sin Barreras</v>
      </c>
      <c r="E141" s="79" t="str">
        <f ca="1">IFERROR(__xludf.DUMMYFUNCTION("""COMPUTED_VALUE"""),"Atención Integral para una Vida Digna con Discapacidad")</f>
        <v>Atención Integral para una Vida Digna con Discapacidad</v>
      </c>
      <c r="F141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41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41" s="79" t="str">
        <f ca="1">IFERROR(__xludf.DUMMYFUNCTION("""COMPUTED_VALUE"""),"AH SEPTIEMBRE")</f>
        <v>AH SEPTIEMBRE</v>
      </c>
      <c r="I141" s="79" t="str">
        <f ca="1">IFERROR(__xludf.DUMMYFUNCTION("""COMPUTED_VALUE"""),"Septiembre")</f>
        <v>Septiembre</v>
      </c>
      <c r="J141" s="79" t="str">
        <f ca="1">IFERROR(__xludf.DUMMYFUNCTION("""COMPUTED_VALUE"""),"AH")</f>
        <v>AH</v>
      </c>
      <c r="K141" s="80">
        <f ca="1">IFERROR(__xludf.DUMMYFUNCTION("""COMPUTED_VALUE"""),2)</f>
        <v>2</v>
      </c>
      <c r="L141" s="79" t="str">
        <f ca="1">IFERROR(__xludf.DUMMYFUNCTION("""COMPUTED_VALUE"""),"TRIMESTRE 3")</f>
        <v>TRIMESTRE 3</v>
      </c>
      <c r="M141" s="79" t="str">
        <f ca="1">IFERROR(__xludf.DUMMYFUNCTION("""COMPUTED_VALUE"""),"ADOLESCENTES HOMBRES")</f>
        <v>ADOLESCENTES HOMBRES</v>
      </c>
    </row>
    <row r="142" spans="1:26">
      <c r="A142" s="79" t="str">
        <f ca="1">IFERROR(__xludf.DUMMYFUNCTION("""COMPUTED_VALUE"""),"6.1.1.1")</f>
        <v>6.1.1.1</v>
      </c>
      <c r="B142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2" s="79" t="str">
        <f ca="1">IFERROR(__xludf.DUMMYFUNCTION("""COMPUTED_VALUE"""),"5. Inclusión")</f>
        <v>5. Inclusión</v>
      </c>
      <c r="D142" s="79" t="str">
        <f ca="1">IFERROR(__xludf.DUMMYFUNCTION("""COMPUTED_VALUE"""),"Guadalajara sin Barreras")</f>
        <v>Guadalajara sin Barreras</v>
      </c>
      <c r="E142" s="79" t="str">
        <f ca="1">IFERROR(__xludf.DUMMYFUNCTION("""COMPUTED_VALUE"""),"Atención Integral para una Vida Digna con Discapacidad")</f>
        <v>Atención Integral para una Vida Digna con Discapacidad</v>
      </c>
      <c r="F142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42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42" s="79" t="str">
        <f ca="1">IFERROR(__xludf.DUMMYFUNCTION("""COMPUTED_VALUE"""),"MUJ Septiembre")</f>
        <v>MUJ Septiembre</v>
      </c>
      <c r="I142" s="79" t="str">
        <f ca="1">IFERROR(__xludf.DUMMYFUNCTION("""COMPUTED_VALUE"""),"Septiembre")</f>
        <v>Septiembre</v>
      </c>
      <c r="J142" s="79" t="str">
        <f ca="1">IFERROR(__xludf.DUMMYFUNCTION("""COMPUTED_VALUE"""),"MUJ")</f>
        <v>MUJ</v>
      </c>
      <c r="K142" s="80">
        <f ca="1">IFERROR(__xludf.DUMMYFUNCTION("""COMPUTED_VALUE"""),34)</f>
        <v>34</v>
      </c>
      <c r="L142" s="79" t="str">
        <f ca="1">IFERROR(__xludf.DUMMYFUNCTION("""COMPUTED_VALUE"""),"TRIMESTRE 3")</f>
        <v>TRIMESTRE 3</v>
      </c>
      <c r="M142" s="79" t="str">
        <f ca="1">IFERROR(__xludf.DUMMYFUNCTION("""COMPUTED_VALUE"""),"MUJERES ADULTAS")</f>
        <v>MUJERES ADULTAS</v>
      </c>
    </row>
    <row r="143" spans="1:26">
      <c r="A143" s="79" t="str">
        <f ca="1">IFERROR(__xludf.DUMMYFUNCTION("""COMPUTED_VALUE"""),"6.1.1.1")</f>
        <v>6.1.1.1</v>
      </c>
      <c r="B143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3" s="79" t="str">
        <f ca="1">IFERROR(__xludf.DUMMYFUNCTION("""COMPUTED_VALUE"""),"5. Inclusión")</f>
        <v>5. Inclusión</v>
      </c>
      <c r="D143" s="79" t="str">
        <f ca="1">IFERROR(__xludf.DUMMYFUNCTION("""COMPUTED_VALUE"""),"Guadalajara sin Barreras")</f>
        <v>Guadalajara sin Barreras</v>
      </c>
      <c r="E143" s="79" t="str">
        <f ca="1">IFERROR(__xludf.DUMMYFUNCTION("""COMPUTED_VALUE"""),"Atención Integral para una Vida Digna con Discapacidad")</f>
        <v>Atención Integral para una Vida Digna con Discapacidad</v>
      </c>
      <c r="F143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43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43" s="79" t="str">
        <f ca="1">IFERROR(__xludf.DUMMYFUNCTION("""COMPUTED_VALUE"""),"HOM Septiembre")</f>
        <v>HOM Septiembre</v>
      </c>
      <c r="I143" s="79" t="str">
        <f ca="1">IFERROR(__xludf.DUMMYFUNCTION("""COMPUTED_VALUE"""),"Septiembre")</f>
        <v>Septiembre</v>
      </c>
      <c r="J143" s="79" t="str">
        <f ca="1">IFERROR(__xludf.DUMMYFUNCTION("""COMPUTED_VALUE"""),"HOM")</f>
        <v>HOM</v>
      </c>
      <c r="K143" s="80">
        <f ca="1">IFERROR(__xludf.DUMMYFUNCTION("""COMPUTED_VALUE"""),23)</f>
        <v>23</v>
      </c>
      <c r="L143" s="79" t="str">
        <f ca="1">IFERROR(__xludf.DUMMYFUNCTION("""COMPUTED_VALUE"""),"TRIMESTRE 3")</f>
        <v>TRIMESTRE 3</v>
      </c>
      <c r="M143" s="79" t="str">
        <f ca="1">IFERROR(__xludf.DUMMYFUNCTION("""COMPUTED_VALUE"""),"HOMBRES ADULTOS")</f>
        <v>HOMBRES ADULTOS</v>
      </c>
    </row>
    <row r="144" spans="1:26">
      <c r="A144" s="79" t="str">
        <f ca="1">IFERROR(__xludf.DUMMYFUNCTION("""COMPUTED_VALUE"""),"6.1.1.1")</f>
        <v>6.1.1.1</v>
      </c>
      <c r="B144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4" s="79" t="str">
        <f ca="1">IFERROR(__xludf.DUMMYFUNCTION("""COMPUTED_VALUE"""),"5. Inclusión")</f>
        <v>5. Inclusión</v>
      </c>
      <c r="D144" s="79" t="str">
        <f ca="1">IFERROR(__xludf.DUMMYFUNCTION("""COMPUTED_VALUE"""),"Guadalajara sin Barreras")</f>
        <v>Guadalajara sin Barreras</v>
      </c>
      <c r="E144" s="79" t="str">
        <f ca="1">IFERROR(__xludf.DUMMYFUNCTION("""COMPUTED_VALUE"""),"Atención Integral para una Vida Digna con Discapacidad")</f>
        <v>Atención Integral para una Vida Digna con Discapacidad</v>
      </c>
      <c r="F144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44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44" s="79" t="str">
        <f ca="1">IFERROR(__xludf.DUMMYFUNCTION("""COMPUTED_VALUE"""),"AMM Septiembre")</f>
        <v>AMM Septiembre</v>
      </c>
      <c r="I144" s="79" t="str">
        <f ca="1">IFERROR(__xludf.DUMMYFUNCTION("""COMPUTED_VALUE"""),"Septiembre")</f>
        <v>Septiembre</v>
      </c>
      <c r="J144" s="79" t="str">
        <f ca="1">IFERROR(__xludf.DUMMYFUNCTION("""COMPUTED_VALUE"""),"AMM")</f>
        <v>AMM</v>
      </c>
      <c r="K144" s="80">
        <f ca="1">IFERROR(__xludf.DUMMYFUNCTION("""COMPUTED_VALUE"""),30)</f>
        <v>30</v>
      </c>
      <c r="L144" s="79" t="str">
        <f ca="1">IFERROR(__xludf.DUMMYFUNCTION("""COMPUTED_VALUE"""),"TRIMESTRE 3")</f>
        <v>TRIMESTRE 3</v>
      </c>
      <c r="M144" s="79" t="str">
        <f ca="1">IFERROR(__xludf.DUMMYFUNCTION("""COMPUTED_VALUE"""),"ADULTA MAYOR MUJER")</f>
        <v>ADULTA MAYOR MUJER</v>
      </c>
    </row>
    <row r="145" spans="1:13">
      <c r="A145" s="79" t="str">
        <f ca="1">IFERROR(__xludf.DUMMYFUNCTION("""COMPUTED_VALUE"""),"6.1.1.1")</f>
        <v>6.1.1.1</v>
      </c>
      <c r="B145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5" s="79" t="str">
        <f ca="1">IFERROR(__xludf.DUMMYFUNCTION("""COMPUTED_VALUE"""),"5. Inclusión")</f>
        <v>5. Inclusión</v>
      </c>
      <c r="D145" s="79" t="str">
        <f ca="1">IFERROR(__xludf.DUMMYFUNCTION("""COMPUTED_VALUE"""),"Guadalajara sin Barreras")</f>
        <v>Guadalajara sin Barreras</v>
      </c>
      <c r="E145" s="79" t="str">
        <f ca="1">IFERROR(__xludf.DUMMYFUNCTION("""COMPUTED_VALUE"""),"Atención Integral para una Vida Digna con Discapacidad")</f>
        <v>Atención Integral para una Vida Digna con Discapacidad</v>
      </c>
      <c r="F145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45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45" s="79" t="str">
        <f ca="1">IFERROR(__xludf.DUMMYFUNCTION("""COMPUTED_VALUE"""),"AMH Septiembre")</f>
        <v>AMH Septiembre</v>
      </c>
      <c r="I145" s="79" t="str">
        <f ca="1">IFERROR(__xludf.DUMMYFUNCTION("""COMPUTED_VALUE"""),"Septiembre")</f>
        <v>Septiembre</v>
      </c>
      <c r="J145" s="79" t="str">
        <f ca="1">IFERROR(__xludf.DUMMYFUNCTION("""COMPUTED_VALUE"""),"AMH")</f>
        <v>AMH</v>
      </c>
      <c r="K145" s="80">
        <f ca="1">IFERROR(__xludf.DUMMYFUNCTION("""COMPUTED_VALUE"""),2)</f>
        <v>2</v>
      </c>
      <c r="L145" s="79" t="str">
        <f ca="1">IFERROR(__xludf.DUMMYFUNCTION("""COMPUTED_VALUE"""),"TRIMESTRE 3")</f>
        <v>TRIMESTRE 3</v>
      </c>
      <c r="M145" s="79" t="str">
        <f ca="1">IFERROR(__xludf.DUMMYFUNCTION("""COMPUTED_VALUE"""),"ADULTO MAYOR HOMBRE")</f>
        <v>ADULTO MAYOR HOMBRE</v>
      </c>
    </row>
    <row r="146" spans="1:13">
      <c r="A146" s="79" t="str">
        <f ca="1">IFERROR(__xludf.DUMMYFUNCTION("""COMPUTED_VALUE"""),"6.1.1.0")</f>
        <v>6.1.1.0</v>
      </c>
      <c r="B146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6" s="79" t="str">
        <f ca="1">IFERROR(__xludf.DUMMYFUNCTION("""COMPUTED_VALUE"""),"5. Inclusión")</f>
        <v>5. Inclusión</v>
      </c>
      <c r="D146" s="79" t="str">
        <f ca="1">IFERROR(__xludf.DUMMYFUNCTION("""COMPUTED_VALUE"""),"Guadalajara sin Barreras")</f>
        <v>Guadalajara sin Barreras</v>
      </c>
      <c r="E146" s="79" t="str">
        <f ca="1">IFERROR(__xludf.DUMMYFUNCTION("""COMPUTED_VALUE"""),"Atención Integral para una Vida Digna con Discapacidad")</f>
        <v>Atención Integral para una Vida Digna con Discapacidad</v>
      </c>
      <c r="F146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46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46" s="79" t="str">
        <f ca="1">IFERROR(__xludf.DUMMYFUNCTION("""COMPUTED_VALUE"""),"NAS Octubre")</f>
        <v>NAS Octubre</v>
      </c>
      <c r="I146" s="79" t="str">
        <f ca="1">IFERROR(__xludf.DUMMYFUNCTION("""COMPUTED_VALUE"""),"Octubre")</f>
        <v>Octubre</v>
      </c>
      <c r="J146" s="79" t="str">
        <f ca="1">IFERROR(__xludf.DUMMYFUNCTION("""COMPUTED_VALUE"""),"NAS")</f>
        <v>NAS</v>
      </c>
      <c r="K146" s="80">
        <f ca="1">IFERROR(__xludf.DUMMYFUNCTION("""COMPUTED_VALUE"""),2)</f>
        <v>2</v>
      </c>
      <c r="L146" s="79" t="str">
        <f ca="1">IFERROR(__xludf.DUMMYFUNCTION("""COMPUTED_VALUE"""),"TRIMESTRE 4")</f>
        <v>TRIMESTRE 4</v>
      </c>
      <c r="M146" s="79" t="str">
        <f ca="1">IFERROR(__xludf.DUMMYFUNCTION("""COMPUTED_VALUE"""),"NIÑAS")</f>
        <v>NIÑAS</v>
      </c>
    </row>
    <row r="147" spans="1:13">
      <c r="A147" s="79" t="str">
        <f ca="1">IFERROR(__xludf.DUMMYFUNCTION("""COMPUTED_VALUE"""),"6.1.1.0")</f>
        <v>6.1.1.0</v>
      </c>
      <c r="B147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7" s="79" t="str">
        <f ca="1">IFERROR(__xludf.DUMMYFUNCTION("""COMPUTED_VALUE"""),"5. Inclusión")</f>
        <v>5. Inclusión</v>
      </c>
      <c r="D147" s="79" t="str">
        <f ca="1">IFERROR(__xludf.DUMMYFUNCTION("""COMPUTED_VALUE"""),"Guadalajara sin Barreras")</f>
        <v>Guadalajara sin Barreras</v>
      </c>
      <c r="E147" s="79" t="str">
        <f ca="1">IFERROR(__xludf.DUMMYFUNCTION("""COMPUTED_VALUE"""),"Atención Integral para una Vida Digna con Discapacidad")</f>
        <v>Atención Integral para una Vida Digna con Discapacidad</v>
      </c>
      <c r="F147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47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47" s="79" t="str">
        <f ca="1">IFERROR(__xludf.DUMMYFUNCTION("""COMPUTED_VALUE"""),"NOS Octubre")</f>
        <v>NOS Octubre</v>
      </c>
      <c r="I147" s="79" t="str">
        <f ca="1">IFERROR(__xludf.DUMMYFUNCTION("""COMPUTED_VALUE"""),"Octubre")</f>
        <v>Octubre</v>
      </c>
      <c r="J147" s="79" t="str">
        <f ca="1">IFERROR(__xludf.DUMMYFUNCTION("""COMPUTED_VALUE"""),"NOS")</f>
        <v>NOS</v>
      </c>
      <c r="K147" s="80">
        <f ca="1">IFERROR(__xludf.DUMMYFUNCTION("""COMPUTED_VALUE"""),11)</f>
        <v>11</v>
      </c>
      <c r="L147" s="79" t="str">
        <f ca="1">IFERROR(__xludf.DUMMYFUNCTION("""COMPUTED_VALUE"""),"TRIMESTRE 4")</f>
        <v>TRIMESTRE 4</v>
      </c>
      <c r="M147" s="79" t="str">
        <f ca="1">IFERROR(__xludf.DUMMYFUNCTION("""COMPUTED_VALUE"""),"NIÑOS")</f>
        <v>NIÑOS</v>
      </c>
    </row>
    <row r="148" spans="1:13">
      <c r="A148" s="79" t="str">
        <f ca="1">IFERROR(__xludf.DUMMYFUNCTION("""COMPUTED_VALUE"""),"6.1.1.0")</f>
        <v>6.1.1.0</v>
      </c>
      <c r="B148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8" s="79" t="str">
        <f ca="1">IFERROR(__xludf.DUMMYFUNCTION("""COMPUTED_VALUE"""),"5. Inclusión")</f>
        <v>5. Inclusión</v>
      </c>
      <c r="D148" s="79" t="str">
        <f ca="1">IFERROR(__xludf.DUMMYFUNCTION("""COMPUTED_VALUE"""),"Guadalajara sin Barreras")</f>
        <v>Guadalajara sin Barreras</v>
      </c>
      <c r="E148" s="79" t="str">
        <f ca="1">IFERROR(__xludf.DUMMYFUNCTION("""COMPUTED_VALUE"""),"Atención Integral para una Vida Digna con Discapacidad")</f>
        <v>Atención Integral para una Vida Digna con Discapacidad</v>
      </c>
      <c r="F148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48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48" s="79" t="str">
        <f ca="1">IFERROR(__xludf.DUMMYFUNCTION("""COMPUTED_VALUE"""),"AM OCTUBRE")</f>
        <v>AM OCTUBRE</v>
      </c>
      <c r="I148" s="79" t="str">
        <f ca="1">IFERROR(__xludf.DUMMYFUNCTION("""COMPUTED_VALUE"""),"Octubre")</f>
        <v>Octubre</v>
      </c>
      <c r="J148" s="79" t="str">
        <f ca="1">IFERROR(__xludf.DUMMYFUNCTION("""COMPUTED_VALUE"""),"AM")</f>
        <v>AM</v>
      </c>
      <c r="K148" s="80">
        <f ca="1">IFERROR(__xludf.DUMMYFUNCTION("""COMPUTED_VALUE"""),3)</f>
        <v>3</v>
      </c>
      <c r="L148" s="79" t="str">
        <f ca="1">IFERROR(__xludf.DUMMYFUNCTION("""COMPUTED_VALUE"""),"TRIMESTRE 4")</f>
        <v>TRIMESTRE 4</v>
      </c>
      <c r="M148" s="79" t="str">
        <f ca="1">IFERROR(__xludf.DUMMYFUNCTION("""COMPUTED_VALUE"""),"ADOLESCENTES MUJERES")</f>
        <v>ADOLESCENTES MUJERES</v>
      </c>
    </row>
    <row r="149" spans="1:13">
      <c r="A149" s="79" t="str">
        <f ca="1">IFERROR(__xludf.DUMMYFUNCTION("""COMPUTED_VALUE"""),"6.1.1.0")</f>
        <v>6.1.1.0</v>
      </c>
      <c r="B149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49" s="79" t="str">
        <f ca="1">IFERROR(__xludf.DUMMYFUNCTION("""COMPUTED_VALUE"""),"5. Inclusión")</f>
        <v>5. Inclusión</v>
      </c>
      <c r="D149" s="79" t="str">
        <f ca="1">IFERROR(__xludf.DUMMYFUNCTION("""COMPUTED_VALUE"""),"Guadalajara sin Barreras")</f>
        <v>Guadalajara sin Barreras</v>
      </c>
      <c r="E149" s="79" t="str">
        <f ca="1">IFERROR(__xludf.DUMMYFUNCTION("""COMPUTED_VALUE"""),"Atención Integral para una Vida Digna con Discapacidad")</f>
        <v>Atención Integral para una Vida Digna con Discapacidad</v>
      </c>
      <c r="F149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49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49" s="79" t="str">
        <f ca="1">IFERROR(__xludf.DUMMYFUNCTION("""COMPUTED_VALUE"""),"AH OCTUBRE")</f>
        <v>AH OCTUBRE</v>
      </c>
      <c r="I149" s="79" t="str">
        <f ca="1">IFERROR(__xludf.DUMMYFUNCTION("""COMPUTED_VALUE"""),"Octubre")</f>
        <v>Octubre</v>
      </c>
      <c r="J149" s="79" t="str">
        <f ca="1">IFERROR(__xludf.DUMMYFUNCTION("""COMPUTED_VALUE"""),"AH")</f>
        <v>AH</v>
      </c>
      <c r="K149" s="80">
        <f ca="1">IFERROR(__xludf.DUMMYFUNCTION("""COMPUTED_VALUE"""),2)</f>
        <v>2</v>
      </c>
      <c r="L149" s="79" t="str">
        <f ca="1">IFERROR(__xludf.DUMMYFUNCTION("""COMPUTED_VALUE"""),"TRIMESTRE 4")</f>
        <v>TRIMESTRE 4</v>
      </c>
      <c r="M149" s="79" t="str">
        <f ca="1">IFERROR(__xludf.DUMMYFUNCTION("""COMPUTED_VALUE"""),"ADOLESCENTES HOMBRES")</f>
        <v>ADOLESCENTES HOMBRES</v>
      </c>
    </row>
    <row r="150" spans="1:13">
      <c r="A150" s="79" t="str">
        <f ca="1">IFERROR(__xludf.DUMMYFUNCTION("""COMPUTED_VALUE"""),"6.1.1.0")</f>
        <v>6.1.1.0</v>
      </c>
      <c r="B150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0" s="79" t="str">
        <f ca="1">IFERROR(__xludf.DUMMYFUNCTION("""COMPUTED_VALUE"""),"5. Inclusión")</f>
        <v>5. Inclusión</v>
      </c>
      <c r="D150" s="79" t="str">
        <f ca="1">IFERROR(__xludf.DUMMYFUNCTION("""COMPUTED_VALUE"""),"Guadalajara sin Barreras")</f>
        <v>Guadalajara sin Barreras</v>
      </c>
      <c r="E150" s="79" t="str">
        <f ca="1">IFERROR(__xludf.DUMMYFUNCTION("""COMPUTED_VALUE"""),"Atención Integral para una Vida Digna con Discapacidad")</f>
        <v>Atención Integral para una Vida Digna con Discapacidad</v>
      </c>
      <c r="F150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50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50" s="79" t="str">
        <f ca="1">IFERROR(__xludf.DUMMYFUNCTION("""COMPUTED_VALUE"""),"MUJ Octubre")</f>
        <v>MUJ Octubre</v>
      </c>
      <c r="I150" s="79" t="str">
        <f ca="1">IFERROR(__xludf.DUMMYFUNCTION("""COMPUTED_VALUE"""),"Octubre")</f>
        <v>Octubre</v>
      </c>
      <c r="J150" s="79" t="str">
        <f ca="1">IFERROR(__xludf.DUMMYFUNCTION("""COMPUTED_VALUE"""),"MUJ")</f>
        <v>MUJ</v>
      </c>
      <c r="K150" s="80">
        <f ca="1">IFERROR(__xludf.DUMMYFUNCTION("""COMPUTED_VALUE"""),56)</f>
        <v>56</v>
      </c>
      <c r="L150" s="79" t="str">
        <f ca="1">IFERROR(__xludf.DUMMYFUNCTION("""COMPUTED_VALUE"""),"TRIMESTRE 4")</f>
        <v>TRIMESTRE 4</v>
      </c>
      <c r="M150" s="79" t="str">
        <f ca="1">IFERROR(__xludf.DUMMYFUNCTION("""COMPUTED_VALUE"""),"MUJERES ADULTAS")</f>
        <v>MUJERES ADULTAS</v>
      </c>
    </row>
    <row r="151" spans="1:13">
      <c r="A151" s="79" t="str">
        <f ca="1">IFERROR(__xludf.DUMMYFUNCTION("""COMPUTED_VALUE"""),"6.1.1.0")</f>
        <v>6.1.1.0</v>
      </c>
      <c r="B151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1" s="79" t="str">
        <f ca="1">IFERROR(__xludf.DUMMYFUNCTION("""COMPUTED_VALUE"""),"5. Inclusión")</f>
        <v>5. Inclusión</v>
      </c>
      <c r="D151" s="79" t="str">
        <f ca="1">IFERROR(__xludf.DUMMYFUNCTION("""COMPUTED_VALUE"""),"Guadalajara sin Barreras")</f>
        <v>Guadalajara sin Barreras</v>
      </c>
      <c r="E151" s="79" t="str">
        <f ca="1">IFERROR(__xludf.DUMMYFUNCTION("""COMPUTED_VALUE"""),"Atención Integral para una Vida Digna con Discapacidad")</f>
        <v>Atención Integral para una Vida Digna con Discapacidad</v>
      </c>
      <c r="F151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51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51" s="79" t="str">
        <f ca="1">IFERROR(__xludf.DUMMYFUNCTION("""COMPUTED_VALUE"""),"HOM Octubre")</f>
        <v>HOM Octubre</v>
      </c>
      <c r="I151" s="79" t="str">
        <f ca="1">IFERROR(__xludf.DUMMYFUNCTION("""COMPUTED_VALUE"""),"Octubre")</f>
        <v>Octubre</v>
      </c>
      <c r="J151" s="79" t="str">
        <f ca="1">IFERROR(__xludf.DUMMYFUNCTION("""COMPUTED_VALUE"""),"HOM")</f>
        <v>HOM</v>
      </c>
      <c r="K151" s="80">
        <f ca="1">IFERROR(__xludf.DUMMYFUNCTION("""COMPUTED_VALUE"""),59)</f>
        <v>59</v>
      </c>
      <c r="L151" s="79" t="str">
        <f ca="1">IFERROR(__xludf.DUMMYFUNCTION("""COMPUTED_VALUE"""),"TRIMESTRE 4")</f>
        <v>TRIMESTRE 4</v>
      </c>
      <c r="M151" s="79" t="str">
        <f ca="1">IFERROR(__xludf.DUMMYFUNCTION("""COMPUTED_VALUE"""),"HOMBRES ADULTOS")</f>
        <v>HOMBRES ADULTOS</v>
      </c>
    </row>
    <row r="152" spans="1:13">
      <c r="A152" s="79" t="str">
        <f ca="1">IFERROR(__xludf.DUMMYFUNCTION("""COMPUTED_VALUE"""),"6.1.1.0")</f>
        <v>6.1.1.0</v>
      </c>
      <c r="B152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2" s="79" t="str">
        <f ca="1">IFERROR(__xludf.DUMMYFUNCTION("""COMPUTED_VALUE"""),"5. Inclusión")</f>
        <v>5. Inclusión</v>
      </c>
      <c r="D152" s="79" t="str">
        <f ca="1">IFERROR(__xludf.DUMMYFUNCTION("""COMPUTED_VALUE"""),"Guadalajara sin Barreras")</f>
        <v>Guadalajara sin Barreras</v>
      </c>
      <c r="E152" s="79" t="str">
        <f ca="1">IFERROR(__xludf.DUMMYFUNCTION("""COMPUTED_VALUE"""),"Atención Integral para una Vida Digna con Discapacidad")</f>
        <v>Atención Integral para una Vida Digna con Discapacidad</v>
      </c>
      <c r="F152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52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52" s="79" t="str">
        <f ca="1">IFERROR(__xludf.DUMMYFUNCTION("""COMPUTED_VALUE"""),"AMM Octubre")</f>
        <v>AMM Octubre</v>
      </c>
      <c r="I152" s="79" t="str">
        <f ca="1">IFERROR(__xludf.DUMMYFUNCTION("""COMPUTED_VALUE"""),"Octubre")</f>
        <v>Octubre</v>
      </c>
      <c r="J152" s="79" t="str">
        <f ca="1">IFERROR(__xludf.DUMMYFUNCTION("""COMPUTED_VALUE"""),"AMM")</f>
        <v>AMM</v>
      </c>
      <c r="K152" s="80">
        <f ca="1">IFERROR(__xludf.DUMMYFUNCTION("""COMPUTED_VALUE"""),31)</f>
        <v>31</v>
      </c>
      <c r="L152" s="79" t="str">
        <f ca="1">IFERROR(__xludf.DUMMYFUNCTION("""COMPUTED_VALUE"""),"TRIMESTRE 4")</f>
        <v>TRIMESTRE 4</v>
      </c>
      <c r="M152" s="79" t="str">
        <f ca="1">IFERROR(__xludf.DUMMYFUNCTION("""COMPUTED_VALUE"""),"ADULTA MAYOR MUJER")</f>
        <v>ADULTA MAYOR MUJER</v>
      </c>
    </row>
    <row r="153" spans="1:13">
      <c r="A153" s="79" t="str">
        <f ca="1">IFERROR(__xludf.DUMMYFUNCTION("""COMPUTED_VALUE"""),"6.1.1.0")</f>
        <v>6.1.1.0</v>
      </c>
      <c r="B153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3" s="79" t="str">
        <f ca="1">IFERROR(__xludf.DUMMYFUNCTION("""COMPUTED_VALUE"""),"5. Inclusión")</f>
        <v>5. Inclusión</v>
      </c>
      <c r="D153" s="79" t="str">
        <f ca="1">IFERROR(__xludf.DUMMYFUNCTION("""COMPUTED_VALUE"""),"Guadalajara sin Barreras")</f>
        <v>Guadalajara sin Barreras</v>
      </c>
      <c r="E153" s="79" t="str">
        <f ca="1">IFERROR(__xludf.DUMMYFUNCTION("""COMPUTED_VALUE"""),"Atención Integral para una Vida Digna con Discapacidad")</f>
        <v>Atención Integral para una Vida Digna con Discapacidad</v>
      </c>
      <c r="F153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53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53" s="79" t="str">
        <f ca="1">IFERROR(__xludf.DUMMYFUNCTION("""COMPUTED_VALUE"""),"AMH Octubre")</f>
        <v>AMH Octubre</v>
      </c>
      <c r="I153" s="79" t="str">
        <f ca="1">IFERROR(__xludf.DUMMYFUNCTION("""COMPUTED_VALUE"""),"Octubre")</f>
        <v>Octubre</v>
      </c>
      <c r="J153" s="79" t="str">
        <f ca="1">IFERROR(__xludf.DUMMYFUNCTION("""COMPUTED_VALUE"""),"AMH")</f>
        <v>AMH</v>
      </c>
      <c r="K153" s="80">
        <f ca="1">IFERROR(__xludf.DUMMYFUNCTION("""COMPUTED_VALUE"""),3)</f>
        <v>3</v>
      </c>
      <c r="L153" s="79" t="str">
        <f ca="1">IFERROR(__xludf.DUMMYFUNCTION("""COMPUTED_VALUE"""),"TRIMESTRE 4")</f>
        <v>TRIMESTRE 4</v>
      </c>
      <c r="M153" s="79" t="str">
        <f ca="1">IFERROR(__xludf.DUMMYFUNCTION("""COMPUTED_VALUE"""),"ADULTO MAYOR HOMBRE")</f>
        <v>ADULTO MAYOR HOMBRE</v>
      </c>
    </row>
    <row r="154" spans="1:13">
      <c r="A154" s="79" t="str">
        <f ca="1">IFERROR(__xludf.DUMMYFUNCTION("""COMPUTED_VALUE"""),"6.1.1.1")</f>
        <v>6.1.1.1</v>
      </c>
      <c r="B154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4" s="79" t="str">
        <f ca="1">IFERROR(__xludf.DUMMYFUNCTION("""COMPUTED_VALUE"""),"5. Inclusión")</f>
        <v>5. Inclusión</v>
      </c>
      <c r="D154" s="79" t="str">
        <f ca="1">IFERROR(__xludf.DUMMYFUNCTION("""COMPUTED_VALUE"""),"Guadalajara sin Barreras")</f>
        <v>Guadalajara sin Barreras</v>
      </c>
      <c r="E154" s="79" t="str">
        <f ca="1">IFERROR(__xludf.DUMMYFUNCTION("""COMPUTED_VALUE"""),"Atención Integral para una Vida Digna con Discapacidad")</f>
        <v>Atención Integral para una Vida Digna con Discapacidad</v>
      </c>
      <c r="F154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54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54" s="79" t="str">
        <f ca="1">IFERROR(__xludf.DUMMYFUNCTION("""COMPUTED_VALUE"""),"NAS Octubre")</f>
        <v>NAS Octubre</v>
      </c>
      <c r="I154" s="79" t="str">
        <f ca="1">IFERROR(__xludf.DUMMYFUNCTION("""COMPUTED_VALUE"""),"Octubre")</f>
        <v>Octubre</v>
      </c>
      <c r="J154" s="79" t="str">
        <f ca="1">IFERROR(__xludf.DUMMYFUNCTION("""COMPUTED_VALUE"""),"NAS")</f>
        <v>NAS</v>
      </c>
      <c r="K154" s="80">
        <f ca="1">IFERROR(__xludf.DUMMYFUNCTION("""COMPUTED_VALUE"""),2)</f>
        <v>2</v>
      </c>
      <c r="L154" s="79" t="str">
        <f ca="1">IFERROR(__xludf.DUMMYFUNCTION("""COMPUTED_VALUE"""),"TRIMESTRE 4")</f>
        <v>TRIMESTRE 4</v>
      </c>
      <c r="M154" s="79" t="str">
        <f ca="1">IFERROR(__xludf.DUMMYFUNCTION("""COMPUTED_VALUE"""),"NIÑAS")</f>
        <v>NIÑAS</v>
      </c>
    </row>
    <row r="155" spans="1:13">
      <c r="A155" s="79" t="str">
        <f ca="1">IFERROR(__xludf.DUMMYFUNCTION("""COMPUTED_VALUE"""),"6.1.1.1")</f>
        <v>6.1.1.1</v>
      </c>
      <c r="B155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5" s="79" t="str">
        <f ca="1">IFERROR(__xludf.DUMMYFUNCTION("""COMPUTED_VALUE"""),"5. Inclusión")</f>
        <v>5. Inclusión</v>
      </c>
      <c r="D155" s="79" t="str">
        <f ca="1">IFERROR(__xludf.DUMMYFUNCTION("""COMPUTED_VALUE"""),"Guadalajara sin Barreras")</f>
        <v>Guadalajara sin Barreras</v>
      </c>
      <c r="E155" s="79" t="str">
        <f ca="1">IFERROR(__xludf.DUMMYFUNCTION("""COMPUTED_VALUE"""),"Atención Integral para una Vida Digna con Discapacidad")</f>
        <v>Atención Integral para una Vida Digna con Discapacidad</v>
      </c>
      <c r="F155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55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55" s="79" t="str">
        <f ca="1">IFERROR(__xludf.DUMMYFUNCTION("""COMPUTED_VALUE"""),"NOS Octubre")</f>
        <v>NOS Octubre</v>
      </c>
      <c r="I155" s="79" t="str">
        <f ca="1">IFERROR(__xludf.DUMMYFUNCTION("""COMPUTED_VALUE"""),"Octubre")</f>
        <v>Octubre</v>
      </c>
      <c r="J155" s="79" t="str">
        <f ca="1">IFERROR(__xludf.DUMMYFUNCTION("""COMPUTED_VALUE"""),"NOS")</f>
        <v>NOS</v>
      </c>
      <c r="K155" s="80">
        <f ca="1">IFERROR(__xludf.DUMMYFUNCTION("""COMPUTED_VALUE"""),3)</f>
        <v>3</v>
      </c>
      <c r="L155" s="79" t="str">
        <f ca="1">IFERROR(__xludf.DUMMYFUNCTION("""COMPUTED_VALUE"""),"TRIMESTRE 4")</f>
        <v>TRIMESTRE 4</v>
      </c>
      <c r="M155" s="79" t="str">
        <f ca="1">IFERROR(__xludf.DUMMYFUNCTION("""COMPUTED_VALUE"""),"NIÑOS")</f>
        <v>NIÑOS</v>
      </c>
    </row>
    <row r="156" spans="1:13">
      <c r="A156" s="79" t="str">
        <f ca="1">IFERROR(__xludf.DUMMYFUNCTION("""COMPUTED_VALUE"""),"6.1.1.1")</f>
        <v>6.1.1.1</v>
      </c>
      <c r="B156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6" s="79" t="str">
        <f ca="1">IFERROR(__xludf.DUMMYFUNCTION("""COMPUTED_VALUE"""),"5. Inclusión")</f>
        <v>5. Inclusión</v>
      </c>
      <c r="D156" s="79" t="str">
        <f ca="1">IFERROR(__xludf.DUMMYFUNCTION("""COMPUTED_VALUE"""),"Guadalajara sin Barreras")</f>
        <v>Guadalajara sin Barreras</v>
      </c>
      <c r="E156" s="79" t="str">
        <f ca="1">IFERROR(__xludf.DUMMYFUNCTION("""COMPUTED_VALUE"""),"Atención Integral para una Vida Digna con Discapacidad")</f>
        <v>Atención Integral para una Vida Digna con Discapacidad</v>
      </c>
      <c r="F156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56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56" s="79" t="str">
        <f ca="1">IFERROR(__xludf.DUMMYFUNCTION("""COMPUTED_VALUE"""),"AM OCTUBRE")</f>
        <v>AM OCTUBRE</v>
      </c>
      <c r="I156" s="79" t="str">
        <f ca="1">IFERROR(__xludf.DUMMYFUNCTION("""COMPUTED_VALUE"""),"Octubre")</f>
        <v>Octubre</v>
      </c>
      <c r="J156" s="79" t="str">
        <f ca="1">IFERROR(__xludf.DUMMYFUNCTION("""COMPUTED_VALUE"""),"AM")</f>
        <v>AM</v>
      </c>
      <c r="K156" s="80">
        <f ca="1">IFERROR(__xludf.DUMMYFUNCTION("""COMPUTED_VALUE"""),4)</f>
        <v>4</v>
      </c>
      <c r="L156" s="79" t="str">
        <f ca="1">IFERROR(__xludf.DUMMYFUNCTION("""COMPUTED_VALUE"""),"TRIMESTRE 4")</f>
        <v>TRIMESTRE 4</v>
      </c>
      <c r="M156" s="79" t="str">
        <f ca="1">IFERROR(__xludf.DUMMYFUNCTION("""COMPUTED_VALUE"""),"ADOLESCENTES MUJERES")</f>
        <v>ADOLESCENTES MUJERES</v>
      </c>
    </row>
    <row r="157" spans="1:13">
      <c r="A157" s="79" t="str">
        <f ca="1">IFERROR(__xludf.DUMMYFUNCTION("""COMPUTED_VALUE"""),"6.1.1.1")</f>
        <v>6.1.1.1</v>
      </c>
      <c r="B157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7" s="79" t="str">
        <f ca="1">IFERROR(__xludf.DUMMYFUNCTION("""COMPUTED_VALUE"""),"5. Inclusión")</f>
        <v>5. Inclusión</v>
      </c>
      <c r="D157" s="79" t="str">
        <f ca="1">IFERROR(__xludf.DUMMYFUNCTION("""COMPUTED_VALUE"""),"Guadalajara sin Barreras")</f>
        <v>Guadalajara sin Barreras</v>
      </c>
      <c r="E157" s="79" t="str">
        <f ca="1">IFERROR(__xludf.DUMMYFUNCTION("""COMPUTED_VALUE"""),"Atención Integral para una Vida Digna con Discapacidad")</f>
        <v>Atención Integral para una Vida Digna con Discapacidad</v>
      </c>
      <c r="F157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57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57" s="79" t="str">
        <f ca="1">IFERROR(__xludf.DUMMYFUNCTION("""COMPUTED_VALUE"""),"AH OCTUBRE")</f>
        <v>AH OCTUBRE</v>
      </c>
      <c r="I157" s="79" t="str">
        <f ca="1">IFERROR(__xludf.DUMMYFUNCTION("""COMPUTED_VALUE"""),"Octubre")</f>
        <v>Octubre</v>
      </c>
      <c r="J157" s="79" t="str">
        <f ca="1">IFERROR(__xludf.DUMMYFUNCTION("""COMPUTED_VALUE"""),"AH")</f>
        <v>AH</v>
      </c>
      <c r="K157" s="80">
        <f ca="1">IFERROR(__xludf.DUMMYFUNCTION("""COMPUTED_VALUE"""),9)</f>
        <v>9</v>
      </c>
      <c r="L157" s="79" t="str">
        <f ca="1">IFERROR(__xludf.DUMMYFUNCTION("""COMPUTED_VALUE"""),"TRIMESTRE 4")</f>
        <v>TRIMESTRE 4</v>
      </c>
      <c r="M157" s="79" t="str">
        <f ca="1">IFERROR(__xludf.DUMMYFUNCTION("""COMPUTED_VALUE"""),"ADOLESCENTES HOMBRES")</f>
        <v>ADOLESCENTES HOMBRES</v>
      </c>
    </row>
    <row r="158" spans="1:13">
      <c r="A158" s="79" t="str">
        <f ca="1">IFERROR(__xludf.DUMMYFUNCTION("""COMPUTED_VALUE"""),"6.1.1.1")</f>
        <v>6.1.1.1</v>
      </c>
      <c r="B158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8" s="79" t="str">
        <f ca="1">IFERROR(__xludf.DUMMYFUNCTION("""COMPUTED_VALUE"""),"5. Inclusión")</f>
        <v>5. Inclusión</v>
      </c>
      <c r="D158" s="79" t="str">
        <f ca="1">IFERROR(__xludf.DUMMYFUNCTION("""COMPUTED_VALUE"""),"Guadalajara sin Barreras")</f>
        <v>Guadalajara sin Barreras</v>
      </c>
      <c r="E158" s="79" t="str">
        <f ca="1">IFERROR(__xludf.DUMMYFUNCTION("""COMPUTED_VALUE"""),"Atención Integral para una Vida Digna con Discapacidad")</f>
        <v>Atención Integral para una Vida Digna con Discapacidad</v>
      </c>
      <c r="F158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58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58" s="79" t="str">
        <f ca="1">IFERROR(__xludf.DUMMYFUNCTION("""COMPUTED_VALUE"""),"MUJ Octubre")</f>
        <v>MUJ Octubre</v>
      </c>
      <c r="I158" s="79" t="str">
        <f ca="1">IFERROR(__xludf.DUMMYFUNCTION("""COMPUTED_VALUE"""),"Octubre")</f>
        <v>Octubre</v>
      </c>
      <c r="J158" s="79" t="str">
        <f ca="1">IFERROR(__xludf.DUMMYFUNCTION("""COMPUTED_VALUE"""),"MUJ")</f>
        <v>MUJ</v>
      </c>
      <c r="K158" s="80">
        <f ca="1">IFERROR(__xludf.DUMMYFUNCTION("""COMPUTED_VALUE"""),43)</f>
        <v>43</v>
      </c>
      <c r="L158" s="79" t="str">
        <f ca="1">IFERROR(__xludf.DUMMYFUNCTION("""COMPUTED_VALUE"""),"TRIMESTRE 4")</f>
        <v>TRIMESTRE 4</v>
      </c>
      <c r="M158" s="79" t="str">
        <f ca="1">IFERROR(__xludf.DUMMYFUNCTION("""COMPUTED_VALUE"""),"MUJERES ADULTAS")</f>
        <v>MUJERES ADULTAS</v>
      </c>
    </row>
    <row r="159" spans="1:13">
      <c r="A159" s="79" t="str">
        <f ca="1">IFERROR(__xludf.DUMMYFUNCTION("""COMPUTED_VALUE"""),"6.1.1.1")</f>
        <v>6.1.1.1</v>
      </c>
      <c r="B159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59" s="79" t="str">
        <f ca="1">IFERROR(__xludf.DUMMYFUNCTION("""COMPUTED_VALUE"""),"5. Inclusión")</f>
        <v>5. Inclusión</v>
      </c>
      <c r="D159" s="79" t="str">
        <f ca="1">IFERROR(__xludf.DUMMYFUNCTION("""COMPUTED_VALUE"""),"Guadalajara sin Barreras")</f>
        <v>Guadalajara sin Barreras</v>
      </c>
      <c r="E159" s="79" t="str">
        <f ca="1">IFERROR(__xludf.DUMMYFUNCTION("""COMPUTED_VALUE"""),"Atención Integral para una Vida Digna con Discapacidad")</f>
        <v>Atención Integral para una Vida Digna con Discapacidad</v>
      </c>
      <c r="F159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59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59" s="79" t="str">
        <f ca="1">IFERROR(__xludf.DUMMYFUNCTION("""COMPUTED_VALUE"""),"HOM Octubre")</f>
        <v>HOM Octubre</v>
      </c>
      <c r="I159" s="79" t="str">
        <f ca="1">IFERROR(__xludf.DUMMYFUNCTION("""COMPUTED_VALUE"""),"Octubre")</f>
        <v>Octubre</v>
      </c>
      <c r="J159" s="79" t="str">
        <f ca="1">IFERROR(__xludf.DUMMYFUNCTION("""COMPUTED_VALUE"""),"HOM")</f>
        <v>HOM</v>
      </c>
      <c r="K159" s="80">
        <f ca="1">IFERROR(__xludf.DUMMYFUNCTION("""COMPUTED_VALUE"""),25)</f>
        <v>25</v>
      </c>
      <c r="L159" s="79" t="str">
        <f ca="1">IFERROR(__xludf.DUMMYFUNCTION("""COMPUTED_VALUE"""),"TRIMESTRE 4")</f>
        <v>TRIMESTRE 4</v>
      </c>
      <c r="M159" s="79" t="str">
        <f ca="1">IFERROR(__xludf.DUMMYFUNCTION("""COMPUTED_VALUE"""),"HOMBRES ADULTOS")</f>
        <v>HOMBRES ADULTOS</v>
      </c>
    </row>
    <row r="160" spans="1:13">
      <c r="A160" s="79" t="str">
        <f ca="1">IFERROR(__xludf.DUMMYFUNCTION("""COMPUTED_VALUE"""),"6.1.1.1")</f>
        <v>6.1.1.1</v>
      </c>
      <c r="B160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0" s="79" t="str">
        <f ca="1">IFERROR(__xludf.DUMMYFUNCTION("""COMPUTED_VALUE"""),"5. Inclusión")</f>
        <v>5. Inclusión</v>
      </c>
      <c r="D160" s="79" t="str">
        <f ca="1">IFERROR(__xludf.DUMMYFUNCTION("""COMPUTED_VALUE"""),"Guadalajara sin Barreras")</f>
        <v>Guadalajara sin Barreras</v>
      </c>
      <c r="E160" s="79" t="str">
        <f ca="1">IFERROR(__xludf.DUMMYFUNCTION("""COMPUTED_VALUE"""),"Atención Integral para una Vida Digna con Discapacidad")</f>
        <v>Atención Integral para una Vida Digna con Discapacidad</v>
      </c>
      <c r="F160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60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60" s="79" t="str">
        <f ca="1">IFERROR(__xludf.DUMMYFUNCTION("""COMPUTED_VALUE"""),"AMM Octubre")</f>
        <v>AMM Octubre</v>
      </c>
      <c r="I160" s="79" t="str">
        <f ca="1">IFERROR(__xludf.DUMMYFUNCTION("""COMPUTED_VALUE"""),"Octubre")</f>
        <v>Octubre</v>
      </c>
      <c r="J160" s="79" t="str">
        <f ca="1">IFERROR(__xludf.DUMMYFUNCTION("""COMPUTED_VALUE"""),"AMM")</f>
        <v>AMM</v>
      </c>
      <c r="K160" s="80">
        <f ca="1">IFERROR(__xludf.DUMMYFUNCTION("""COMPUTED_VALUE"""),26)</f>
        <v>26</v>
      </c>
      <c r="L160" s="79" t="str">
        <f ca="1">IFERROR(__xludf.DUMMYFUNCTION("""COMPUTED_VALUE"""),"TRIMESTRE 4")</f>
        <v>TRIMESTRE 4</v>
      </c>
      <c r="M160" s="79" t="str">
        <f ca="1">IFERROR(__xludf.DUMMYFUNCTION("""COMPUTED_VALUE"""),"ADULTA MAYOR MUJER")</f>
        <v>ADULTA MAYOR MUJER</v>
      </c>
    </row>
    <row r="161" spans="1:26">
      <c r="A161" s="79" t="str">
        <f ca="1">IFERROR(__xludf.DUMMYFUNCTION("""COMPUTED_VALUE"""),"6.1.1.1")</f>
        <v>6.1.1.1</v>
      </c>
      <c r="B161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1" s="79" t="str">
        <f ca="1">IFERROR(__xludf.DUMMYFUNCTION("""COMPUTED_VALUE"""),"5. Inclusión")</f>
        <v>5. Inclusión</v>
      </c>
      <c r="D161" s="79" t="str">
        <f ca="1">IFERROR(__xludf.DUMMYFUNCTION("""COMPUTED_VALUE"""),"Guadalajara sin Barreras")</f>
        <v>Guadalajara sin Barreras</v>
      </c>
      <c r="E161" s="79" t="str">
        <f ca="1">IFERROR(__xludf.DUMMYFUNCTION("""COMPUTED_VALUE"""),"Atención Integral para una Vida Digna con Discapacidad")</f>
        <v>Atención Integral para una Vida Digna con Discapacidad</v>
      </c>
      <c r="F161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61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61" s="79" t="str">
        <f ca="1">IFERROR(__xludf.DUMMYFUNCTION("""COMPUTED_VALUE"""),"AMH Octubre")</f>
        <v>AMH Octubre</v>
      </c>
      <c r="I161" s="79" t="str">
        <f ca="1">IFERROR(__xludf.DUMMYFUNCTION("""COMPUTED_VALUE"""),"Octubre")</f>
        <v>Octubre</v>
      </c>
      <c r="J161" s="79" t="str">
        <f ca="1">IFERROR(__xludf.DUMMYFUNCTION("""COMPUTED_VALUE"""),"AMH")</f>
        <v>AMH</v>
      </c>
      <c r="K161" s="80">
        <f ca="1">IFERROR(__xludf.DUMMYFUNCTION("""COMPUTED_VALUE"""),7)</f>
        <v>7</v>
      </c>
      <c r="L161" s="79" t="str">
        <f ca="1">IFERROR(__xludf.DUMMYFUNCTION("""COMPUTED_VALUE"""),"TRIMESTRE 4")</f>
        <v>TRIMESTRE 4</v>
      </c>
      <c r="M161" s="79" t="str">
        <f ca="1">IFERROR(__xludf.DUMMYFUNCTION("""COMPUTED_VALUE"""),"ADULTO MAYOR HOMBRE")</f>
        <v>ADULTO MAYOR HOMBRE</v>
      </c>
    </row>
    <row r="162" spans="1:26">
      <c r="A162" s="81" t="str">
        <f ca="1">IFERROR(__xludf.DUMMYFUNCTION("""COMPUTED_VALUE"""),"6.1.1.0")</f>
        <v>6.1.1.0</v>
      </c>
      <c r="B162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2" s="81" t="str">
        <f ca="1">IFERROR(__xludf.DUMMYFUNCTION("""COMPUTED_VALUE"""),"5. Inclusión")</f>
        <v>5. Inclusión</v>
      </c>
      <c r="D162" s="81" t="str">
        <f ca="1">IFERROR(__xludf.DUMMYFUNCTION("""COMPUTED_VALUE"""),"Guadalajara sin Barreras")</f>
        <v>Guadalajara sin Barreras</v>
      </c>
      <c r="E162" s="81" t="str">
        <f ca="1">IFERROR(__xludf.DUMMYFUNCTION("""COMPUTED_VALUE"""),"Atención Integral para una Vida Digna con Discapacidad")</f>
        <v>Atención Integral para una Vida Digna con Discapacidad</v>
      </c>
      <c r="F162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2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2" s="81" t="str">
        <f ca="1">IFERROR(__xludf.DUMMYFUNCTION("""COMPUTED_VALUE"""),"NAS Noviembre")</f>
        <v>NAS Noviembre</v>
      </c>
      <c r="I162" s="81" t="str">
        <f ca="1">IFERROR(__xludf.DUMMYFUNCTION("""COMPUTED_VALUE"""),"Noviembre")</f>
        <v>Noviembre</v>
      </c>
      <c r="J162" s="81" t="str">
        <f ca="1">IFERROR(__xludf.DUMMYFUNCTION("""COMPUTED_VALUE"""),"NAS")</f>
        <v>NAS</v>
      </c>
      <c r="K162" s="80">
        <f ca="1">IFERROR(__xludf.DUMMYFUNCTION("""COMPUTED_VALUE"""),1)</f>
        <v>1</v>
      </c>
      <c r="L162" s="81" t="str">
        <f ca="1">IFERROR(__xludf.DUMMYFUNCTION("""COMPUTED_VALUE"""),"TRIMESTRE 4")</f>
        <v>TRIMESTRE 4</v>
      </c>
      <c r="M162" s="81" t="str">
        <f ca="1">IFERROR(__xludf.DUMMYFUNCTION("""COMPUTED_VALUE"""),"NIÑAS")</f>
        <v>NIÑAS</v>
      </c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</row>
    <row r="163" spans="1:26">
      <c r="A163" s="81" t="str">
        <f ca="1">IFERROR(__xludf.DUMMYFUNCTION("""COMPUTED_VALUE"""),"6.1.1.0")</f>
        <v>6.1.1.0</v>
      </c>
      <c r="B163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3" s="81" t="str">
        <f ca="1">IFERROR(__xludf.DUMMYFUNCTION("""COMPUTED_VALUE"""),"5. Inclusión")</f>
        <v>5. Inclusión</v>
      </c>
      <c r="D163" s="81" t="str">
        <f ca="1">IFERROR(__xludf.DUMMYFUNCTION("""COMPUTED_VALUE"""),"Guadalajara sin Barreras")</f>
        <v>Guadalajara sin Barreras</v>
      </c>
      <c r="E163" s="81" t="str">
        <f ca="1">IFERROR(__xludf.DUMMYFUNCTION("""COMPUTED_VALUE"""),"Atención Integral para una Vida Digna con Discapacidad")</f>
        <v>Atención Integral para una Vida Digna con Discapacidad</v>
      </c>
      <c r="F163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3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3" s="81" t="str">
        <f ca="1">IFERROR(__xludf.DUMMYFUNCTION("""COMPUTED_VALUE"""),"NOS Noviembre")</f>
        <v>NOS Noviembre</v>
      </c>
      <c r="I163" s="81" t="str">
        <f ca="1">IFERROR(__xludf.DUMMYFUNCTION("""COMPUTED_VALUE"""),"Noviembre")</f>
        <v>Noviembre</v>
      </c>
      <c r="J163" s="81" t="str">
        <f ca="1">IFERROR(__xludf.DUMMYFUNCTION("""COMPUTED_VALUE"""),"NOS")</f>
        <v>NOS</v>
      </c>
      <c r="K163" s="80">
        <f ca="1">IFERROR(__xludf.DUMMYFUNCTION("""COMPUTED_VALUE"""),8)</f>
        <v>8</v>
      </c>
      <c r="L163" s="81" t="str">
        <f ca="1">IFERROR(__xludf.DUMMYFUNCTION("""COMPUTED_VALUE"""),"TRIMESTRE 4")</f>
        <v>TRIMESTRE 4</v>
      </c>
      <c r="M163" s="81" t="str">
        <f ca="1">IFERROR(__xludf.DUMMYFUNCTION("""COMPUTED_VALUE"""),"NIÑOS")</f>
        <v>NIÑOS</v>
      </c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</row>
    <row r="164" spans="1:26">
      <c r="A164" s="81" t="str">
        <f ca="1">IFERROR(__xludf.DUMMYFUNCTION("""COMPUTED_VALUE"""),"6.1.1.0")</f>
        <v>6.1.1.0</v>
      </c>
      <c r="B164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4" s="81" t="str">
        <f ca="1">IFERROR(__xludf.DUMMYFUNCTION("""COMPUTED_VALUE"""),"5. Inclusión")</f>
        <v>5. Inclusión</v>
      </c>
      <c r="D164" s="81" t="str">
        <f ca="1">IFERROR(__xludf.DUMMYFUNCTION("""COMPUTED_VALUE"""),"Guadalajara sin Barreras")</f>
        <v>Guadalajara sin Barreras</v>
      </c>
      <c r="E164" s="81" t="str">
        <f ca="1">IFERROR(__xludf.DUMMYFUNCTION("""COMPUTED_VALUE"""),"Atención Integral para una Vida Digna con Discapacidad")</f>
        <v>Atención Integral para una Vida Digna con Discapacidad</v>
      </c>
      <c r="F164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4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4" s="81" t="str">
        <f ca="1">IFERROR(__xludf.DUMMYFUNCTION("""COMPUTED_VALUE"""),"AM NOVIEMBRE")</f>
        <v>AM NOVIEMBRE</v>
      </c>
      <c r="I164" s="81" t="str">
        <f ca="1">IFERROR(__xludf.DUMMYFUNCTION("""COMPUTED_VALUE"""),"Noviembre")</f>
        <v>Noviembre</v>
      </c>
      <c r="J164" s="81" t="str">
        <f ca="1">IFERROR(__xludf.DUMMYFUNCTION("""COMPUTED_VALUE"""),"AM")</f>
        <v>AM</v>
      </c>
      <c r="K164" s="80">
        <f ca="1">IFERROR(__xludf.DUMMYFUNCTION("""COMPUTED_VALUE"""),3)</f>
        <v>3</v>
      </c>
      <c r="L164" s="81" t="str">
        <f ca="1">IFERROR(__xludf.DUMMYFUNCTION("""COMPUTED_VALUE"""),"TRIMESTRE 4")</f>
        <v>TRIMESTRE 4</v>
      </c>
      <c r="M164" s="81" t="str">
        <f ca="1">IFERROR(__xludf.DUMMYFUNCTION("""COMPUTED_VALUE"""),"ADOLESCENTES MUJERES")</f>
        <v>ADOLESCENTES MUJERES</v>
      </c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</row>
    <row r="165" spans="1:26">
      <c r="A165" s="81" t="str">
        <f ca="1">IFERROR(__xludf.DUMMYFUNCTION("""COMPUTED_VALUE"""),"6.1.1.0")</f>
        <v>6.1.1.0</v>
      </c>
      <c r="B165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5" s="81" t="str">
        <f ca="1">IFERROR(__xludf.DUMMYFUNCTION("""COMPUTED_VALUE"""),"5. Inclusión")</f>
        <v>5. Inclusión</v>
      </c>
      <c r="D165" s="81" t="str">
        <f ca="1">IFERROR(__xludf.DUMMYFUNCTION("""COMPUTED_VALUE"""),"Guadalajara sin Barreras")</f>
        <v>Guadalajara sin Barreras</v>
      </c>
      <c r="E165" s="81" t="str">
        <f ca="1">IFERROR(__xludf.DUMMYFUNCTION("""COMPUTED_VALUE"""),"Atención Integral para una Vida Digna con Discapacidad")</f>
        <v>Atención Integral para una Vida Digna con Discapacidad</v>
      </c>
      <c r="F165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5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5" s="81" t="str">
        <f ca="1">IFERROR(__xludf.DUMMYFUNCTION("""COMPUTED_VALUE"""),"AH NOVIEMBRE")</f>
        <v>AH NOVIEMBRE</v>
      </c>
      <c r="I165" s="81" t="str">
        <f ca="1">IFERROR(__xludf.DUMMYFUNCTION("""COMPUTED_VALUE"""),"Noviembre")</f>
        <v>Noviembre</v>
      </c>
      <c r="J165" s="81" t="str">
        <f ca="1">IFERROR(__xludf.DUMMYFUNCTION("""COMPUTED_VALUE"""),"AH")</f>
        <v>AH</v>
      </c>
      <c r="K165" s="80">
        <f ca="1">IFERROR(__xludf.DUMMYFUNCTION("""COMPUTED_VALUE"""),3)</f>
        <v>3</v>
      </c>
      <c r="L165" s="81" t="str">
        <f ca="1">IFERROR(__xludf.DUMMYFUNCTION("""COMPUTED_VALUE"""),"TRIMESTRE 4")</f>
        <v>TRIMESTRE 4</v>
      </c>
      <c r="M165" s="81" t="str">
        <f ca="1">IFERROR(__xludf.DUMMYFUNCTION("""COMPUTED_VALUE"""),"ADOLESCENTES HOMBRES")</f>
        <v>ADOLESCENTES HOMBRES</v>
      </c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</row>
    <row r="166" spans="1:26">
      <c r="A166" s="81" t="str">
        <f ca="1">IFERROR(__xludf.DUMMYFUNCTION("""COMPUTED_VALUE"""),"6.1.1.0")</f>
        <v>6.1.1.0</v>
      </c>
      <c r="B166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6" s="81" t="str">
        <f ca="1">IFERROR(__xludf.DUMMYFUNCTION("""COMPUTED_VALUE"""),"5. Inclusión")</f>
        <v>5. Inclusión</v>
      </c>
      <c r="D166" s="81" t="str">
        <f ca="1">IFERROR(__xludf.DUMMYFUNCTION("""COMPUTED_VALUE"""),"Guadalajara sin Barreras")</f>
        <v>Guadalajara sin Barreras</v>
      </c>
      <c r="E166" s="81" t="str">
        <f ca="1">IFERROR(__xludf.DUMMYFUNCTION("""COMPUTED_VALUE"""),"Atención Integral para una Vida Digna con Discapacidad")</f>
        <v>Atención Integral para una Vida Digna con Discapacidad</v>
      </c>
      <c r="F166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6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6" s="81" t="str">
        <f ca="1">IFERROR(__xludf.DUMMYFUNCTION("""COMPUTED_VALUE"""),"MUJ Noviembre")</f>
        <v>MUJ Noviembre</v>
      </c>
      <c r="I166" s="81" t="str">
        <f ca="1">IFERROR(__xludf.DUMMYFUNCTION("""COMPUTED_VALUE"""),"Noviembre")</f>
        <v>Noviembre</v>
      </c>
      <c r="J166" s="81" t="str">
        <f ca="1">IFERROR(__xludf.DUMMYFUNCTION("""COMPUTED_VALUE"""),"MUJ")</f>
        <v>MUJ</v>
      </c>
      <c r="K166" s="80">
        <f ca="1">IFERROR(__xludf.DUMMYFUNCTION("""COMPUTED_VALUE"""),55)</f>
        <v>55</v>
      </c>
      <c r="L166" s="81" t="str">
        <f ca="1">IFERROR(__xludf.DUMMYFUNCTION("""COMPUTED_VALUE"""),"TRIMESTRE 4")</f>
        <v>TRIMESTRE 4</v>
      </c>
      <c r="M166" s="81" t="str">
        <f ca="1">IFERROR(__xludf.DUMMYFUNCTION("""COMPUTED_VALUE"""),"MUJERES ADULTAS")</f>
        <v>MUJERES ADULTAS</v>
      </c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</row>
    <row r="167" spans="1:26">
      <c r="A167" s="81" t="str">
        <f ca="1">IFERROR(__xludf.DUMMYFUNCTION("""COMPUTED_VALUE"""),"6.1.1.0")</f>
        <v>6.1.1.0</v>
      </c>
      <c r="B167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7" s="81" t="str">
        <f ca="1">IFERROR(__xludf.DUMMYFUNCTION("""COMPUTED_VALUE"""),"5. Inclusión")</f>
        <v>5. Inclusión</v>
      </c>
      <c r="D167" s="81" t="str">
        <f ca="1">IFERROR(__xludf.DUMMYFUNCTION("""COMPUTED_VALUE"""),"Guadalajara sin Barreras")</f>
        <v>Guadalajara sin Barreras</v>
      </c>
      <c r="E167" s="81" t="str">
        <f ca="1">IFERROR(__xludf.DUMMYFUNCTION("""COMPUTED_VALUE"""),"Atención Integral para una Vida Digna con Discapacidad")</f>
        <v>Atención Integral para una Vida Digna con Discapacidad</v>
      </c>
      <c r="F167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7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7" s="81" t="str">
        <f ca="1">IFERROR(__xludf.DUMMYFUNCTION("""COMPUTED_VALUE"""),"HOM Noviembre")</f>
        <v>HOM Noviembre</v>
      </c>
      <c r="I167" s="81" t="str">
        <f ca="1">IFERROR(__xludf.DUMMYFUNCTION("""COMPUTED_VALUE"""),"Noviembre")</f>
        <v>Noviembre</v>
      </c>
      <c r="J167" s="81" t="str">
        <f ca="1">IFERROR(__xludf.DUMMYFUNCTION("""COMPUTED_VALUE"""),"HOM")</f>
        <v>HOM</v>
      </c>
      <c r="K167" s="80">
        <f ca="1">IFERROR(__xludf.DUMMYFUNCTION("""COMPUTED_VALUE"""),52)</f>
        <v>52</v>
      </c>
      <c r="L167" s="81" t="str">
        <f ca="1">IFERROR(__xludf.DUMMYFUNCTION("""COMPUTED_VALUE"""),"TRIMESTRE 4")</f>
        <v>TRIMESTRE 4</v>
      </c>
      <c r="M167" s="81" t="str">
        <f ca="1">IFERROR(__xludf.DUMMYFUNCTION("""COMPUTED_VALUE"""),"HOMBRES ADULTOS")</f>
        <v>HOMBRES ADULTOS</v>
      </c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</row>
    <row r="168" spans="1:26">
      <c r="A168" s="81" t="str">
        <f ca="1">IFERROR(__xludf.DUMMYFUNCTION("""COMPUTED_VALUE"""),"6.1.1.0")</f>
        <v>6.1.1.0</v>
      </c>
      <c r="B168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8" s="81" t="str">
        <f ca="1">IFERROR(__xludf.DUMMYFUNCTION("""COMPUTED_VALUE"""),"5. Inclusión")</f>
        <v>5. Inclusión</v>
      </c>
      <c r="D168" s="81" t="str">
        <f ca="1">IFERROR(__xludf.DUMMYFUNCTION("""COMPUTED_VALUE"""),"Guadalajara sin Barreras")</f>
        <v>Guadalajara sin Barreras</v>
      </c>
      <c r="E168" s="81" t="str">
        <f ca="1">IFERROR(__xludf.DUMMYFUNCTION("""COMPUTED_VALUE"""),"Atención Integral para una Vida Digna con Discapacidad")</f>
        <v>Atención Integral para una Vida Digna con Discapacidad</v>
      </c>
      <c r="F168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8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8" s="81" t="str">
        <f ca="1">IFERROR(__xludf.DUMMYFUNCTION("""COMPUTED_VALUE"""),"AMM Noviembre")</f>
        <v>AMM Noviembre</v>
      </c>
      <c r="I168" s="81" t="str">
        <f ca="1">IFERROR(__xludf.DUMMYFUNCTION("""COMPUTED_VALUE"""),"Noviembre")</f>
        <v>Noviembre</v>
      </c>
      <c r="J168" s="81" t="str">
        <f ca="1">IFERROR(__xludf.DUMMYFUNCTION("""COMPUTED_VALUE"""),"AMM")</f>
        <v>AMM</v>
      </c>
      <c r="K168" s="80">
        <f ca="1">IFERROR(__xludf.DUMMYFUNCTION("""COMPUTED_VALUE"""),34)</f>
        <v>34</v>
      </c>
      <c r="L168" s="81" t="str">
        <f ca="1">IFERROR(__xludf.DUMMYFUNCTION("""COMPUTED_VALUE"""),"TRIMESTRE 4")</f>
        <v>TRIMESTRE 4</v>
      </c>
      <c r="M168" s="81" t="str">
        <f ca="1">IFERROR(__xludf.DUMMYFUNCTION("""COMPUTED_VALUE"""),"ADULTA MAYOR MUJER")</f>
        <v>ADULTA MAYOR MUJER</v>
      </c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</row>
    <row r="169" spans="1:26">
      <c r="A169" s="81" t="str">
        <f ca="1">IFERROR(__xludf.DUMMYFUNCTION("""COMPUTED_VALUE"""),"6.1.1.0")</f>
        <v>6.1.1.0</v>
      </c>
      <c r="B169" s="81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69" s="81" t="str">
        <f ca="1">IFERROR(__xludf.DUMMYFUNCTION("""COMPUTED_VALUE"""),"5. Inclusión")</f>
        <v>5. Inclusión</v>
      </c>
      <c r="D169" s="81" t="str">
        <f ca="1">IFERROR(__xludf.DUMMYFUNCTION("""COMPUTED_VALUE"""),"Guadalajara sin Barreras")</f>
        <v>Guadalajara sin Barreras</v>
      </c>
      <c r="E169" s="81" t="str">
        <f ca="1">IFERROR(__xludf.DUMMYFUNCTION("""COMPUTED_VALUE"""),"Atención Integral para una Vida Digna con Discapacidad")</f>
        <v>Atención Integral para una Vida Digna con Discapacidad</v>
      </c>
      <c r="F169" s="81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69" s="81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69" s="81" t="str">
        <f ca="1">IFERROR(__xludf.DUMMYFUNCTION("""COMPUTED_VALUE"""),"AMH Noviembre")</f>
        <v>AMH Noviembre</v>
      </c>
      <c r="I169" s="81" t="str">
        <f ca="1">IFERROR(__xludf.DUMMYFUNCTION("""COMPUTED_VALUE"""),"Noviembre")</f>
        <v>Noviembre</v>
      </c>
      <c r="J169" s="81" t="str">
        <f ca="1">IFERROR(__xludf.DUMMYFUNCTION("""COMPUTED_VALUE"""),"AMH")</f>
        <v>AMH</v>
      </c>
      <c r="K169" s="80">
        <f ca="1">IFERROR(__xludf.DUMMYFUNCTION("""COMPUTED_VALUE"""),3)</f>
        <v>3</v>
      </c>
      <c r="L169" s="81" t="str">
        <f ca="1">IFERROR(__xludf.DUMMYFUNCTION("""COMPUTED_VALUE"""),"TRIMESTRE 4")</f>
        <v>TRIMESTRE 4</v>
      </c>
      <c r="M169" s="81" t="str">
        <f ca="1">IFERROR(__xludf.DUMMYFUNCTION("""COMPUTED_VALUE"""),"ADULTO MAYOR HOMBRE")</f>
        <v>ADULTO MAYOR HOMBRE</v>
      </c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</row>
    <row r="170" spans="1:26">
      <c r="A170" s="79" t="str">
        <f ca="1">IFERROR(__xludf.DUMMYFUNCTION("""COMPUTED_VALUE"""),"6.1.1.1")</f>
        <v>6.1.1.1</v>
      </c>
      <c r="B170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0" s="79" t="str">
        <f ca="1">IFERROR(__xludf.DUMMYFUNCTION("""COMPUTED_VALUE"""),"5. Inclusión")</f>
        <v>5. Inclusión</v>
      </c>
      <c r="D170" s="79" t="str">
        <f ca="1">IFERROR(__xludf.DUMMYFUNCTION("""COMPUTED_VALUE"""),"Guadalajara sin Barreras")</f>
        <v>Guadalajara sin Barreras</v>
      </c>
      <c r="E170" s="79" t="str">
        <f ca="1">IFERROR(__xludf.DUMMYFUNCTION("""COMPUTED_VALUE"""),"Atención Integral para una Vida Digna con Discapacidad")</f>
        <v>Atención Integral para una Vida Digna con Discapacidad</v>
      </c>
      <c r="F170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0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0" s="79" t="str">
        <f ca="1">IFERROR(__xludf.DUMMYFUNCTION("""COMPUTED_VALUE"""),"NAS Noviembre")</f>
        <v>NAS Noviembre</v>
      </c>
      <c r="I170" s="79" t="str">
        <f ca="1">IFERROR(__xludf.DUMMYFUNCTION("""COMPUTED_VALUE"""),"Noviembre")</f>
        <v>Noviembre</v>
      </c>
      <c r="J170" s="79" t="str">
        <f ca="1">IFERROR(__xludf.DUMMYFUNCTION("""COMPUTED_VALUE"""),"NAS")</f>
        <v>NAS</v>
      </c>
      <c r="K170" s="80">
        <f ca="1">IFERROR(__xludf.DUMMYFUNCTION("""COMPUTED_VALUE"""),2)</f>
        <v>2</v>
      </c>
      <c r="L170" s="79" t="str">
        <f ca="1">IFERROR(__xludf.DUMMYFUNCTION("""COMPUTED_VALUE"""),"TRIMESTRE 4")</f>
        <v>TRIMESTRE 4</v>
      </c>
      <c r="M170" s="79" t="str">
        <f ca="1">IFERROR(__xludf.DUMMYFUNCTION("""COMPUTED_VALUE"""),"NIÑAS")</f>
        <v>NIÑAS</v>
      </c>
    </row>
    <row r="171" spans="1:26">
      <c r="A171" s="79" t="str">
        <f ca="1">IFERROR(__xludf.DUMMYFUNCTION("""COMPUTED_VALUE"""),"6.1.1.1")</f>
        <v>6.1.1.1</v>
      </c>
      <c r="B171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1" s="79" t="str">
        <f ca="1">IFERROR(__xludf.DUMMYFUNCTION("""COMPUTED_VALUE"""),"5. Inclusión")</f>
        <v>5. Inclusión</v>
      </c>
      <c r="D171" s="79" t="str">
        <f ca="1">IFERROR(__xludf.DUMMYFUNCTION("""COMPUTED_VALUE"""),"Guadalajara sin Barreras")</f>
        <v>Guadalajara sin Barreras</v>
      </c>
      <c r="E171" s="79" t="str">
        <f ca="1">IFERROR(__xludf.DUMMYFUNCTION("""COMPUTED_VALUE"""),"Atención Integral para una Vida Digna con Discapacidad")</f>
        <v>Atención Integral para una Vida Digna con Discapacidad</v>
      </c>
      <c r="F171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1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1" s="79" t="str">
        <f ca="1">IFERROR(__xludf.DUMMYFUNCTION("""COMPUTED_VALUE"""),"NOS Noviembre")</f>
        <v>NOS Noviembre</v>
      </c>
      <c r="I171" s="79" t="str">
        <f ca="1">IFERROR(__xludf.DUMMYFUNCTION("""COMPUTED_VALUE"""),"Noviembre")</f>
        <v>Noviembre</v>
      </c>
      <c r="J171" s="79" t="str">
        <f ca="1">IFERROR(__xludf.DUMMYFUNCTION("""COMPUTED_VALUE"""),"NOS")</f>
        <v>NOS</v>
      </c>
      <c r="K171" s="80">
        <f ca="1">IFERROR(__xludf.DUMMYFUNCTION("""COMPUTED_VALUE"""),1)</f>
        <v>1</v>
      </c>
      <c r="L171" s="79" t="str">
        <f ca="1">IFERROR(__xludf.DUMMYFUNCTION("""COMPUTED_VALUE"""),"TRIMESTRE 4")</f>
        <v>TRIMESTRE 4</v>
      </c>
      <c r="M171" s="79" t="str">
        <f ca="1">IFERROR(__xludf.DUMMYFUNCTION("""COMPUTED_VALUE"""),"NIÑOS")</f>
        <v>NIÑOS</v>
      </c>
    </row>
    <row r="172" spans="1:26">
      <c r="A172" s="79" t="str">
        <f ca="1">IFERROR(__xludf.DUMMYFUNCTION("""COMPUTED_VALUE"""),"6.1.1.1")</f>
        <v>6.1.1.1</v>
      </c>
      <c r="B172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2" s="79" t="str">
        <f ca="1">IFERROR(__xludf.DUMMYFUNCTION("""COMPUTED_VALUE"""),"5. Inclusión")</f>
        <v>5. Inclusión</v>
      </c>
      <c r="D172" s="79" t="str">
        <f ca="1">IFERROR(__xludf.DUMMYFUNCTION("""COMPUTED_VALUE"""),"Guadalajara sin Barreras")</f>
        <v>Guadalajara sin Barreras</v>
      </c>
      <c r="E172" s="79" t="str">
        <f ca="1">IFERROR(__xludf.DUMMYFUNCTION("""COMPUTED_VALUE"""),"Atención Integral para una Vida Digna con Discapacidad")</f>
        <v>Atención Integral para una Vida Digna con Discapacidad</v>
      </c>
      <c r="F172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2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2" s="79" t="str">
        <f ca="1">IFERROR(__xludf.DUMMYFUNCTION("""COMPUTED_VALUE"""),"AM NOVIEMBRE")</f>
        <v>AM NOVIEMBRE</v>
      </c>
      <c r="I172" s="79" t="str">
        <f ca="1">IFERROR(__xludf.DUMMYFUNCTION("""COMPUTED_VALUE"""),"Noviembre")</f>
        <v>Noviembre</v>
      </c>
      <c r="J172" s="79" t="str">
        <f ca="1">IFERROR(__xludf.DUMMYFUNCTION("""COMPUTED_VALUE"""),"AM")</f>
        <v>AM</v>
      </c>
      <c r="K172" s="80">
        <f ca="1">IFERROR(__xludf.DUMMYFUNCTION("""COMPUTED_VALUE"""),2)</f>
        <v>2</v>
      </c>
      <c r="L172" s="79" t="str">
        <f ca="1">IFERROR(__xludf.DUMMYFUNCTION("""COMPUTED_VALUE"""),"TRIMESTRE 4")</f>
        <v>TRIMESTRE 4</v>
      </c>
      <c r="M172" s="79" t="str">
        <f ca="1">IFERROR(__xludf.DUMMYFUNCTION("""COMPUTED_VALUE"""),"ADOLESCENTES MUJERES")</f>
        <v>ADOLESCENTES MUJERES</v>
      </c>
    </row>
    <row r="173" spans="1:26">
      <c r="A173" s="79" t="str">
        <f ca="1">IFERROR(__xludf.DUMMYFUNCTION("""COMPUTED_VALUE"""),"6.1.1.1")</f>
        <v>6.1.1.1</v>
      </c>
      <c r="B173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3" s="79" t="str">
        <f ca="1">IFERROR(__xludf.DUMMYFUNCTION("""COMPUTED_VALUE"""),"5. Inclusión")</f>
        <v>5. Inclusión</v>
      </c>
      <c r="D173" s="79" t="str">
        <f ca="1">IFERROR(__xludf.DUMMYFUNCTION("""COMPUTED_VALUE"""),"Guadalajara sin Barreras")</f>
        <v>Guadalajara sin Barreras</v>
      </c>
      <c r="E173" s="79" t="str">
        <f ca="1">IFERROR(__xludf.DUMMYFUNCTION("""COMPUTED_VALUE"""),"Atención Integral para una Vida Digna con Discapacidad")</f>
        <v>Atención Integral para una Vida Digna con Discapacidad</v>
      </c>
      <c r="F173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3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3" s="79" t="str">
        <f ca="1">IFERROR(__xludf.DUMMYFUNCTION("""COMPUTED_VALUE"""),"AH NOVIEMBRE")</f>
        <v>AH NOVIEMBRE</v>
      </c>
      <c r="I173" s="79" t="str">
        <f ca="1">IFERROR(__xludf.DUMMYFUNCTION("""COMPUTED_VALUE"""),"Noviembre")</f>
        <v>Noviembre</v>
      </c>
      <c r="J173" s="79" t="str">
        <f ca="1">IFERROR(__xludf.DUMMYFUNCTION("""COMPUTED_VALUE"""),"AH")</f>
        <v>AH</v>
      </c>
      <c r="K173" s="80">
        <f ca="1">IFERROR(__xludf.DUMMYFUNCTION("""COMPUTED_VALUE"""),2)</f>
        <v>2</v>
      </c>
      <c r="L173" s="79" t="str">
        <f ca="1">IFERROR(__xludf.DUMMYFUNCTION("""COMPUTED_VALUE"""),"TRIMESTRE 4")</f>
        <v>TRIMESTRE 4</v>
      </c>
      <c r="M173" s="79" t="str">
        <f ca="1">IFERROR(__xludf.DUMMYFUNCTION("""COMPUTED_VALUE"""),"ADOLESCENTES HOMBRES")</f>
        <v>ADOLESCENTES HOMBRES</v>
      </c>
    </row>
    <row r="174" spans="1:26">
      <c r="A174" s="79" t="str">
        <f ca="1">IFERROR(__xludf.DUMMYFUNCTION("""COMPUTED_VALUE"""),"6.1.1.1")</f>
        <v>6.1.1.1</v>
      </c>
      <c r="B174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4" s="79" t="str">
        <f ca="1">IFERROR(__xludf.DUMMYFUNCTION("""COMPUTED_VALUE"""),"5. Inclusión")</f>
        <v>5. Inclusión</v>
      </c>
      <c r="D174" s="79" t="str">
        <f ca="1">IFERROR(__xludf.DUMMYFUNCTION("""COMPUTED_VALUE"""),"Guadalajara sin Barreras")</f>
        <v>Guadalajara sin Barreras</v>
      </c>
      <c r="E174" s="79" t="str">
        <f ca="1">IFERROR(__xludf.DUMMYFUNCTION("""COMPUTED_VALUE"""),"Atención Integral para una Vida Digna con Discapacidad")</f>
        <v>Atención Integral para una Vida Digna con Discapacidad</v>
      </c>
      <c r="F174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4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4" s="79" t="str">
        <f ca="1">IFERROR(__xludf.DUMMYFUNCTION("""COMPUTED_VALUE"""),"MUJ Noviembre")</f>
        <v>MUJ Noviembre</v>
      </c>
      <c r="I174" s="79" t="str">
        <f ca="1">IFERROR(__xludf.DUMMYFUNCTION("""COMPUTED_VALUE"""),"Noviembre")</f>
        <v>Noviembre</v>
      </c>
      <c r="J174" s="79" t="str">
        <f ca="1">IFERROR(__xludf.DUMMYFUNCTION("""COMPUTED_VALUE"""),"MUJ")</f>
        <v>MUJ</v>
      </c>
      <c r="K174" s="80">
        <f ca="1">IFERROR(__xludf.DUMMYFUNCTION("""COMPUTED_VALUE"""),43)</f>
        <v>43</v>
      </c>
      <c r="L174" s="79" t="str">
        <f ca="1">IFERROR(__xludf.DUMMYFUNCTION("""COMPUTED_VALUE"""),"TRIMESTRE 4")</f>
        <v>TRIMESTRE 4</v>
      </c>
      <c r="M174" s="79" t="str">
        <f ca="1">IFERROR(__xludf.DUMMYFUNCTION("""COMPUTED_VALUE"""),"MUJERES ADULTAS")</f>
        <v>MUJERES ADULTAS</v>
      </c>
    </row>
    <row r="175" spans="1:26">
      <c r="A175" s="79" t="str">
        <f ca="1">IFERROR(__xludf.DUMMYFUNCTION("""COMPUTED_VALUE"""),"6.1.1.1")</f>
        <v>6.1.1.1</v>
      </c>
      <c r="B175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5" s="79" t="str">
        <f ca="1">IFERROR(__xludf.DUMMYFUNCTION("""COMPUTED_VALUE"""),"5. Inclusión")</f>
        <v>5. Inclusión</v>
      </c>
      <c r="D175" s="79" t="str">
        <f ca="1">IFERROR(__xludf.DUMMYFUNCTION("""COMPUTED_VALUE"""),"Guadalajara sin Barreras")</f>
        <v>Guadalajara sin Barreras</v>
      </c>
      <c r="E175" s="79" t="str">
        <f ca="1">IFERROR(__xludf.DUMMYFUNCTION("""COMPUTED_VALUE"""),"Atención Integral para una Vida Digna con Discapacidad")</f>
        <v>Atención Integral para una Vida Digna con Discapacidad</v>
      </c>
      <c r="F175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5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5" s="79" t="str">
        <f ca="1">IFERROR(__xludf.DUMMYFUNCTION("""COMPUTED_VALUE"""),"HOM Noviembre")</f>
        <v>HOM Noviembre</v>
      </c>
      <c r="I175" s="79" t="str">
        <f ca="1">IFERROR(__xludf.DUMMYFUNCTION("""COMPUTED_VALUE"""),"Noviembre")</f>
        <v>Noviembre</v>
      </c>
      <c r="J175" s="79" t="str">
        <f ca="1">IFERROR(__xludf.DUMMYFUNCTION("""COMPUTED_VALUE"""),"HOM")</f>
        <v>HOM</v>
      </c>
      <c r="K175" s="80">
        <f ca="1">IFERROR(__xludf.DUMMYFUNCTION("""COMPUTED_VALUE"""),30)</f>
        <v>30</v>
      </c>
      <c r="L175" s="79" t="str">
        <f ca="1">IFERROR(__xludf.DUMMYFUNCTION("""COMPUTED_VALUE"""),"TRIMESTRE 4")</f>
        <v>TRIMESTRE 4</v>
      </c>
      <c r="M175" s="79" t="str">
        <f ca="1">IFERROR(__xludf.DUMMYFUNCTION("""COMPUTED_VALUE"""),"HOMBRES ADULTOS")</f>
        <v>HOMBRES ADULTOS</v>
      </c>
    </row>
    <row r="176" spans="1:26">
      <c r="A176" s="79" t="str">
        <f ca="1">IFERROR(__xludf.DUMMYFUNCTION("""COMPUTED_VALUE"""),"6.1.1.1")</f>
        <v>6.1.1.1</v>
      </c>
      <c r="B176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6" s="79" t="str">
        <f ca="1">IFERROR(__xludf.DUMMYFUNCTION("""COMPUTED_VALUE"""),"5. Inclusión")</f>
        <v>5. Inclusión</v>
      </c>
      <c r="D176" s="79" t="str">
        <f ca="1">IFERROR(__xludf.DUMMYFUNCTION("""COMPUTED_VALUE"""),"Guadalajara sin Barreras")</f>
        <v>Guadalajara sin Barreras</v>
      </c>
      <c r="E176" s="79" t="str">
        <f ca="1">IFERROR(__xludf.DUMMYFUNCTION("""COMPUTED_VALUE"""),"Atención Integral para una Vida Digna con Discapacidad")</f>
        <v>Atención Integral para una Vida Digna con Discapacidad</v>
      </c>
      <c r="F176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6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6" s="79" t="str">
        <f ca="1">IFERROR(__xludf.DUMMYFUNCTION("""COMPUTED_VALUE"""),"AMM Noviembre")</f>
        <v>AMM Noviembre</v>
      </c>
      <c r="I176" s="79" t="str">
        <f ca="1">IFERROR(__xludf.DUMMYFUNCTION("""COMPUTED_VALUE"""),"Noviembre")</f>
        <v>Noviembre</v>
      </c>
      <c r="J176" s="79" t="str">
        <f ca="1">IFERROR(__xludf.DUMMYFUNCTION("""COMPUTED_VALUE"""),"AMM")</f>
        <v>AMM</v>
      </c>
      <c r="K176" s="80">
        <f ca="1">IFERROR(__xludf.DUMMYFUNCTION("""COMPUTED_VALUE"""),27)</f>
        <v>27</v>
      </c>
      <c r="L176" s="79" t="str">
        <f ca="1">IFERROR(__xludf.DUMMYFUNCTION("""COMPUTED_VALUE"""),"TRIMESTRE 4")</f>
        <v>TRIMESTRE 4</v>
      </c>
      <c r="M176" s="79" t="str">
        <f ca="1">IFERROR(__xludf.DUMMYFUNCTION("""COMPUTED_VALUE"""),"ADULTA MAYOR MUJER")</f>
        <v>ADULTA MAYOR MUJER</v>
      </c>
    </row>
    <row r="177" spans="1:13">
      <c r="A177" s="79" t="str">
        <f ca="1">IFERROR(__xludf.DUMMYFUNCTION("""COMPUTED_VALUE"""),"6.1.1.1")</f>
        <v>6.1.1.1</v>
      </c>
      <c r="B177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7" s="79" t="str">
        <f ca="1">IFERROR(__xludf.DUMMYFUNCTION("""COMPUTED_VALUE"""),"5. Inclusión")</f>
        <v>5. Inclusión</v>
      </c>
      <c r="D177" s="79" t="str">
        <f ca="1">IFERROR(__xludf.DUMMYFUNCTION("""COMPUTED_VALUE"""),"Guadalajara sin Barreras")</f>
        <v>Guadalajara sin Barreras</v>
      </c>
      <c r="E177" s="79" t="str">
        <f ca="1">IFERROR(__xludf.DUMMYFUNCTION("""COMPUTED_VALUE"""),"Atención Integral para una Vida Digna con Discapacidad")</f>
        <v>Atención Integral para una Vida Digna con Discapacidad</v>
      </c>
      <c r="F177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77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77" s="79" t="str">
        <f ca="1">IFERROR(__xludf.DUMMYFUNCTION("""COMPUTED_VALUE"""),"AMH Noviembre")</f>
        <v>AMH Noviembre</v>
      </c>
      <c r="I177" s="79" t="str">
        <f ca="1">IFERROR(__xludf.DUMMYFUNCTION("""COMPUTED_VALUE"""),"Noviembre")</f>
        <v>Noviembre</v>
      </c>
      <c r="J177" s="79" t="str">
        <f ca="1">IFERROR(__xludf.DUMMYFUNCTION("""COMPUTED_VALUE"""),"AMH")</f>
        <v>AMH</v>
      </c>
      <c r="K177" s="80">
        <f ca="1">IFERROR(__xludf.DUMMYFUNCTION("""COMPUTED_VALUE"""),4)</f>
        <v>4</v>
      </c>
      <c r="L177" s="79" t="str">
        <f ca="1">IFERROR(__xludf.DUMMYFUNCTION("""COMPUTED_VALUE"""),"TRIMESTRE 4")</f>
        <v>TRIMESTRE 4</v>
      </c>
      <c r="M177" s="79" t="str">
        <f ca="1">IFERROR(__xludf.DUMMYFUNCTION("""COMPUTED_VALUE"""),"ADULTO MAYOR HOMBRE")</f>
        <v>ADULTO MAYOR HOMBRE</v>
      </c>
    </row>
    <row r="178" spans="1:13">
      <c r="A178" s="79" t="str">
        <f ca="1">IFERROR(__xludf.DUMMYFUNCTION("""COMPUTED_VALUE"""),"6.1.1.0")</f>
        <v>6.1.1.0</v>
      </c>
      <c r="B178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8" s="79" t="str">
        <f ca="1">IFERROR(__xludf.DUMMYFUNCTION("""COMPUTED_VALUE"""),"5. Inclusión")</f>
        <v>5. Inclusión</v>
      </c>
      <c r="D178" s="79" t="str">
        <f ca="1">IFERROR(__xludf.DUMMYFUNCTION("""COMPUTED_VALUE"""),"Guadalajara sin Barreras")</f>
        <v>Guadalajara sin Barreras</v>
      </c>
      <c r="E178" s="79" t="str">
        <f ca="1">IFERROR(__xludf.DUMMYFUNCTION("""COMPUTED_VALUE"""),"Atención Integral para una Vida Digna con Discapacidad")</f>
        <v>Atención Integral para una Vida Digna con Discapacidad</v>
      </c>
      <c r="F178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78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78" s="79" t="str">
        <f ca="1">IFERROR(__xludf.DUMMYFUNCTION("""COMPUTED_VALUE"""),"NAS Diciembre")</f>
        <v>NAS Diciembre</v>
      </c>
      <c r="I178" s="79" t="str">
        <f ca="1">IFERROR(__xludf.DUMMYFUNCTION("""COMPUTED_VALUE"""),"Diciembre")</f>
        <v>Diciembre</v>
      </c>
      <c r="J178" s="79" t="str">
        <f ca="1">IFERROR(__xludf.DUMMYFUNCTION("""COMPUTED_VALUE"""),"NAS")</f>
        <v>NAS</v>
      </c>
      <c r="K178" s="80">
        <f ca="1">IFERROR(__xludf.DUMMYFUNCTION("""COMPUTED_VALUE"""),1)</f>
        <v>1</v>
      </c>
      <c r="L178" s="79" t="str">
        <f ca="1">IFERROR(__xludf.DUMMYFUNCTION("""COMPUTED_VALUE"""),"TRIMESTRE 4")</f>
        <v>TRIMESTRE 4</v>
      </c>
      <c r="M178" s="79" t="str">
        <f ca="1">IFERROR(__xludf.DUMMYFUNCTION("""COMPUTED_VALUE"""),"NIÑAS")</f>
        <v>NIÑAS</v>
      </c>
    </row>
    <row r="179" spans="1:13">
      <c r="A179" s="79" t="str">
        <f ca="1">IFERROR(__xludf.DUMMYFUNCTION("""COMPUTED_VALUE"""),"6.1.1.0")</f>
        <v>6.1.1.0</v>
      </c>
      <c r="B179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79" s="79" t="str">
        <f ca="1">IFERROR(__xludf.DUMMYFUNCTION("""COMPUTED_VALUE"""),"5. Inclusión")</f>
        <v>5. Inclusión</v>
      </c>
      <c r="D179" s="79" t="str">
        <f ca="1">IFERROR(__xludf.DUMMYFUNCTION("""COMPUTED_VALUE"""),"Guadalajara sin Barreras")</f>
        <v>Guadalajara sin Barreras</v>
      </c>
      <c r="E179" s="79" t="str">
        <f ca="1">IFERROR(__xludf.DUMMYFUNCTION("""COMPUTED_VALUE"""),"Atención Integral para una Vida Digna con Discapacidad")</f>
        <v>Atención Integral para una Vida Digna con Discapacidad</v>
      </c>
      <c r="F179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79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79" s="79" t="str">
        <f ca="1">IFERROR(__xludf.DUMMYFUNCTION("""COMPUTED_VALUE"""),"NOS Diciembre")</f>
        <v>NOS Diciembre</v>
      </c>
      <c r="I179" s="79" t="str">
        <f ca="1">IFERROR(__xludf.DUMMYFUNCTION("""COMPUTED_VALUE"""),"Diciembre")</f>
        <v>Diciembre</v>
      </c>
      <c r="J179" s="79" t="str">
        <f ca="1">IFERROR(__xludf.DUMMYFUNCTION("""COMPUTED_VALUE"""),"NOS")</f>
        <v>NOS</v>
      </c>
      <c r="K179" s="80">
        <f ca="1">IFERROR(__xludf.DUMMYFUNCTION("""COMPUTED_VALUE"""),6)</f>
        <v>6</v>
      </c>
      <c r="L179" s="79" t="str">
        <f ca="1">IFERROR(__xludf.DUMMYFUNCTION("""COMPUTED_VALUE"""),"TRIMESTRE 4")</f>
        <v>TRIMESTRE 4</v>
      </c>
      <c r="M179" s="79" t="str">
        <f ca="1">IFERROR(__xludf.DUMMYFUNCTION("""COMPUTED_VALUE"""),"NIÑOS")</f>
        <v>NIÑOS</v>
      </c>
    </row>
    <row r="180" spans="1:13">
      <c r="A180" s="79" t="str">
        <f ca="1">IFERROR(__xludf.DUMMYFUNCTION("""COMPUTED_VALUE"""),"6.1.1.0")</f>
        <v>6.1.1.0</v>
      </c>
      <c r="B180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0" s="79" t="str">
        <f ca="1">IFERROR(__xludf.DUMMYFUNCTION("""COMPUTED_VALUE"""),"5. Inclusión")</f>
        <v>5. Inclusión</v>
      </c>
      <c r="D180" s="79" t="str">
        <f ca="1">IFERROR(__xludf.DUMMYFUNCTION("""COMPUTED_VALUE"""),"Guadalajara sin Barreras")</f>
        <v>Guadalajara sin Barreras</v>
      </c>
      <c r="E180" s="79" t="str">
        <f ca="1">IFERROR(__xludf.DUMMYFUNCTION("""COMPUTED_VALUE"""),"Atención Integral para una Vida Digna con Discapacidad")</f>
        <v>Atención Integral para una Vida Digna con Discapacidad</v>
      </c>
      <c r="F180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80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80" s="79" t="str">
        <f ca="1">IFERROR(__xludf.DUMMYFUNCTION("""COMPUTED_VALUE"""),"AM DICIEMBRE")</f>
        <v>AM DICIEMBRE</v>
      </c>
      <c r="I180" s="79" t="str">
        <f ca="1">IFERROR(__xludf.DUMMYFUNCTION("""COMPUTED_VALUE"""),"Diciembre")</f>
        <v>Diciembre</v>
      </c>
      <c r="J180" s="79" t="str">
        <f ca="1">IFERROR(__xludf.DUMMYFUNCTION("""COMPUTED_VALUE"""),"AM")</f>
        <v>AM</v>
      </c>
      <c r="K180" s="80">
        <f ca="1">IFERROR(__xludf.DUMMYFUNCTION("""COMPUTED_VALUE"""),3)</f>
        <v>3</v>
      </c>
      <c r="L180" s="79" t="str">
        <f ca="1">IFERROR(__xludf.DUMMYFUNCTION("""COMPUTED_VALUE"""),"TRIMESTRE 4")</f>
        <v>TRIMESTRE 4</v>
      </c>
      <c r="M180" s="79" t="str">
        <f ca="1">IFERROR(__xludf.DUMMYFUNCTION("""COMPUTED_VALUE"""),"ADOLESCENTES MUJERES")</f>
        <v>ADOLESCENTES MUJERES</v>
      </c>
    </row>
    <row r="181" spans="1:13">
      <c r="A181" s="79" t="str">
        <f ca="1">IFERROR(__xludf.DUMMYFUNCTION("""COMPUTED_VALUE"""),"6.1.1.0")</f>
        <v>6.1.1.0</v>
      </c>
      <c r="B181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1" s="79" t="str">
        <f ca="1">IFERROR(__xludf.DUMMYFUNCTION("""COMPUTED_VALUE"""),"5. Inclusión")</f>
        <v>5. Inclusión</v>
      </c>
      <c r="D181" s="79" t="str">
        <f ca="1">IFERROR(__xludf.DUMMYFUNCTION("""COMPUTED_VALUE"""),"Guadalajara sin Barreras")</f>
        <v>Guadalajara sin Barreras</v>
      </c>
      <c r="E181" s="79" t="str">
        <f ca="1">IFERROR(__xludf.DUMMYFUNCTION("""COMPUTED_VALUE"""),"Atención Integral para una Vida Digna con Discapacidad")</f>
        <v>Atención Integral para una Vida Digna con Discapacidad</v>
      </c>
      <c r="F181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81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81" s="79" t="str">
        <f ca="1">IFERROR(__xludf.DUMMYFUNCTION("""COMPUTED_VALUE"""),"AH DICIEMBRE")</f>
        <v>AH DICIEMBRE</v>
      </c>
      <c r="I181" s="79" t="str">
        <f ca="1">IFERROR(__xludf.DUMMYFUNCTION("""COMPUTED_VALUE"""),"Diciembre")</f>
        <v>Diciembre</v>
      </c>
      <c r="J181" s="79" t="str">
        <f ca="1">IFERROR(__xludf.DUMMYFUNCTION("""COMPUTED_VALUE"""),"AH")</f>
        <v>AH</v>
      </c>
      <c r="K181" s="80">
        <f ca="1">IFERROR(__xludf.DUMMYFUNCTION("""COMPUTED_VALUE"""),3)</f>
        <v>3</v>
      </c>
      <c r="L181" s="79" t="str">
        <f ca="1">IFERROR(__xludf.DUMMYFUNCTION("""COMPUTED_VALUE"""),"TRIMESTRE 4")</f>
        <v>TRIMESTRE 4</v>
      </c>
      <c r="M181" s="79" t="str">
        <f ca="1">IFERROR(__xludf.DUMMYFUNCTION("""COMPUTED_VALUE"""),"ADOLESCENTES HOMBRES")</f>
        <v>ADOLESCENTES HOMBRES</v>
      </c>
    </row>
    <row r="182" spans="1:13">
      <c r="A182" s="79" t="str">
        <f ca="1">IFERROR(__xludf.DUMMYFUNCTION("""COMPUTED_VALUE"""),"6.1.1.0")</f>
        <v>6.1.1.0</v>
      </c>
      <c r="B182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2" s="79" t="str">
        <f ca="1">IFERROR(__xludf.DUMMYFUNCTION("""COMPUTED_VALUE"""),"5. Inclusión")</f>
        <v>5. Inclusión</v>
      </c>
      <c r="D182" s="79" t="str">
        <f ca="1">IFERROR(__xludf.DUMMYFUNCTION("""COMPUTED_VALUE"""),"Guadalajara sin Barreras")</f>
        <v>Guadalajara sin Barreras</v>
      </c>
      <c r="E182" s="79" t="str">
        <f ca="1">IFERROR(__xludf.DUMMYFUNCTION("""COMPUTED_VALUE"""),"Atención Integral para una Vida Digna con Discapacidad")</f>
        <v>Atención Integral para una Vida Digna con Discapacidad</v>
      </c>
      <c r="F182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82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82" s="79" t="str">
        <f ca="1">IFERROR(__xludf.DUMMYFUNCTION("""COMPUTED_VALUE"""),"MUJ Diciembre")</f>
        <v>MUJ Diciembre</v>
      </c>
      <c r="I182" s="79" t="str">
        <f ca="1">IFERROR(__xludf.DUMMYFUNCTION("""COMPUTED_VALUE"""),"Diciembre")</f>
        <v>Diciembre</v>
      </c>
      <c r="J182" s="79" t="str">
        <f ca="1">IFERROR(__xludf.DUMMYFUNCTION("""COMPUTED_VALUE"""),"MUJ")</f>
        <v>MUJ</v>
      </c>
      <c r="K182" s="80">
        <f ca="1">IFERROR(__xludf.DUMMYFUNCTION("""COMPUTED_VALUE"""),46)</f>
        <v>46</v>
      </c>
      <c r="L182" s="79" t="str">
        <f ca="1">IFERROR(__xludf.DUMMYFUNCTION("""COMPUTED_VALUE"""),"TRIMESTRE 4")</f>
        <v>TRIMESTRE 4</v>
      </c>
      <c r="M182" s="79" t="str">
        <f ca="1">IFERROR(__xludf.DUMMYFUNCTION("""COMPUTED_VALUE"""),"MUJERES ADULTAS")</f>
        <v>MUJERES ADULTAS</v>
      </c>
    </row>
    <row r="183" spans="1:13">
      <c r="A183" s="79" t="str">
        <f ca="1">IFERROR(__xludf.DUMMYFUNCTION("""COMPUTED_VALUE"""),"6.1.1.0")</f>
        <v>6.1.1.0</v>
      </c>
      <c r="B183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3" s="79" t="str">
        <f ca="1">IFERROR(__xludf.DUMMYFUNCTION("""COMPUTED_VALUE"""),"5. Inclusión")</f>
        <v>5. Inclusión</v>
      </c>
      <c r="D183" s="79" t="str">
        <f ca="1">IFERROR(__xludf.DUMMYFUNCTION("""COMPUTED_VALUE"""),"Guadalajara sin Barreras")</f>
        <v>Guadalajara sin Barreras</v>
      </c>
      <c r="E183" s="79" t="str">
        <f ca="1">IFERROR(__xludf.DUMMYFUNCTION("""COMPUTED_VALUE"""),"Atención Integral para una Vida Digna con Discapacidad")</f>
        <v>Atención Integral para una Vida Digna con Discapacidad</v>
      </c>
      <c r="F183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83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83" s="79" t="str">
        <f ca="1">IFERROR(__xludf.DUMMYFUNCTION("""COMPUTED_VALUE"""),"HOM Diciembre")</f>
        <v>HOM Diciembre</v>
      </c>
      <c r="I183" s="79" t="str">
        <f ca="1">IFERROR(__xludf.DUMMYFUNCTION("""COMPUTED_VALUE"""),"Diciembre")</f>
        <v>Diciembre</v>
      </c>
      <c r="J183" s="79" t="str">
        <f ca="1">IFERROR(__xludf.DUMMYFUNCTION("""COMPUTED_VALUE"""),"HOM")</f>
        <v>HOM</v>
      </c>
      <c r="K183" s="80">
        <f ca="1">IFERROR(__xludf.DUMMYFUNCTION("""COMPUTED_VALUE"""),52)</f>
        <v>52</v>
      </c>
      <c r="L183" s="79" t="str">
        <f ca="1">IFERROR(__xludf.DUMMYFUNCTION("""COMPUTED_VALUE"""),"TRIMESTRE 4")</f>
        <v>TRIMESTRE 4</v>
      </c>
      <c r="M183" s="79" t="str">
        <f ca="1">IFERROR(__xludf.DUMMYFUNCTION("""COMPUTED_VALUE"""),"HOMBRES ADULTOS")</f>
        <v>HOMBRES ADULTOS</v>
      </c>
    </row>
    <row r="184" spans="1:13">
      <c r="A184" s="79" t="str">
        <f ca="1">IFERROR(__xludf.DUMMYFUNCTION("""COMPUTED_VALUE"""),"6.1.1.0")</f>
        <v>6.1.1.0</v>
      </c>
      <c r="B184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4" s="79" t="str">
        <f ca="1">IFERROR(__xludf.DUMMYFUNCTION("""COMPUTED_VALUE"""),"5. Inclusión")</f>
        <v>5. Inclusión</v>
      </c>
      <c r="D184" s="79" t="str">
        <f ca="1">IFERROR(__xludf.DUMMYFUNCTION("""COMPUTED_VALUE"""),"Guadalajara sin Barreras")</f>
        <v>Guadalajara sin Barreras</v>
      </c>
      <c r="E184" s="79" t="str">
        <f ca="1">IFERROR(__xludf.DUMMYFUNCTION("""COMPUTED_VALUE"""),"Atención Integral para una Vida Digna con Discapacidad")</f>
        <v>Atención Integral para una Vida Digna con Discapacidad</v>
      </c>
      <c r="F184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84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84" s="79" t="str">
        <f ca="1">IFERROR(__xludf.DUMMYFUNCTION("""COMPUTED_VALUE"""),"AMM Diciembre")</f>
        <v>AMM Diciembre</v>
      </c>
      <c r="I184" s="79" t="str">
        <f ca="1">IFERROR(__xludf.DUMMYFUNCTION("""COMPUTED_VALUE"""),"Diciembre")</f>
        <v>Diciembre</v>
      </c>
      <c r="J184" s="79" t="str">
        <f ca="1">IFERROR(__xludf.DUMMYFUNCTION("""COMPUTED_VALUE"""),"AMM")</f>
        <v>AMM</v>
      </c>
      <c r="K184" s="80">
        <f ca="1">IFERROR(__xludf.DUMMYFUNCTION("""COMPUTED_VALUE"""),30)</f>
        <v>30</v>
      </c>
      <c r="L184" s="79" t="str">
        <f ca="1">IFERROR(__xludf.DUMMYFUNCTION("""COMPUTED_VALUE"""),"TRIMESTRE 4")</f>
        <v>TRIMESTRE 4</v>
      </c>
      <c r="M184" s="79" t="str">
        <f ca="1">IFERROR(__xludf.DUMMYFUNCTION("""COMPUTED_VALUE"""),"ADULTA MAYOR MUJER")</f>
        <v>ADULTA MAYOR MUJER</v>
      </c>
    </row>
    <row r="185" spans="1:13">
      <c r="A185" s="79" t="str">
        <f ca="1">IFERROR(__xludf.DUMMYFUNCTION("""COMPUTED_VALUE"""),"6.1.1.0")</f>
        <v>6.1.1.0</v>
      </c>
      <c r="B185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5" s="79" t="str">
        <f ca="1">IFERROR(__xludf.DUMMYFUNCTION("""COMPUTED_VALUE"""),"5. Inclusión")</f>
        <v>5. Inclusión</v>
      </c>
      <c r="D185" s="79" t="str">
        <f ca="1">IFERROR(__xludf.DUMMYFUNCTION("""COMPUTED_VALUE"""),"Guadalajara sin Barreras")</f>
        <v>Guadalajara sin Barreras</v>
      </c>
      <c r="E185" s="79" t="str">
        <f ca="1">IFERROR(__xludf.DUMMYFUNCTION("""COMPUTED_VALUE"""),"Atención Integral para una Vida Digna con Discapacidad")</f>
        <v>Atención Integral para una Vida Digna con Discapacidad</v>
      </c>
      <c r="F185" s="79" t="str">
        <f ca="1">IFERROR(__xludf.DUMMYFUNCTION("""COMPUTED_VALUE"""),"C1. Servicios de atención integral a personas con discapacidad intelectual y sus familias brindados en CEAMIVIDA ")</f>
        <v xml:space="preserve">C1. Servicios de atención integral a personas con discapacidad intelectual y sus familias brindados en CEAMIVIDA </v>
      </c>
      <c r="G185" s="79" t="str">
        <f ca="1">IFERROR(__xludf.DUMMYFUNCTION("""COMPUTED_VALUE"""),"Promedio de personas atendidas y sus familias en talleres recreativos, formativos, deportivos, consultas médicas y psicológicas impartidas en el programa de CEAMIVIDA en 2024")</f>
        <v>Promedio de personas atendidas y sus familias en talleres recreativos, formativos, deportivos, consultas médicas y psicológicas impartidas en el programa de CEAMIVIDA en 2024</v>
      </c>
      <c r="H185" s="79" t="str">
        <f ca="1">IFERROR(__xludf.DUMMYFUNCTION("""COMPUTED_VALUE"""),"AMH Diciembre")</f>
        <v>AMH Diciembre</v>
      </c>
      <c r="I185" s="79" t="str">
        <f ca="1">IFERROR(__xludf.DUMMYFUNCTION("""COMPUTED_VALUE"""),"Diciembre")</f>
        <v>Diciembre</v>
      </c>
      <c r="J185" s="79" t="str">
        <f ca="1">IFERROR(__xludf.DUMMYFUNCTION("""COMPUTED_VALUE"""),"AMH")</f>
        <v>AMH</v>
      </c>
      <c r="K185" s="80">
        <f ca="1">IFERROR(__xludf.DUMMYFUNCTION("""COMPUTED_VALUE"""),3)</f>
        <v>3</v>
      </c>
      <c r="L185" s="79" t="str">
        <f ca="1">IFERROR(__xludf.DUMMYFUNCTION("""COMPUTED_VALUE"""),"TRIMESTRE 4")</f>
        <v>TRIMESTRE 4</v>
      </c>
      <c r="M185" s="79" t="str">
        <f ca="1">IFERROR(__xludf.DUMMYFUNCTION("""COMPUTED_VALUE"""),"ADULTO MAYOR HOMBRE")</f>
        <v>ADULTO MAYOR HOMBRE</v>
      </c>
    </row>
    <row r="186" spans="1:13">
      <c r="A186" s="79" t="str">
        <f ca="1">IFERROR(__xludf.DUMMYFUNCTION("""COMPUTED_VALUE"""),"6.1.1.1")</f>
        <v>6.1.1.1</v>
      </c>
      <c r="B186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6" s="79" t="str">
        <f ca="1">IFERROR(__xludf.DUMMYFUNCTION("""COMPUTED_VALUE"""),"5. Inclusión")</f>
        <v>5. Inclusión</v>
      </c>
      <c r="D186" s="79" t="str">
        <f ca="1">IFERROR(__xludf.DUMMYFUNCTION("""COMPUTED_VALUE"""),"Guadalajara sin Barreras")</f>
        <v>Guadalajara sin Barreras</v>
      </c>
      <c r="E186" s="79" t="str">
        <f ca="1">IFERROR(__xludf.DUMMYFUNCTION("""COMPUTED_VALUE"""),"Atención Integral para una Vida Digna con Discapacidad")</f>
        <v>Atención Integral para una Vida Digna con Discapacidad</v>
      </c>
      <c r="F186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86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86" s="79" t="str">
        <f ca="1">IFERROR(__xludf.DUMMYFUNCTION("""COMPUTED_VALUE"""),"NAS Diciembre")</f>
        <v>NAS Diciembre</v>
      </c>
      <c r="I186" s="79" t="str">
        <f ca="1">IFERROR(__xludf.DUMMYFUNCTION("""COMPUTED_VALUE"""),"Diciembre")</f>
        <v>Diciembre</v>
      </c>
      <c r="J186" s="79" t="str">
        <f ca="1">IFERROR(__xludf.DUMMYFUNCTION("""COMPUTED_VALUE"""),"NAS")</f>
        <v>NAS</v>
      </c>
      <c r="K186" s="80">
        <f ca="1">IFERROR(__xludf.DUMMYFUNCTION("""COMPUTED_VALUE"""),0)</f>
        <v>0</v>
      </c>
      <c r="L186" s="79" t="str">
        <f ca="1">IFERROR(__xludf.DUMMYFUNCTION("""COMPUTED_VALUE"""),"TRIMESTRE 4")</f>
        <v>TRIMESTRE 4</v>
      </c>
      <c r="M186" s="79" t="str">
        <f ca="1">IFERROR(__xludf.DUMMYFUNCTION("""COMPUTED_VALUE"""),"NIÑAS")</f>
        <v>NIÑAS</v>
      </c>
    </row>
    <row r="187" spans="1:13">
      <c r="A187" s="79" t="str">
        <f ca="1">IFERROR(__xludf.DUMMYFUNCTION("""COMPUTED_VALUE"""),"6.1.1.1")</f>
        <v>6.1.1.1</v>
      </c>
      <c r="B187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7" s="79" t="str">
        <f ca="1">IFERROR(__xludf.DUMMYFUNCTION("""COMPUTED_VALUE"""),"5. Inclusión")</f>
        <v>5. Inclusión</v>
      </c>
      <c r="D187" s="79" t="str">
        <f ca="1">IFERROR(__xludf.DUMMYFUNCTION("""COMPUTED_VALUE"""),"Guadalajara sin Barreras")</f>
        <v>Guadalajara sin Barreras</v>
      </c>
      <c r="E187" s="79" t="str">
        <f ca="1">IFERROR(__xludf.DUMMYFUNCTION("""COMPUTED_VALUE"""),"Atención Integral para una Vida Digna con Discapacidad")</f>
        <v>Atención Integral para una Vida Digna con Discapacidad</v>
      </c>
      <c r="F187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87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87" s="79" t="str">
        <f ca="1">IFERROR(__xludf.DUMMYFUNCTION("""COMPUTED_VALUE"""),"NOS Diciembre")</f>
        <v>NOS Diciembre</v>
      </c>
      <c r="I187" s="79" t="str">
        <f ca="1">IFERROR(__xludf.DUMMYFUNCTION("""COMPUTED_VALUE"""),"Diciembre")</f>
        <v>Diciembre</v>
      </c>
      <c r="J187" s="79" t="str">
        <f ca="1">IFERROR(__xludf.DUMMYFUNCTION("""COMPUTED_VALUE"""),"NOS")</f>
        <v>NOS</v>
      </c>
      <c r="K187" s="80">
        <f ca="1">IFERROR(__xludf.DUMMYFUNCTION("""COMPUTED_VALUE"""),0)</f>
        <v>0</v>
      </c>
      <c r="L187" s="79" t="str">
        <f ca="1">IFERROR(__xludf.DUMMYFUNCTION("""COMPUTED_VALUE"""),"TRIMESTRE 4")</f>
        <v>TRIMESTRE 4</v>
      </c>
      <c r="M187" s="79" t="str">
        <f ca="1">IFERROR(__xludf.DUMMYFUNCTION("""COMPUTED_VALUE"""),"NIÑOS")</f>
        <v>NIÑOS</v>
      </c>
    </row>
    <row r="188" spans="1:13">
      <c r="A188" s="79" t="str">
        <f ca="1">IFERROR(__xludf.DUMMYFUNCTION("""COMPUTED_VALUE"""),"6.1.1.1")</f>
        <v>6.1.1.1</v>
      </c>
      <c r="B188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8" s="79" t="str">
        <f ca="1">IFERROR(__xludf.DUMMYFUNCTION("""COMPUTED_VALUE"""),"5. Inclusión")</f>
        <v>5. Inclusión</v>
      </c>
      <c r="D188" s="79" t="str">
        <f ca="1">IFERROR(__xludf.DUMMYFUNCTION("""COMPUTED_VALUE"""),"Guadalajara sin Barreras")</f>
        <v>Guadalajara sin Barreras</v>
      </c>
      <c r="E188" s="79" t="str">
        <f ca="1">IFERROR(__xludf.DUMMYFUNCTION("""COMPUTED_VALUE"""),"Atención Integral para una Vida Digna con Discapacidad")</f>
        <v>Atención Integral para una Vida Digna con Discapacidad</v>
      </c>
      <c r="F188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88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88" s="79" t="str">
        <f ca="1">IFERROR(__xludf.DUMMYFUNCTION("""COMPUTED_VALUE"""),"AM DICIEMBRE")</f>
        <v>AM DICIEMBRE</v>
      </c>
      <c r="I188" s="79" t="str">
        <f ca="1">IFERROR(__xludf.DUMMYFUNCTION("""COMPUTED_VALUE"""),"Diciembre")</f>
        <v>Diciembre</v>
      </c>
      <c r="J188" s="79" t="str">
        <f ca="1">IFERROR(__xludf.DUMMYFUNCTION("""COMPUTED_VALUE"""),"AM")</f>
        <v>AM</v>
      </c>
      <c r="K188" s="80">
        <f ca="1">IFERROR(__xludf.DUMMYFUNCTION("""COMPUTED_VALUE"""),1)</f>
        <v>1</v>
      </c>
      <c r="L188" s="79" t="str">
        <f ca="1">IFERROR(__xludf.DUMMYFUNCTION("""COMPUTED_VALUE"""),"TRIMESTRE 4")</f>
        <v>TRIMESTRE 4</v>
      </c>
      <c r="M188" s="79" t="str">
        <f ca="1">IFERROR(__xludf.DUMMYFUNCTION("""COMPUTED_VALUE"""),"ADOLESCENTES MUJERES")</f>
        <v>ADOLESCENTES MUJERES</v>
      </c>
    </row>
    <row r="189" spans="1:13">
      <c r="A189" s="79" t="str">
        <f ca="1">IFERROR(__xludf.DUMMYFUNCTION("""COMPUTED_VALUE"""),"6.1.1.1")</f>
        <v>6.1.1.1</v>
      </c>
      <c r="B189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89" s="79" t="str">
        <f ca="1">IFERROR(__xludf.DUMMYFUNCTION("""COMPUTED_VALUE"""),"5. Inclusión")</f>
        <v>5. Inclusión</v>
      </c>
      <c r="D189" s="79" t="str">
        <f ca="1">IFERROR(__xludf.DUMMYFUNCTION("""COMPUTED_VALUE"""),"Guadalajara sin Barreras")</f>
        <v>Guadalajara sin Barreras</v>
      </c>
      <c r="E189" s="79" t="str">
        <f ca="1">IFERROR(__xludf.DUMMYFUNCTION("""COMPUTED_VALUE"""),"Atención Integral para una Vida Digna con Discapacidad")</f>
        <v>Atención Integral para una Vida Digna con Discapacidad</v>
      </c>
      <c r="F189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89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89" s="79" t="str">
        <f ca="1">IFERROR(__xludf.DUMMYFUNCTION("""COMPUTED_VALUE"""),"AH DICIEMBRE")</f>
        <v>AH DICIEMBRE</v>
      </c>
      <c r="I189" s="79" t="str">
        <f ca="1">IFERROR(__xludf.DUMMYFUNCTION("""COMPUTED_VALUE"""),"Diciembre")</f>
        <v>Diciembre</v>
      </c>
      <c r="J189" s="79" t="str">
        <f ca="1">IFERROR(__xludf.DUMMYFUNCTION("""COMPUTED_VALUE"""),"AH")</f>
        <v>AH</v>
      </c>
      <c r="K189" s="80">
        <f ca="1">IFERROR(__xludf.DUMMYFUNCTION("""COMPUTED_VALUE"""),1)</f>
        <v>1</v>
      </c>
      <c r="L189" s="79" t="str">
        <f ca="1">IFERROR(__xludf.DUMMYFUNCTION("""COMPUTED_VALUE"""),"TRIMESTRE 4")</f>
        <v>TRIMESTRE 4</v>
      </c>
      <c r="M189" s="79" t="str">
        <f ca="1">IFERROR(__xludf.DUMMYFUNCTION("""COMPUTED_VALUE"""),"ADOLESCENTES HOMBRES")</f>
        <v>ADOLESCENTES HOMBRES</v>
      </c>
    </row>
    <row r="190" spans="1:13">
      <c r="A190" s="79" t="str">
        <f ca="1">IFERROR(__xludf.DUMMYFUNCTION("""COMPUTED_VALUE"""),"6.1.1.1")</f>
        <v>6.1.1.1</v>
      </c>
      <c r="B190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90" s="79" t="str">
        <f ca="1">IFERROR(__xludf.DUMMYFUNCTION("""COMPUTED_VALUE"""),"5. Inclusión")</f>
        <v>5. Inclusión</v>
      </c>
      <c r="D190" s="79" t="str">
        <f ca="1">IFERROR(__xludf.DUMMYFUNCTION("""COMPUTED_VALUE"""),"Guadalajara sin Barreras")</f>
        <v>Guadalajara sin Barreras</v>
      </c>
      <c r="E190" s="79" t="str">
        <f ca="1">IFERROR(__xludf.DUMMYFUNCTION("""COMPUTED_VALUE"""),"Atención Integral para una Vida Digna con Discapacidad")</f>
        <v>Atención Integral para una Vida Digna con Discapacidad</v>
      </c>
      <c r="F190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90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90" s="79" t="str">
        <f ca="1">IFERROR(__xludf.DUMMYFUNCTION("""COMPUTED_VALUE"""),"MUJ Diciembre")</f>
        <v>MUJ Diciembre</v>
      </c>
      <c r="I190" s="79" t="str">
        <f ca="1">IFERROR(__xludf.DUMMYFUNCTION("""COMPUTED_VALUE"""),"Diciembre")</f>
        <v>Diciembre</v>
      </c>
      <c r="J190" s="79" t="str">
        <f ca="1">IFERROR(__xludf.DUMMYFUNCTION("""COMPUTED_VALUE"""),"MUJ")</f>
        <v>MUJ</v>
      </c>
      <c r="K190" s="80">
        <f ca="1">IFERROR(__xludf.DUMMYFUNCTION("""COMPUTED_VALUE"""),11)</f>
        <v>11</v>
      </c>
      <c r="L190" s="79" t="str">
        <f ca="1">IFERROR(__xludf.DUMMYFUNCTION("""COMPUTED_VALUE"""),"TRIMESTRE 4")</f>
        <v>TRIMESTRE 4</v>
      </c>
      <c r="M190" s="79" t="str">
        <f ca="1">IFERROR(__xludf.DUMMYFUNCTION("""COMPUTED_VALUE"""),"MUJERES ADULTAS")</f>
        <v>MUJERES ADULTAS</v>
      </c>
    </row>
    <row r="191" spans="1:13">
      <c r="A191" s="79" t="str">
        <f ca="1">IFERROR(__xludf.DUMMYFUNCTION("""COMPUTED_VALUE"""),"6.1.1.1")</f>
        <v>6.1.1.1</v>
      </c>
      <c r="B191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91" s="79" t="str">
        <f ca="1">IFERROR(__xludf.DUMMYFUNCTION("""COMPUTED_VALUE"""),"5. Inclusión")</f>
        <v>5. Inclusión</v>
      </c>
      <c r="D191" s="79" t="str">
        <f ca="1">IFERROR(__xludf.DUMMYFUNCTION("""COMPUTED_VALUE"""),"Guadalajara sin Barreras")</f>
        <v>Guadalajara sin Barreras</v>
      </c>
      <c r="E191" s="79" t="str">
        <f ca="1">IFERROR(__xludf.DUMMYFUNCTION("""COMPUTED_VALUE"""),"Atención Integral para una Vida Digna con Discapacidad")</f>
        <v>Atención Integral para una Vida Digna con Discapacidad</v>
      </c>
      <c r="F191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91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91" s="79" t="str">
        <f ca="1">IFERROR(__xludf.DUMMYFUNCTION("""COMPUTED_VALUE"""),"HOM Diciembre")</f>
        <v>HOM Diciembre</v>
      </c>
      <c r="I191" s="79" t="str">
        <f ca="1">IFERROR(__xludf.DUMMYFUNCTION("""COMPUTED_VALUE"""),"Diciembre")</f>
        <v>Diciembre</v>
      </c>
      <c r="J191" s="79" t="str">
        <f ca="1">IFERROR(__xludf.DUMMYFUNCTION("""COMPUTED_VALUE"""),"HOM")</f>
        <v>HOM</v>
      </c>
      <c r="K191" s="80">
        <f ca="1">IFERROR(__xludf.DUMMYFUNCTION("""COMPUTED_VALUE"""),15)</f>
        <v>15</v>
      </c>
      <c r="L191" s="79" t="str">
        <f ca="1">IFERROR(__xludf.DUMMYFUNCTION("""COMPUTED_VALUE"""),"TRIMESTRE 4")</f>
        <v>TRIMESTRE 4</v>
      </c>
      <c r="M191" s="79" t="str">
        <f ca="1">IFERROR(__xludf.DUMMYFUNCTION("""COMPUTED_VALUE"""),"HOMBRES ADULTOS")</f>
        <v>HOMBRES ADULTOS</v>
      </c>
    </row>
    <row r="192" spans="1:13">
      <c r="A192" s="79" t="str">
        <f ca="1">IFERROR(__xludf.DUMMYFUNCTION("""COMPUTED_VALUE"""),"6.1.1.1")</f>
        <v>6.1.1.1</v>
      </c>
      <c r="B192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92" s="79" t="str">
        <f ca="1">IFERROR(__xludf.DUMMYFUNCTION("""COMPUTED_VALUE"""),"5. Inclusión")</f>
        <v>5. Inclusión</v>
      </c>
      <c r="D192" s="79" t="str">
        <f ca="1">IFERROR(__xludf.DUMMYFUNCTION("""COMPUTED_VALUE"""),"Guadalajara sin Barreras")</f>
        <v>Guadalajara sin Barreras</v>
      </c>
      <c r="E192" s="79" t="str">
        <f ca="1">IFERROR(__xludf.DUMMYFUNCTION("""COMPUTED_VALUE"""),"Atención Integral para una Vida Digna con Discapacidad")</f>
        <v>Atención Integral para una Vida Digna con Discapacidad</v>
      </c>
      <c r="F192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92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92" s="79" t="str">
        <f ca="1">IFERROR(__xludf.DUMMYFUNCTION("""COMPUTED_VALUE"""),"AMM Diciembre")</f>
        <v>AMM Diciembre</v>
      </c>
      <c r="I192" s="79" t="str">
        <f ca="1">IFERROR(__xludf.DUMMYFUNCTION("""COMPUTED_VALUE"""),"Diciembre")</f>
        <v>Diciembre</v>
      </c>
      <c r="J192" s="79" t="str">
        <f ca="1">IFERROR(__xludf.DUMMYFUNCTION("""COMPUTED_VALUE"""),"AMM")</f>
        <v>AMM</v>
      </c>
      <c r="K192" s="80">
        <f ca="1">IFERROR(__xludf.DUMMYFUNCTION("""COMPUTED_VALUE"""),14)</f>
        <v>14</v>
      </c>
      <c r="L192" s="79" t="str">
        <f ca="1">IFERROR(__xludf.DUMMYFUNCTION("""COMPUTED_VALUE"""),"TRIMESTRE 4")</f>
        <v>TRIMESTRE 4</v>
      </c>
      <c r="M192" s="79" t="str">
        <f ca="1">IFERROR(__xludf.DUMMYFUNCTION("""COMPUTED_VALUE"""),"ADULTA MAYOR MUJER")</f>
        <v>ADULTA MAYOR MUJER</v>
      </c>
    </row>
    <row r="193" spans="1:26">
      <c r="A193" s="79" t="str">
        <f ca="1">IFERROR(__xludf.DUMMYFUNCTION("""COMPUTED_VALUE"""),"6.1.1.1")</f>
        <v>6.1.1.1</v>
      </c>
      <c r="B193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193" s="79" t="str">
        <f ca="1">IFERROR(__xludf.DUMMYFUNCTION("""COMPUTED_VALUE"""),"5. Inclusión")</f>
        <v>5. Inclusión</v>
      </c>
      <c r="D193" s="79" t="str">
        <f ca="1">IFERROR(__xludf.DUMMYFUNCTION("""COMPUTED_VALUE"""),"Guadalajara sin Barreras")</f>
        <v>Guadalajara sin Barreras</v>
      </c>
      <c r="E193" s="79" t="str">
        <f ca="1">IFERROR(__xludf.DUMMYFUNCTION("""COMPUTED_VALUE"""),"Atención Integral para una Vida Digna con Discapacidad")</f>
        <v>Atención Integral para una Vida Digna con Discapacidad</v>
      </c>
      <c r="F193" s="79" t="str">
        <f ca="1">IFERROR(__xludf.DUMMYFUNCTION("""COMPUTED_VALUE"""),"A1C1. Atención psicológica o médica para personas con discapacidad intelectual  y sus familias brindadas en CEAMIVIDA")</f>
        <v>A1C1. Atención psicológica o médica para personas con discapacidad intelectual  y sus familias brindadas en CEAMIVIDA</v>
      </c>
      <c r="G193" s="79" t="str">
        <f ca="1">IFERROR(__xludf.DUMMYFUNCTION("""COMPUTED_VALUE"""),"Porcentaje de consultas psicológicas o médicas para personas con discapacidad intelectual brindadas en CEAMIVIDA en 2024")</f>
        <v>Porcentaje de consultas psicológicas o médicas para personas con discapacidad intelectual brindadas en CEAMIVIDA en 2024</v>
      </c>
      <c r="H193" s="79" t="str">
        <f ca="1">IFERROR(__xludf.DUMMYFUNCTION("""COMPUTED_VALUE"""),"AMH Diciembre")</f>
        <v>AMH Diciembre</v>
      </c>
      <c r="I193" s="79" t="str">
        <f ca="1">IFERROR(__xludf.DUMMYFUNCTION("""COMPUTED_VALUE"""),"Diciembre")</f>
        <v>Diciembre</v>
      </c>
      <c r="J193" s="79" t="str">
        <f ca="1">IFERROR(__xludf.DUMMYFUNCTION("""COMPUTED_VALUE"""),"AMH")</f>
        <v>AMH</v>
      </c>
      <c r="K193" s="80">
        <f ca="1">IFERROR(__xludf.DUMMYFUNCTION("""COMPUTED_VALUE"""),2)</f>
        <v>2</v>
      </c>
      <c r="L193" s="79" t="str">
        <f ca="1">IFERROR(__xludf.DUMMYFUNCTION("""COMPUTED_VALUE"""),"TRIMESTRE 4")</f>
        <v>TRIMESTRE 4</v>
      </c>
      <c r="M193" s="79" t="str">
        <f ca="1">IFERROR(__xludf.DUMMYFUNCTION("""COMPUTED_VALUE"""),"ADULTO MAYOR HOMBRE")</f>
        <v>ADULTO MAYOR HOMBRE</v>
      </c>
    </row>
    <row r="194" spans="1:26">
      <c r="A194" s="81" t="str">
        <f ca="1">IFERROR(__xludf.DUMMYFUNCTION("""COMPUTED_VALUE"""),"6.1.2.0")</f>
        <v>6.1.2.0</v>
      </c>
      <c r="B194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194" s="81" t="str">
        <f ca="1">IFERROR(__xludf.DUMMYFUNCTION("""COMPUTED_VALUE"""),"5. Inclusión")</f>
        <v>5. Inclusión</v>
      </c>
      <c r="D194" s="81" t="str">
        <f ca="1">IFERROR(__xludf.DUMMYFUNCTION("""COMPUTED_VALUE"""),"Guadalajara sin Barreras")</f>
        <v>Guadalajara sin Barreras</v>
      </c>
      <c r="E194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194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194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194" s="81" t="str">
        <f ca="1">IFERROR(__xludf.DUMMYFUNCTION("""COMPUTED_VALUE"""),"NAS enero")</f>
        <v>NAS enero</v>
      </c>
      <c r="I194" s="81" t="str">
        <f ca="1">IFERROR(__xludf.DUMMYFUNCTION("""COMPUTED_VALUE"""),"Enero")</f>
        <v>Enero</v>
      </c>
      <c r="J194" s="81" t="str">
        <f ca="1">IFERROR(__xludf.DUMMYFUNCTION("""COMPUTED_VALUE"""),"NAS")</f>
        <v>NAS</v>
      </c>
      <c r="K194" s="80">
        <f ca="1">IFERROR(__xludf.DUMMYFUNCTION("""COMPUTED_VALUE"""),58)</f>
        <v>58</v>
      </c>
      <c r="L194" s="81" t="str">
        <f ca="1">IFERROR(__xludf.DUMMYFUNCTION("""COMPUTED_VALUE"""),"TRIMESTRE 1")</f>
        <v>TRIMESTRE 1</v>
      </c>
      <c r="M194" s="81" t="str">
        <f ca="1">IFERROR(__xludf.DUMMYFUNCTION("""COMPUTED_VALUE"""),"NIÑAS")</f>
        <v>NIÑAS</v>
      </c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</row>
    <row r="195" spans="1:26">
      <c r="A195" s="81" t="str">
        <f ca="1">IFERROR(__xludf.DUMMYFUNCTION("""COMPUTED_VALUE"""),"6.1.2.0")</f>
        <v>6.1.2.0</v>
      </c>
      <c r="B195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195" s="81" t="str">
        <f ca="1">IFERROR(__xludf.DUMMYFUNCTION("""COMPUTED_VALUE"""),"5. Inclusión")</f>
        <v>5. Inclusión</v>
      </c>
      <c r="D195" s="81" t="str">
        <f ca="1">IFERROR(__xludf.DUMMYFUNCTION("""COMPUTED_VALUE"""),"Guadalajara sin Barreras")</f>
        <v>Guadalajara sin Barreras</v>
      </c>
      <c r="E195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195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195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195" s="81" t="str">
        <f ca="1">IFERROR(__xludf.DUMMYFUNCTION("""COMPUTED_VALUE"""),"NOS enero")</f>
        <v>NOS enero</v>
      </c>
      <c r="I195" s="81" t="str">
        <f ca="1">IFERROR(__xludf.DUMMYFUNCTION("""COMPUTED_VALUE"""),"Enero")</f>
        <v>Enero</v>
      </c>
      <c r="J195" s="81" t="str">
        <f ca="1">IFERROR(__xludf.DUMMYFUNCTION("""COMPUTED_VALUE"""),"NOS")</f>
        <v>NOS</v>
      </c>
      <c r="K195" s="80">
        <f ca="1">IFERROR(__xludf.DUMMYFUNCTION("""COMPUTED_VALUE"""),232)</f>
        <v>232</v>
      </c>
      <c r="L195" s="81" t="str">
        <f ca="1">IFERROR(__xludf.DUMMYFUNCTION("""COMPUTED_VALUE"""),"TRIMESTRE 1")</f>
        <v>TRIMESTRE 1</v>
      </c>
      <c r="M195" s="81" t="str">
        <f ca="1">IFERROR(__xludf.DUMMYFUNCTION("""COMPUTED_VALUE"""),"NIÑOS")</f>
        <v>NIÑOS</v>
      </c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</row>
    <row r="196" spans="1:26">
      <c r="A196" s="81" t="str">
        <f ca="1">IFERROR(__xludf.DUMMYFUNCTION("""COMPUTED_VALUE"""),"6.1.2.0")</f>
        <v>6.1.2.0</v>
      </c>
      <c r="B196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196" s="81" t="str">
        <f ca="1">IFERROR(__xludf.DUMMYFUNCTION("""COMPUTED_VALUE"""),"5. Inclusión")</f>
        <v>5. Inclusión</v>
      </c>
      <c r="D196" s="81" t="str">
        <f ca="1">IFERROR(__xludf.DUMMYFUNCTION("""COMPUTED_VALUE"""),"Guadalajara sin Barreras")</f>
        <v>Guadalajara sin Barreras</v>
      </c>
      <c r="E196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196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196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196" s="81" t="str">
        <f ca="1">IFERROR(__xludf.DUMMYFUNCTION("""COMPUTED_VALUE"""),"AM enero")</f>
        <v>AM enero</v>
      </c>
      <c r="I196" s="81" t="str">
        <f ca="1">IFERROR(__xludf.DUMMYFUNCTION("""COMPUTED_VALUE"""),"Enero")</f>
        <v>Enero</v>
      </c>
      <c r="J196" s="81" t="str">
        <f ca="1">IFERROR(__xludf.DUMMYFUNCTION("""COMPUTED_VALUE"""),"AM")</f>
        <v>AM</v>
      </c>
      <c r="K196" s="80">
        <f ca="1">IFERROR(__xludf.DUMMYFUNCTION("""COMPUTED_VALUE"""),3)</f>
        <v>3</v>
      </c>
      <c r="L196" s="81" t="str">
        <f ca="1">IFERROR(__xludf.DUMMYFUNCTION("""COMPUTED_VALUE"""),"TRIMESTRE 1")</f>
        <v>TRIMESTRE 1</v>
      </c>
      <c r="M196" s="81" t="str">
        <f ca="1">IFERROR(__xludf.DUMMYFUNCTION("""COMPUTED_VALUE"""),"ADOLESCENTES MUJERES")</f>
        <v>ADOLESCENTES MUJERES</v>
      </c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</row>
    <row r="197" spans="1:26">
      <c r="A197" s="81" t="str">
        <f ca="1">IFERROR(__xludf.DUMMYFUNCTION("""COMPUTED_VALUE"""),"6.1.2.0")</f>
        <v>6.1.2.0</v>
      </c>
      <c r="B197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197" s="81" t="str">
        <f ca="1">IFERROR(__xludf.DUMMYFUNCTION("""COMPUTED_VALUE"""),"5. Inclusión")</f>
        <v>5. Inclusión</v>
      </c>
      <c r="D197" s="81" t="str">
        <f ca="1">IFERROR(__xludf.DUMMYFUNCTION("""COMPUTED_VALUE"""),"Guadalajara sin Barreras")</f>
        <v>Guadalajara sin Barreras</v>
      </c>
      <c r="E197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197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197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197" s="81" t="str">
        <f ca="1">IFERROR(__xludf.DUMMYFUNCTION("""COMPUTED_VALUE"""),"AH enero")</f>
        <v>AH enero</v>
      </c>
      <c r="I197" s="81" t="str">
        <f ca="1">IFERROR(__xludf.DUMMYFUNCTION("""COMPUTED_VALUE"""),"Enero")</f>
        <v>Enero</v>
      </c>
      <c r="J197" s="81" t="str">
        <f ca="1">IFERROR(__xludf.DUMMYFUNCTION("""COMPUTED_VALUE"""),"AH")</f>
        <v>AH</v>
      </c>
      <c r="K197" s="80">
        <f ca="1">IFERROR(__xludf.DUMMYFUNCTION("""COMPUTED_VALUE"""),13)</f>
        <v>13</v>
      </c>
      <c r="L197" s="81" t="str">
        <f ca="1">IFERROR(__xludf.DUMMYFUNCTION("""COMPUTED_VALUE"""),"TRIMESTRE 1")</f>
        <v>TRIMESTRE 1</v>
      </c>
      <c r="M197" s="81" t="str">
        <f ca="1">IFERROR(__xludf.DUMMYFUNCTION("""COMPUTED_VALUE"""),"ADOLESCENTES HOMBRES")</f>
        <v>ADOLESCENTES HOMBRES</v>
      </c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</row>
    <row r="198" spans="1:26">
      <c r="A198" s="81" t="str">
        <f ca="1">IFERROR(__xludf.DUMMYFUNCTION("""COMPUTED_VALUE"""),"6.1.2.0")</f>
        <v>6.1.2.0</v>
      </c>
      <c r="B198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198" s="81" t="str">
        <f ca="1">IFERROR(__xludf.DUMMYFUNCTION("""COMPUTED_VALUE"""),"5. Inclusión")</f>
        <v>5. Inclusión</v>
      </c>
      <c r="D198" s="81" t="str">
        <f ca="1">IFERROR(__xludf.DUMMYFUNCTION("""COMPUTED_VALUE"""),"Guadalajara sin Barreras")</f>
        <v>Guadalajara sin Barreras</v>
      </c>
      <c r="E198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198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198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198" s="81" t="str">
        <f ca="1">IFERROR(__xludf.DUMMYFUNCTION("""COMPUTED_VALUE"""),"MUJ enero")</f>
        <v>MUJ enero</v>
      </c>
      <c r="I198" s="81" t="str">
        <f ca="1">IFERROR(__xludf.DUMMYFUNCTION("""COMPUTED_VALUE"""),"Enero")</f>
        <v>Enero</v>
      </c>
      <c r="J198" s="81" t="str">
        <f ca="1">IFERROR(__xludf.DUMMYFUNCTION("""COMPUTED_VALUE"""),"MUJ")</f>
        <v>MUJ</v>
      </c>
      <c r="K198" s="80">
        <f ca="1">IFERROR(__xludf.DUMMYFUNCTION("""COMPUTED_VALUE"""),14)</f>
        <v>14</v>
      </c>
      <c r="L198" s="81" t="str">
        <f ca="1">IFERROR(__xludf.DUMMYFUNCTION("""COMPUTED_VALUE"""),"TRIMESTRE 1")</f>
        <v>TRIMESTRE 1</v>
      </c>
      <c r="M198" s="81" t="str">
        <f ca="1">IFERROR(__xludf.DUMMYFUNCTION("""COMPUTED_VALUE"""),"MUJERES ADULTAS")</f>
        <v>MUJERES ADULTAS</v>
      </c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</row>
    <row r="199" spans="1:26">
      <c r="A199" s="81" t="str">
        <f ca="1">IFERROR(__xludf.DUMMYFUNCTION("""COMPUTED_VALUE"""),"6.1.2.0")</f>
        <v>6.1.2.0</v>
      </c>
      <c r="B199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199" s="81" t="str">
        <f ca="1">IFERROR(__xludf.DUMMYFUNCTION("""COMPUTED_VALUE"""),"5. Inclusión")</f>
        <v>5. Inclusión</v>
      </c>
      <c r="D199" s="81" t="str">
        <f ca="1">IFERROR(__xludf.DUMMYFUNCTION("""COMPUTED_VALUE"""),"Guadalajara sin Barreras")</f>
        <v>Guadalajara sin Barreras</v>
      </c>
      <c r="E199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199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199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199" s="81" t="str">
        <f ca="1">IFERROR(__xludf.DUMMYFUNCTION("""COMPUTED_VALUE"""),"HOM enero")</f>
        <v>HOM enero</v>
      </c>
      <c r="I199" s="81" t="str">
        <f ca="1">IFERROR(__xludf.DUMMYFUNCTION("""COMPUTED_VALUE"""),"Enero")</f>
        <v>Enero</v>
      </c>
      <c r="J199" s="81" t="str">
        <f ca="1">IFERROR(__xludf.DUMMYFUNCTION("""COMPUTED_VALUE"""),"HOM")</f>
        <v>HOM</v>
      </c>
      <c r="K199" s="80">
        <f ca="1">IFERROR(__xludf.DUMMYFUNCTION("""COMPUTED_VALUE"""),22)</f>
        <v>22</v>
      </c>
      <c r="L199" s="81" t="str">
        <f ca="1">IFERROR(__xludf.DUMMYFUNCTION("""COMPUTED_VALUE"""),"TRIMESTRE 1")</f>
        <v>TRIMESTRE 1</v>
      </c>
      <c r="M199" s="81" t="str">
        <f ca="1">IFERROR(__xludf.DUMMYFUNCTION("""COMPUTED_VALUE"""),"HOMBRES ADULTOS")</f>
        <v>HOMBRES ADULTOS</v>
      </c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</row>
    <row r="200" spans="1:26">
      <c r="A200" s="81" t="str">
        <f ca="1">IFERROR(__xludf.DUMMYFUNCTION("""COMPUTED_VALUE"""),"6.1.2.0")</f>
        <v>6.1.2.0</v>
      </c>
      <c r="B200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0" s="81" t="str">
        <f ca="1">IFERROR(__xludf.DUMMYFUNCTION("""COMPUTED_VALUE"""),"5. Inclusión")</f>
        <v>5. Inclusión</v>
      </c>
      <c r="D200" s="81" t="str">
        <f ca="1">IFERROR(__xludf.DUMMYFUNCTION("""COMPUTED_VALUE"""),"Guadalajara sin Barreras")</f>
        <v>Guadalajara sin Barreras</v>
      </c>
      <c r="E200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0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0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0" s="81" t="str">
        <f ca="1">IFERROR(__xludf.DUMMYFUNCTION("""COMPUTED_VALUE"""),"AMM enero")</f>
        <v>AMM enero</v>
      </c>
      <c r="I200" s="81" t="str">
        <f ca="1">IFERROR(__xludf.DUMMYFUNCTION("""COMPUTED_VALUE"""),"Enero")</f>
        <v>Enero</v>
      </c>
      <c r="J200" s="81" t="str">
        <f ca="1">IFERROR(__xludf.DUMMYFUNCTION("""COMPUTED_VALUE"""),"AMM")</f>
        <v>AMM</v>
      </c>
      <c r="K200" s="80">
        <f ca="1">IFERROR(__xludf.DUMMYFUNCTION("""COMPUTED_VALUE"""),0)</f>
        <v>0</v>
      </c>
      <c r="L200" s="81" t="str">
        <f ca="1">IFERROR(__xludf.DUMMYFUNCTION("""COMPUTED_VALUE"""),"TRIMESTRE 1")</f>
        <v>TRIMESTRE 1</v>
      </c>
      <c r="M200" s="81" t="str">
        <f ca="1">IFERROR(__xludf.DUMMYFUNCTION("""COMPUTED_VALUE"""),"ADULTA MAYOR MUJER")</f>
        <v>ADULTA MAYOR MUJER</v>
      </c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</row>
    <row r="201" spans="1:26">
      <c r="A201" s="81" t="str">
        <f ca="1">IFERROR(__xludf.DUMMYFUNCTION("""COMPUTED_VALUE"""),"6.1.2.0")</f>
        <v>6.1.2.0</v>
      </c>
      <c r="B201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1" s="81" t="str">
        <f ca="1">IFERROR(__xludf.DUMMYFUNCTION("""COMPUTED_VALUE"""),"5. Inclusión")</f>
        <v>5. Inclusión</v>
      </c>
      <c r="D201" s="81" t="str">
        <f ca="1">IFERROR(__xludf.DUMMYFUNCTION("""COMPUTED_VALUE"""),"Guadalajara sin Barreras")</f>
        <v>Guadalajara sin Barreras</v>
      </c>
      <c r="E201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1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1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1" s="81" t="str">
        <f ca="1">IFERROR(__xludf.DUMMYFUNCTION("""COMPUTED_VALUE"""),"AMH enero")</f>
        <v>AMH enero</v>
      </c>
      <c r="I201" s="81" t="str">
        <f ca="1">IFERROR(__xludf.DUMMYFUNCTION("""COMPUTED_VALUE"""),"Enero")</f>
        <v>Enero</v>
      </c>
      <c r="J201" s="81" t="str">
        <f ca="1">IFERROR(__xludf.DUMMYFUNCTION("""COMPUTED_VALUE"""),"AMH")</f>
        <v>AMH</v>
      </c>
      <c r="K201" s="80">
        <f ca="1">IFERROR(__xludf.DUMMYFUNCTION("""COMPUTED_VALUE"""),0)</f>
        <v>0</v>
      </c>
      <c r="L201" s="81" t="str">
        <f ca="1">IFERROR(__xludf.DUMMYFUNCTION("""COMPUTED_VALUE"""),"TRIMESTRE 1")</f>
        <v>TRIMESTRE 1</v>
      </c>
      <c r="M201" s="81" t="str">
        <f ca="1">IFERROR(__xludf.DUMMYFUNCTION("""COMPUTED_VALUE"""),"ADULTO MAYOR HOMBRE")</f>
        <v>ADULTO MAYOR HOMBRE</v>
      </c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</row>
    <row r="202" spans="1:26">
      <c r="A202" s="79" t="str">
        <f ca="1">IFERROR(__xludf.DUMMYFUNCTION("""COMPUTED_VALUE"""),"6.1.2.0")</f>
        <v>6.1.2.0</v>
      </c>
      <c r="B202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2" s="79" t="str">
        <f ca="1">IFERROR(__xludf.DUMMYFUNCTION("""COMPUTED_VALUE"""),"5. Inclusión")</f>
        <v>5. Inclusión</v>
      </c>
      <c r="D202" s="79" t="str">
        <f ca="1">IFERROR(__xludf.DUMMYFUNCTION("""COMPUTED_VALUE"""),"Guadalajara sin Barreras")</f>
        <v>Guadalajara sin Barreras</v>
      </c>
      <c r="E202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2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2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2" s="79" t="str">
        <f ca="1">IFERROR(__xludf.DUMMYFUNCTION("""COMPUTED_VALUE"""),"NAS FEBRERO")</f>
        <v>NAS FEBRERO</v>
      </c>
      <c r="I202" s="79" t="str">
        <f ca="1">IFERROR(__xludf.DUMMYFUNCTION("""COMPUTED_VALUE"""),"Febrero")</f>
        <v>Febrero</v>
      </c>
      <c r="J202" s="79" t="str">
        <f ca="1">IFERROR(__xludf.DUMMYFUNCTION("""COMPUTED_VALUE"""),"NAS")</f>
        <v>NAS</v>
      </c>
      <c r="K202" s="80">
        <f ca="1">IFERROR(__xludf.DUMMYFUNCTION("""COMPUTED_VALUE"""),59)</f>
        <v>59</v>
      </c>
      <c r="L202" s="79" t="str">
        <f ca="1">IFERROR(__xludf.DUMMYFUNCTION("""COMPUTED_VALUE"""),"TRIMESTRE 1")</f>
        <v>TRIMESTRE 1</v>
      </c>
      <c r="M202" s="79" t="str">
        <f ca="1">IFERROR(__xludf.DUMMYFUNCTION("""COMPUTED_VALUE"""),"NIÑAS")</f>
        <v>NIÑAS</v>
      </c>
    </row>
    <row r="203" spans="1:26">
      <c r="A203" s="79" t="str">
        <f ca="1">IFERROR(__xludf.DUMMYFUNCTION("""COMPUTED_VALUE"""),"6.1.2.0")</f>
        <v>6.1.2.0</v>
      </c>
      <c r="B203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3" s="79" t="str">
        <f ca="1">IFERROR(__xludf.DUMMYFUNCTION("""COMPUTED_VALUE"""),"5. Inclusión")</f>
        <v>5. Inclusión</v>
      </c>
      <c r="D203" s="79" t="str">
        <f ca="1">IFERROR(__xludf.DUMMYFUNCTION("""COMPUTED_VALUE"""),"Guadalajara sin Barreras")</f>
        <v>Guadalajara sin Barreras</v>
      </c>
      <c r="E203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3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3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3" s="79" t="str">
        <f ca="1">IFERROR(__xludf.DUMMYFUNCTION("""COMPUTED_VALUE"""),"NOS FEBRERO")</f>
        <v>NOS FEBRERO</v>
      </c>
      <c r="I203" s="79" t="str">
        <f ca="1">IFERROR(__xludf.DUMMYFUNCTION("""COMPUTED_VALUE"""),"Febrero")</f>
        <v>Febrero</v>
      </c>
      <c r="J203" s="79" t="str">
        <f ca="1">IFERROR(__xludf.DUMMYFUNCTION("""COMPUTED_VALUE"""),"NOS")</f>
        <v>NOS</v>
      </c>
      <c r="K203" s="80">
        <f ca="1">IFERROR(__xludf.DUMMYFUNCTION("""COMPUTED_VALUE"""),235)</f>
        <v>235</v>
      </c>
      <c r="L203" s="79" t="str">
        <f ca="1">IFERROR(__xludf.DUMMYFUNCTION("""COMPUTED_VALUE"""),"TRIMESTRE 1")</f>
        <v>TRIMESTRE 1</v>
      </c>
      <c r="M203" s="79" t="str">
        <f ca="1">IFERROR(__xludf.DUMMYFUNCTION("""COMPUTED_VALUE"""),"NIÑOS")</f>
        <v>NIÑOS</v>
      </c>
    </row>
    <row r="204" spans="1:26">
      <c r="A204" s="79" t="str">
        <f ca="1">IFERROR(__xludf.DUMMYFUNCTION("""COMPUTED_VALUE"""),"6.1.2.0")</f>
        <v>6.1.2.0</v>
      </c>
      <c r="B204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4" s="79" t="str">
        <f ca="1">IFERROR(__xludf.DUMMYFUNCTION("""COMPUTED_VALUE"""),"5. Inclusión")</f>
        <v>5. Inclusión</v>
      </c>
      <c r="D204" s="79" t="str">
        <f ca="1">IFERROR(__xludf.DUMMYFUNCTION("""COMPUTED_VALUE"""),"Guadalajara sin Barreras")</f>
        <v>Guadalajara sin Barreras</v>
      </c>
      <c r="E204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4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4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4" s="79" t="str">
        <f ca="1">IFERROR(__xludf.DUMMYFUNCTION("""COMPUTED_VALUE"""),"AM FEBRERO")</f>
        <v>AM FEBRERO</v>
      </c>
      <c r="I204" s="79" t="str">
        <f ca="1">IFERROR(__xludf.DUMMYFUNCTION("""COMPUTED_VALUE"""),"Febrero")</f>
        <v>Febrero</v>
      </c>
      <c r="J204" s="79" t="str">
        <f ca="1">IFERROR(__xludf.DUMMYFUNCTION("""COMPUTED_VALUE"""),"AM")</f>
        <v>AM</v>
      </c>
      <c r="K204" s="80">
        <f ca="1">IFERROR(__xludf.DUMMYFUNCTION("""COMPUTED_VALUE"""),3)</f>
        <v>3</v>
      </c>
      <c r="L204" s="79" t="str">
        <f ca="1">IFERROR(__xludf.DUMMYFUNCTION("""COMPUTED_VALUE"""),"TRIMESTRE 1")</f>
        <v>TRIMESTRE 1</v>
      </c>
      <c r="M204" s="79" t="str">
        <f ca="1">IFERROR(__xludf.DUMMYFUNCTION("""COMPUTED_VALUE"""),"ADOLESCENTES MUJERES")</f>
        <v>ADOLESCENTES MUJERES</v>
      </c>
    </row>
    <row r="205" spans="1:26">
      <c r="A205" s="79" t="str">
        <f ca="1">IFERROR(__xludf.DUMMYFUNCTION("""COMPUTED_VALUE"""),"6.1.2.0")</f>
        <v>6.1.2.0</v>
      </c>
      <c r="B205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5" s="79" t="str">
        <f ca="1">IFERROR(__xludf.DUMMYFUNCTION("""COMPUTED_VALUE"""),"5. Inclusión")</f>
        <v>5. Inclusión</v>
      </c>
      <c r="D205" s="79" t="str">
        <f ca="1">IFERROR(__xludf.DUMMYFUNCTION("""COMPUTED_VALUE"""),"Guadalajara sin Barreras")</f>
        <v>Guadalajara sin Barreras</v>
      </c>
      <c r="E205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5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5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5" s="79" t="str">
        <f ca="1">IFERROR(__xludf.DUMMYFUNCTION("""COMPUTED_VALUE"""),"AH FEBRERO")</f>
        <v>AH FEBRERO</v>
      </c>
      <c r="I205" s="79" t="str">
        <f ca="1">IFERROR(__xludf.DUMMYFUNCTION("""COMPUTED_VALUE"""),"Febrero")</f>
        <v>Febrero</v>
      </c>
      <c r="J205" s="79" t="str">
        <f ca="1">IFERROR(__xludf.DUMMYFUNCTION("""COMPUTED_VALUE"""),"AH")</f>
        <v>AH</v>
      </c>
      <c r="K205" s="80">
        <f ca="1">IFERROR(__xludf.DUMMYFUNCTION("""COMPUTED_VALUE"""),13)</f>
        <v>13</v>
      </c>
      <c r="L205" s="79" t="str">
        <f ca="1">IFERROR(__xludf.DUMMYFUNCTION("""COMPUTED_VALUE"""),"TRIMESTRE 1")</f>
        <v>TRIMESTRE 1</v>
      </c>
      <c r="M205" s="79" t="str">
        <f ca="1">IFERROR(__xludf.DUMMYFUNCTION("""COMPUTED_VALUE"""),"ADOLESCENTES HOMBRES")</f>
        <v>ADOLESCENTES HOMBRES</v>
      </c>
    </row>
    <row r="206" spans="1:26">
      <c r="A206" s="79" t="str">
        <f ca="1">IFERROR(__xludf.DUMMYFUNCTION("""COMPUTED_VALUE"""),"6.1.2.0")</f>
        <v>6.1.2.0</v>
      </c>
      <c r="B206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6" s="79" t="str">
        <f ca="1">IFERROR(__xludf.DUMMYFUNCTION("""COMPUTED_VALUE"""),"5. Inclusión")</f>
        <v>5. Inclusión</v>
      </c>
      <c r="D206" s="79" t="str">
        <f ca="1">IFERROR(__xludf.DUMMYFUNCTION("""COMPUTED_VALUE"""),"Guadalajara sin Barreras")</f>
        <v>Guadalajara sin Barreras</v>
      </c>
      <c r="E206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6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6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6" s="79" t="str">
        <f ca="1">IFERROR(__xludf.DUMMYFUNCTION("""COMPUTED_VALUE"""),"MUJ FEBRERO")</f>
        <v>MUJ FEBRERO</v>
      </c>
      <c r="I206" s="79" t="str">
        <f ca="1">IFERROR(__xludf.DUMMYFUNCTION("""COMPUTED_VALUE"""),"Febrero")</f>
        <v>Febrero</v>
      </c>
      <c r="J206" s="79" t="str">
        <f ca="1">IFERROR(__xludf.DUMMYFUNCTION("""COMPUTED_VALUE"""),"MUJ")</f>
        <v>MUJ</v>
      </c>
      <c r="K206" s="80">
        <f ca="1">IFERROR(__xludf.DUMMYFUNCTION("""COMPUTED_VALUE"""),14)</f>
        <v>14</v>
      </c>
      <c r="L206" s="79" t="str">
        <f ca="1">IFERROR(__xludf.DUMMYFUNCTION("""COMPUTED_VALUE"""),"TRIMESTRE 1")</f>
        <v>TRIMESTRE 1</v>
      </c>
      <c r="M206" s="79" t="str">
        <f ca="1">IFERROR(__xludf.DUMMYFUNCTION("""COMPUTED_VALUE"""),"MUJERES ADULTAS")</f>
        <v>MUJERES ADULTAS</v>
      </c>
    </row>
    <row r="207" spans="1:26">
      <c r="A207" s="79" t="str">
        <f ca="1">IFERROR(__xludf.DUMMYFUNCTION("""COMPUTED_VALUE"""),"6.1.2.0")</f>
        <v>6.1.2.0</v>
      </c>
      <c r="B207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7" s="79" t="str">
        <f ca="1">IFERROR(__xludf.DUMMYFUNCTION("""COMPUTED_VALUE"""),"5. Inclusión")</f>
        <v>5. Inclusión</v>
      </c>
      <c r="D207" s="79" t="str">
        <f ca="1">IFERROR(__xludf.DUMMYFUNCTION("""COMPUTED_VALUE"""),"Guadalajara sin Barreras")</f>
        <v>Guadalajara sin Barreras</v>
      </c>
      <c r="E207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7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7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7" s="79" t="str">
        <f ca="1">IFERROR(__xludf.DUMMYFUNCTION("""COMPUTED_VALUE"""),"HOM FEBRERO")</f>
        <v>HOM FEBRERO</v>
      </c>
      <c r="I207" s="79" t="str">
        <f ca="1">IFERROR(__xludf.DUMMYFUNCTION("""COMPUTED_VALUE"""),"Febrero")</f>
        <v>Febrero</v>
      </c>
      <c r="J207" s="79" t="str">
        <f ca="1">IFERROR(__xludf.DUMMYFUNCTION("""COMPUTED_VALUE"""),"HOM")</f>
        <v>HOM</v>
      </c>
      <c r="K207" s="80">
        <f ca="1">IFERROR(__xludf.DUMMYFUNCTION("""COMPUTED_VALUE"""),22)</f>
        <v>22</v>
      </c>
      <c r="L207" s="79" t="str">
        <f ca="1">IFERROR(__xludf.DUMMYFUNCTION("""COMPUTED_VALUE"""),"TRIMESTRE 1")</f>
        <v>TRIMESTRE 1</v>
      </c>
      <c r="M207" s="79" t="str">
        <f ca="1">IFERROR(__xludf.DUMMYFUNCTION("""COMPUTED_VALUE"""),"HOMBRES ADULTOS")</f>
        <v>HOMBRES ADULTOS</v>
      </c>
    </row>
    <row r="208" spans="1:26">
      <c r="A208" s="79" t="str">
        <f ca="1">IFERROR(__xludf.DUMMYFUNCTION("""COMPUTED_VALUE"""),"6.1.2.0")</f>
        <v>6.1.2.0</v>
      </c>
      <c r="B208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8" s="79" t="str">
        <f ca="1">IFERROR(__xludf.DUMMYFUNCTION("""COMPUTED_VALUE"""),"5. Inclusión")</f>
        <v>5. Inclusión</v>
      </c>
      <c r="D208" s="79" t="str">
        <f ca="1">IFERROR(__xludf.DUMMYFUNCTION("""COMPUTED_VALUE"""),"Guadalajara sin Barreras")</f>
        <v>Guadalajara sin Barreras</v>
      </c>
      <c r="E208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8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8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8" s="79" t="str">
        <f ca="1">IFERROR(__xludf.DUMMYFUNCTION("""COMPUTED_VALUE"""),"AMM FEBRERO")</f>
        <v>AMM FEBRERO</v>
      </c>
      <c r="I208" s="79" t="str">
        <f ca="1">IFERROR(__xludf.DUMMYFUNCTION("""COMPUTED_VALUE"""),"Febrero")</f>
        <v>Febrero</v>
      </c>
      <c r="J208" s="79" t="str">
        <f ca="1">IFERROR(__xludf.DUMMYFUNCTION("""COMPUTED_VALUE"""),"AMM")</f>
        <v>AMM</v>
      </c>
      <c r="K208" s="80">
        <f ca="1">IFERROR(__xludf.DUMMYFUNCTION("""COMPUTED_VALUE"""),0)</f>
        <v>0</v>
      </c>
      <c r="L208" s="79" t="str">
        <f ca="1">IFERROR(__xludf.DUMMYFUNCTION("""COMPUTED_VALUE"""),"TRIMESTRE 1")</f>
        <v>TRIMESTRE 1</v>
      </c>
      <c r="M208" s="79" t="str">
        <f ca="1">IFERROR(__xludf.DUMMYFUNCTION("""COMPUTED_VALUE"""),"ADULTA MAYOR MUJER")</f>
        <v>ADULTA MAYOR MUJER</v>
      </c>
    </row>
    <row r="209" spans="1:13">
      <c r="A209" s="79" t="str">
        <f ca="1">IFERROR(__xludf.DUMMYFUNCTION("""COMPUTED_VALUE"""),"6.1.2.0")</f>
        <v>6.1.2.0</v>
      </c>
      <c r="B209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09" s="79" t="str">
        <f ca="1">IFERROR(__xludf.DUMMYFUNCTION("""COMPUTED_VALUE"""),"5. Inclusión")</f>
        <v>5. Inclusión</v>
      </c>
      <c r="D209" s="79" t="str">
        <f ca="1">IFERROR(__xludf.DUMMYFUNCTION("""COMPUTED_VALUE"""),"Guadalajara sin Barreras")</f>
        <v>Guadalajara sin Barreras</v>
      </c>
      <c r="E209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09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09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09" s="79" t="str">
        <f ca="1">IFERROR(__xludf.DUMMYFUNCTION("""COMPUTED_VALUE"""),"AMH FEBRERO")</f>
        <v>AMH FEBRERO</v>
      </c>
      <c r="I209" s="79" t="str">
        <f ca="1">IFERROR(__xludf.DUMMYFUNCTION("""COMPUTED_VALUE"""),"Febrero")</f>
        <v>Febrero</v>
      </c>
      <c r="J209" s="79" t="str">
        <f ca="1">IFERROR(__xludf.DUMMYFUNCTION("""COMPUTED_VALUE"""),"AMH")</f>
        <v>AMH</v>
      </c>
      <c r="K209" s="80">
        <f ca="1">IFERROR(__xludf.DUMMYFUNCTION("""COMPUTED_VALUE"""),0)</f>
        <v>0</v>
      </c>
      <c r="L209" s="79" t="str">
        <f ca="1">IFERROR(__xludf.DUMMYFUNCTION("""COMPUTED_VALUE"""),"TRIMESTRE 1")</f>
        <v>TRIMESTRE 1</v>
      </c>
      <c r="M209" s="79" t="str">
        <f ca="1">IFERROR(__xludf.DUMMYFUNCTION("""COMPUTED_VALUE"""),"ADULTO MAYOR HOMBRE")</f>
        <v>ADULTO MAYOR HOMBRE</v>
      </c>
    </row>
    <row r="210" spans="1:13">
      <c r="A210" s="79" t="str">
        <f ca="1">IFERROR(__xludf.DUMMYFUNCTION("""COMPUTED_VALUE"""),"6.1.2.0")</f>
        <v>6.1.2.0</v>
      </c>
      <c r="B210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0" s="79" t="str">
        <f ca="1">IFERROR(__xludf.DUMMYFUNCTION("""COMPUTED_VALUE"""),"5. Inclusión")</f>
        <v>5. Inclusión</v>
      </c>
      <c r="D210" s="79" t="str">
        <f ca="1">IFERROR(__xludf.DUMMYFUNCTION("""COMPUTED_VALUE"""),"Guadalajara sin Barreras")</f>
        <v>Guadalajara sin Barreras</v>
      </c>
      <c r="E210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0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0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0" s="79" t="str">
        <f ca="1">IFERROR(__xludf.DUMMYFUNCTION("""COMPUTED_VALUE"""),"NAS Marzo")</f>
        <v>NAS Marzo</v>
      </c>
      <c r="I210" s="79" t="str">
        <f ca="1">IFERROR(__xludf.DUMMYFUNCTION("""COMPUTED_VALUE"""),"Marzo")</f>
        <v>Marzo</v>
      </c>
      <c r="J210" s="79" t="str">
        <f ca="1">IFERROR(__xludf.DUMMYFUNCTION("""COMPUTED_VALUE"""),"NAS")</f>
        <v>NAS</v>
      </c>
      <c r="K210" s="80">
        <f ca="1">IFERROR(__xludf.DUMMYFUNCTION("""COMPUTED_VALUE"""),59)</f>
        <v>59</v>
      </c>
      <c r="L210" s="79" t="str">
        <f ca="1">IFERROR(__xludf.DUMMYFUNCTION("""COMPUTED_VALUE"""),"TRIMESTRE 1")</f>
        <v>TRIMESTRE 1</v>
      </c>
      <c r="M210" s="79" t="str">
        <f ca="1">IFERROR(__xludf.DUMMYFUNCTION("""COMPUTED_VALUE"""),"NIÑAS")</f>
        <v>NIÑAS</v>
      </c>
    </row>
    <row r="211" spans="1:13">
      <c r="A211" s="79" t="str">
        <f ca="1">IFERROR(__xludf.DUMMYFUNCTION("""COMPUTED_VALUE"""),"6.1.2.0")</f>
        <v>6.1.2.0</v>
      </c>
      <c r="B211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1" s="79" t="str">
        <f ca="1">IFERROR(__xludf.DUMMYFUNCTION("""COMPUTED_VALUE"""),"5. Inclusión")</f>
        <v>5. Inclusión</v>
      </c>
      <c r="D211" s="79" t="str">
        <f ca="1">IFERROR(__xludf.DUMMYFUNCTION("""COMPUTED_VALUE"""),"Guadalajara sin Barreras")</f>
        <v>Guadalajara sin Barreras</v>
      </c>
      <c r="E211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1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1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1" s="79" t="str">
        <f ca="1">IFERROR(__xludf.DUMMYFUNCTION("""COMPUTED_VALUE"""),"NOS Marzo")</f>
        <v>NOS Marzo</v>
      </c>
      <c r="I211" s="79" t="str">
        <f ca="1">IFERROR(__xludf.DUMMYFUNCTION("""COMPUTED_VALUE"""),"Marzo")</f>
        <v>Marzo</v>
      </c>
      <c r="J211" s="79" t="str">
        <f ca="1">IFERROR(__xludf.DUMMYFUNCTION("""COMPUTED_VALUE"""),"NOS")</f>
        <v>NOS</v>
      </c>
      <c r="K211" s="80">
        <f ca="1">IFERROR(__xludf.DUMMYFUNCTION("""COMPUTED_VALUE"""),236)</f>
        <v>236</v>
      </c>
      <c r="L211" s="79" t="str">
        <f ca="1">IFERROR(__xludf.DUMMYFUNCTION("""COMPUTED_VALUE"""),"TRIMESTRE 1")</f>
        <v>TRIMESTRE 1</v>
      </c>
      <c r="M211" s="79" t="str">
        <f ca="1">IFERROR(__xludf.DUMMYFUNCTION("""COMPUTED_VALUE"""),"NIÑOS")</f>
        <v>NIÑOS</v>
      </c>
    </row>
    <row r="212" spans="1:13">
      <c r="A212" s="79" t="str">
        <f ca="1">IFERROR(__xludf.DUMMYFUNCTION("""COMPUTED_VALUE"""),"6.1.2.0")</f>
        <v>6.1.2.0</v>
      </c>
      <c r="B212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2" s="79" t="str">
        <f ca="1">IFERROR(__xludf.DUMMYFUNCTION("""COMPUTED_VALUE"""),"5. Inclusión")</f>
        <v>5. Inclusión</v>
      </c>
      <c r="D212" s="79" t="str">
        <f ca="1">IFERROR(__xludf.DUMMYFUNCTION("""COMPUTED_VALUE"""),"Guadalajara sin Barreras")</f>
        <v>Guadalajara sin Barreras</v>
      </c>
      <c r="E212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2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2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2" s="79" t="str">
        <f ca="1">IFERROR(__xludf.DUMMYFUNCTION("""COMPUTED_VALUE"""),"AM MARZO")</f>
        <v>AM MARZO</v>
      </c>
      <c r="I212" s="79" t="str">
        <f ca="1">IFERROR(__xludf.DUMMYFUNCTION("""COMPUTED_VALUE"""),"Marzo")</f>
        <v>Marzo</v>
      </c>
      <c r="J212" s="79" t="str">
        <f ca="1">IFERROR(__xludf.DUMMYFUNCTION("""COMPUTED_VALUE"""),"AM")</f>
        <v>AM</v>
      </c>
      <c r="K212" s="80">
        <f ca="1">IFERROR(__xludf.DUMMYFUNCTION("""COMPUTED_VALUE"""),3)</f>
        <v>3</v>
      </c>
      <c r="L212" s="79" t="str">
        <f ca="1">IFERROR(__xludf.DUMMYFUNCTION("""COMPUTED_VALUE"""),"TRIMESTRE 1")</f>
        <v>TRIMESTRE 1</v>
      </c>
      <c r="M212" s="79" t="str">
        <f ca="1">IFERROR(__xludf.DUMMYFUNCTION("""COMPUTED_VALUE"""),"ADOLESCENTES MUJERES")</f>
        <v>ADOLESCENTES MUJERES</v>
      </c>
    </row>
    <row r="213" spans="1:13">
      <c r="A213" s="79" t="str">
        <f ca="1">IFERROR(__xludf.DUMMYFUNCTION("""COMPUTED_VALUE"""),"6.1.2.0")</f>
        <v>6.1.2.0</v>
      </c>
      <c r="B213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3" s="79" t="str">
        <f ca="1">IFERROR(__xludf.DUMMYFUNCTION("""COMPUTED_VALUE"""),"5. Inclusión")</f>
        <v>5. Inclusión</v>
      </c>
      <c r="D213" s="79" t="str">
        <f ca="1">IFERROR(__xludf.DUMMYFUNCTION("""COMPUTED_VALUE"""),"Guadalajara sin Barreras")</f>
        <v>Guadalajara sin Barreras</v>
      </c>
      <c r="E213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3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3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3" s="79" t="str">
        <f ca="1">IFERROR(__xludf.DUMMYFUNCTION("""COMPUTED_VALUE"""),"AH FEBRERO")</f>
        <v>AH FEBRERO</v>
      </c>
      <c r="I213" s="79" t="str">
        <f ca="1">IFERROR(__xludf.DUMMYFUNCTION("""COMPUTED_VALUE"""),"Marzo")</f>
        <v>Marzo</v>
      </c>
      <c r="J213" s="79" t="str">
        <f ca="1">IFERROR(__xludf.DUMMYFUNCTION("""COMPUTED_VALUE"""),"AH")</f>
        <v>AH</v>
      </c>
      <c r="K213" s="80">
        <f ca="1">IFERROR(__xludf.DUMMYFUNCTION("""COMPUTED_VALUE"""),13)</f>
        <v>13</v>
      </c>
      <c r="L213" s="79" t="str">
        <f ca="1">IFERROR(__xludf.DUMMYFUNCTION("""COMPUTED_VALUE"""),"TRIMESTRE 1")</f>
        <v>TRIMESTRE 1</v>
      </c>
      <c r="M213" s="79" t="str">
        <f ca="1">IFERROR(__xludf.DUMMYFUNCTION("""COMPUTED_VALUE"""),"ADOLESCENTES HOMBRES")</f>
        <v>ADOLESCENTES HOMBRES</v>
      </c>
    </row>
    <row r="214" spans="1:13">
      <c r="A214" s="79" t="str">
        <f ca="1">IFERROR(__xludf.DUMMYFUNCTION("""COMPUTED_VALUE"""),"6.1.2.0")</f>
        <v>6.1.2.0</v>
      </c>
      <c r="B214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4" s="79" t="str">
        <f ca="1">IFERROR(__xludf.DUMMYFUNCTION("""COMPUTED_VALUE"""),"5. Inclusión")</f>
        <v>5. Inclusión</v>
      </c>
      <c r="D214" s="79" t="str">
        <f ca="1">IFERROR(__xludf.DUMMYFUNCTION("""COMPUTED_VALUE"""),"Guadalajara sin Barreras")</f>
        <v>Guadalajara sin Barreras</v>
      </c>
      <c r="E214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4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4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4" s="79" t="str">
        <f ca="1">IFERROR(__xludf.DUMMYFUNCTION("""COMPUTED_VALUE"""),"MUJ Marzo")</f>
        <v>MUJ Marzo</v>
      </c>
      <c r="I214" s="79" t="str">
        <f ca="1">IFERROR(__xludf.DUMMYFUNCTION("""COMPUTED_VALUE"""),"Marzo")</f>
        <v>Marzo</v>
      </c>
      <c r="J214" s="79" t="str">
        <f ca="1">IFERROR(__xludf.DUMMYFUNCTION("""COMPUTED_VALUE"""),"MUJ")</f>
        <v>MUJ</v>
      </c>
      <c r="K214" s="80">
        <f ca="1">IFERROR(__xludf.DUMMYFUNCTION("""COMPUTED_VALUE"""),14)</f>
        <v>14</v>
      </c>
      <c r="L214" s="79" t="str">
        <f ca="1">IFERROR(__xludf.DUMMYFUNCTION("""COMPUTED_VALUE"""),"TRIMESTRE 1")</f>
        <v>TRIMESTRE 1</v>
      </c>
      <c r="M214" s="79" t="str">
        <f ca="1">IFERROR(__xludf.DUMMYFUNCTION("""COMPUTED_VALUE"""),"MUJERES ADULTAS")</f>
        <v>MUJERES ADULTAS</v>
      </c>
    </row>
    <row r="215" spans="1:13">
      <c r="A215" s="79" t="str">
        <f ca="1">IFERROR(__xludf.DUMMYFUNCTION("""COMPUTED_VALUE"""),"6.1.2.0")</f>
        <v>6.1.2.0</v>
      </c>
      <c r="B215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5" s="79" t="str">
        <f ca="1">IFERROR(__xludf.DUMMYFUNCTION("""COMPUTED_VALUE"""),"5. Inclusión")</f>
        <v>5. Inclusión</v>
      </c>
      <c r="D215" s="79" t="str">
        <f ca="1">IFERROR(__xludf.DUMMYFUNCTION("""COMPUTED_VALUE"""),"Guadalajara sin Barreras")</f>
        <v>Guadalajara sin Barreras</v>
      </c>
      <c r="E215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5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5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5" s="79" t="str">
        <f ca="1">IFERROR(__xludf.DUMMYFUNCTION("""COMPUTED_VALUE"""),"HOM Marzo")</f>
        <v>HOM Marzo</v>
      </c>
      <c r="I215" s="79" t="str">
        <f ca="1">IFERROR(__xludf.DUMMYFUNCTION("""COMPUTED_VALUE"""),"Marzo")</f>
        <v>Marzo</v>
      </c>
      <c r="J215" s="79" t="str">
        <f ca="1">IFERROR(__xludf.DUMMYFUNCTION("""COMPUTED_VALUE"""),"HOM")</f>
        <v>HOM</v>
      </c>
      <c r="K215" s="80">
        <f ca="1">IFERROR(__xludf.DUMMYFUNCTION("""COMPUTED_VALUE"""),23)</f>
        <v>23</v>
      </c>
      <c r="L215" s="79" t="str">
        <f ca="1">IFERROR(__xludf.DUMMYFUNCTION("""COMPUTED_VALUE"""),"TRIMESTRE 1")</f>
        <v>TRIMESTRE 1</v>
      </c>
      <c r="M215" s="79" t="str">
        <f ca="1">IFERROR(__xludf.DUMMYFUNCTION("""COMPUTED_VALUE"""),"HOMBRES ADULTOS")</f>
        <v>HOMBRES ADULTOS</v>
      </c>
    </row>
    <row r="216" spans="1:13">
      <c r="A216" s="79" t="str">
        <f ca="1">IFERROR(__xludf.DUMMYFUNCTION("""COMPUTED_VALUE"""),"6.1.2.0")</f>
        <v>6.1.2.0</v>
      </c>
      <c r="B216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6" s="79" t="str">
        <f ca="1">IFERROR(__xludf.DUMMYFUNCTION("""COMPUTED_VALUE"""),"5. Inclusión")</f>
        <v>5. Inclusión</v>
      </c>
      <c r="D216" s="79" t="str">
        <f ca="1">IFERROR(__xludf.DUMMYFUNCTION("""COMPUTED_VALUE"""),"Guadalajara sin Barreras")</f>
        <v>Guadalajara sin Barreras</v>
      </c>
      <c r="E216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6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6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6" s="79" t="str">
        <f ca="1">IFERROR(__xludf.DUMMYFUNCTION("""COMPUTED_VALUE"""),"AMM Marzo")</f>
        <v>AMM Marzo</v>
      </c>
      <c r="I216" s="79" t="str">
        <f ca="1">IFERROR(__xludf.DUMMYFUNCTION("""COMPUTED_VALUE"""),"Marzo")</f>
        <v>Marzo</v>
      </c>
      <c r="J216" s="79" t="str">
        <f ca="1">IFERROR(__xludf.DUMMYFUNCTION("""COMPUTED_VALUE"""),"AMM")</f>
        <v>AMM</v>
      </c>
      <c r="K216" s="80">
        <f ca="1">IFERROR(__xludf.DUMMYFUNCTION("""COMPUTED_VALUE"""),0)</f>
        <v>0</v>
      </c>
      <c r="L216" s="79" t="str">
        <f ca="1">IFERROR(__xludf.DUMMYFUNCTION("""COMPUTED_VALUE"""),"TRIMESTRE 1")</f>
        <v>TRIMESTRE 1</v>
      </c>
      <c r="M216" s="79" t="str">
        <f ca="1">IFERROR(__xludf.DUMMYFUNCTION("""COMPUTED_VALUE"""),"ADULTA MAYOR MUJER")</f>
        <v>ADULTA MAYOR MUJER</v>
      </c>
    </row>
    <row r="217" spans="1:13">
      <c r="A217" s="79" t="str">
        <f ca="1">IFERROR(__xludf.DUMMYFUNCTION("""COMPUTED_VALUE"""),"6.1.2.0")</f>
        <v>6.1.2.0</v>
      </c>
      <c r="B217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7" s="79" t="str">
        <f ca="1">IFERROR(__xludf.DUMMYFUNCTION("""COMPUTED_VALUE"""),"5. Inclusión")</f>
        <v>5. Inclusión</v>
      </c>
      <c r="D217" s="79" t="str">
        <f ca="1">IFERROR(__xludf.DUMMYFUNCTION("""COMPUTED_VALUE"""),"Guadalajara sin Barreras")</f>
        <v>Guadalajara sin Barreras</v>
      </c>
      <c r="E217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7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7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7" s="79" t="str">
        <f ca="1">IFERROR(__xludf.DUMMYFUNCTION("""COMPUTED_VALUE"""),"AMH Marzo")</f>
        <v>AMH Marzo</v>
      </c>
      <c r="I217" s="79" t="str">
        <f ca="1">IFERROR(__xludf.DUMMYFUNCTION("""COMPUTED_VALUE"""),"Marzo")</f>
        <v>Marzo</v>
      </c>
      <c r="J217" s="79" t="str">
        <f ca="1">IFERROR(__xludf.DUMMYFUNCTION("""COMPUTED_VALUE"""),"AMH")</f>
        <v>AMH</v>
      </c>
      <c r="K217" s="80">
        <f ca="1">IFERROR(__xludf.DUMMYFUNCTION("""COMPUTED_VALUE"""),0)</f>
        <v>0</v>
      </c>
      <c r="L217" s="79" t="str">
        <f ca="1">IFERROR(__xludf.DUMMYFUNCTION("""COMPUTED_VALUE"""),"TRIMESTRE 1")</f>
        <v>TRIMESTRE 1</v>
      </c>
      <c r="M217" s="79" t="str">
        <f ca="1">IFERROR(__xludf.DUMMYFUNCTION("""COMPUTED_VALUE"""),"ADULTO MAYOR HOMBRE")</f>
        <v>ADULTO MAYOR HOMBRE</v>
      </c>
    </row>
    <row r="218" spans="1:13">
      <c r="A218" s="79" t="str">
        <f ca="1">IFERROR(__xludf.DUMMYFUNCTION("""COMPUTED_VALUE"""),"6.1.2.0")</f>
        <v>6.1.2.0</v>
      </c>
      <c r="B218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8" s="79" t="str">
        <f ca="1">IFERROR(__xludf.DUMMYFUNCTION("""COMPUTED_VALUE"""),"5. Inclusión")</f>
        <v>5. Inclusión</v>
      </c>
      <c r="D218" s="79" t="str">
        <f ca="1">IFERROR(__xludf.DUMMYFUNCTION("""COMPUTED_VALUE"""),"Guadalajara sin Barreras")</f>
        <v>Guadalajara sin Barreras</v>
      </c>
      <c r="E218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8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8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8" s="79" t="str">
        <f ca="1">IFERROR(__xludf.DUMMYFUNCTION("""COMPUTED_VALUE"""),"NAS Abril")</f>
        <v>NAS Abril</v>
      </c>
      <c r="I218" s="79" t="str">
        <f ca="1">IFERROR(__xludf.DUMMYFUNCTION("""COMPUTED_VALUE"""),"Abril")</f>
        <v>Abril</v>
      </c>
      <c r="J218" s="79" t="str">
        <f ca="1">IFERROR(__xludf.DUMMYFUNCTION("""COMPUTED_VALUE"""),"NAS")</f>
        <v>NAS</v>
      </c>
      <c r="K218" s="80">
        <f ca="1">IFERROR(__xludf.DUMMYFUNCTION("""COMPUTED_VALUE"""),59)</f>
        <v>59</v>
      </c>
      <c r="L218" s="79" t="str">
        <f ca="1">IFERROR(__xludf.DUMMYFUNCTION("""COMPUTED_VALUE"""),"TRIMESTRE 2")</f>
        <v>TRIMESTRE 2</v>
      </c>
      <c r="M218" s="79" t="str">
        <f ca="1">IFERROR(__xludf.DUMMYFUNCTION("""COMPUTED_VALUE"""),"NIÑAS")</f>
        <v>NIÑAS</v>
      </c>
    </row>
    <row r="219" spans="1:13">
      <c r="A219" s="79" t="str">
        <f ca="1">IFERROR(__xludf.DUMMYFUNCTION("""COMPUTED_VALUE"""),"6.1.2.0")</f>
        <v>6.1.2.0</v>
      </c>
      <c r="B219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19" s="79" t="str">
        <f ca="1">IFERROR(__xludf.DUMMYFUNCTION("""COMPUTED_VALUE"""),"5. Inclusión")</f>
        <v>5. Inclusión</v>
      </c>
      <c r="D219" s="79" t="str">
        <f ca="1">IFERROR(__xludf.DUMMYFUNCTION("""COMPUTED_VALUE"""),"Guadalajara sin Barreras")</f>
        <v>Guadalajara sin Barreras</v>
      </c>
      <c r="E219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19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19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19" s="79" t="str">
        <f ca="1">IFERROR(__xludf.DUMMYFUNCTION("""COMPUTED_VALUE"""),"NOS Abril")</f>
        <v>NOS Abril</v>
      </c>
      <c r="I219" s="79" t="str">
        <f ca="1">IFERROR(__xludf.DUMMYFUNCTION("""COMPUTED_VALUE"""),"Abril")</f>
        <v>Abril</v>
      </c>
      <c r="J219" s="79" t="str">
        <f ca="1">IFERROR(__xludf.DUMMYFUNCTION("""COMPUTED_VALUE"""),"NOS")</f>
        <v>NOS</v>
      </c>
      <c r="K219" s="80">
        <f ca="1">IFERROR(__xludf.DUMMYFUNCTION("""COMPUTED_VALUE"""),239)</f>
        <v>239</v>
      </c>
      <c r="L219" s="79" t="str">
        <f ca="1">IFERROR(__xludf.DUMMYFUNCTION("""COMPUTED_VALUE"""),"TRIMESTRE 2")</f>
        <v>TRIMESTRE 2</v>
      </c>
      <c r="M219" s="79" t="str">
        <f ca="1">IFERROR(__xludf.DUMMYFUNCTION("""COMPUTED_VALUE"""),"NIÑOS")</f>
        <v>NIÑOS</v>
      </c>
    </row>
    <row r="220" spans="1:13">
      <c r="A220" s="79" t="str">
        <f ca="1">IFERROR(__xludf.DUMMYFUNCTION("""COMPUTED_VALUE"""),"6.1.2.0")</f>
        <v>6.1.2.0</v>
      </c>
      <c r="B220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0" s="79" t="str">
        <f ca="1">IFERROR(__xludf.DUMMYFUNCTION("""COMPUTED_VALUE"""),"5. Inclusión")</f>
        <v>5. Inclusión</v>
      </c>
      <c r="D220" s="79" t="str">
        <f ca="1">IFERROR(__xludf.DUMMYFUNCTION("""COMPUTED_VALUE"""),"Guadalajara sin Barreras")</f>
        <v>Guadalajara sin Barreras</v>
      </c>
      <c r="E220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0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0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0" s="79" t="str">
        <f ca="1">IFERROR(__xludf.DUMMYFUNCTION("""COMPUTED_VALUE"""),"AM ABRIL")</f>
        <v>AM ABRIL</v>
      </c>
      <c r="I220" s="79" t="str">
        <f ca="1">IFERROR(__xludf.DUMMYFUNCTION("""COMPUTED_VALUE"""),"Abril")</f>
        <v>Abril</v>
      </c>
      <c r="J220" s="79" t="str">
        <f ca="1">IFERROR(__xludf.DUMMYFUNCTION("""COMPUTED_VALUE"""),"AM")</f>
        <v>AM</v>
      </c>
      <c r="K220" s="80">
        <f ca="1">IFERROR(__xludf.DUMMYFUNCTION("""COMPUTED_VALUE"""),5)</f>
        <v>5</v>
      </c>
      <c r="L220" s="79" t="str">
        <f ca="1">IFERROR(__xludf.DUMMYFUNCTION("""COMPUTED_VALUE"""),"TRIMESTRE 2")</f>
        <v>TRIMESTRE 2</v>
      </c>
      <c r="M220" s="79" t="str">
        <f ca="1">IFERROR(__xludf.DUMMYFUNCTION("""COMPUTED_VALUE"""),"ADOLESCENTES MUJERES")</f>
        <v>ADOLESCENTES MUJERES</v>
      </c>
    </row>
    <row r="221" spans="1:13">
      <c r="A221" s="79" t="str">
        <f ca="1">IFERROR(__xludf.DUMMYFUNCTION("""COMPUTED_VALUE"""),"6.1.2.0")</f>
        <v>6.1.2.0</v>
      </c>
      <c r="B221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1" s="79" t="str">
        <f ca="1">IFERROR(__xludf.DUMMYFUNCTION("""COMPUTED_VALUE"""),"5. Inclusión")</f>
        <v>5. Inclusión</v>
      </c>
      <c r="D221" s="79" t="str">
        <f ca="1">IFERROR(__xludf.DUMMYFUNCTION("""COMPUTED_VALUE"""),"Guadalajara sin Barreras")</f>
        <v>Guadalajara sin Barreras</v>
      </c>
      <c r="E221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1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1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1" s="79" t="str">
        <f ca="1">IFERROR(__xludf.DUMMYFUNCTION("""COMPUTED_VALUE"""),"AH ABRIL")</f>
        <v>AH ABRIL</v>
      </c>
      <c r="I221" s="79" t="str">
        <f ca="1">IFERROR(__xludf.DUMMYFUNCTION("""COMPUTED_VALUE"""),"Abril")</f>
        <v>Abril</v>
      </c>
      <c r="J221" s="79" t="str">
        <f ca="1">IFERROR(__xludf.DUMMYFUNCTION("""COMPUTED_VALUE"""),"AH")</f>
        <v>AH</v>
      </c>
      <c r="K221" s="80">
        <f ca="1">IFERROR(__xludf.DUMMYFUNCTION("""COMPUTED_VALUE"""),14)</f>
        <v>14</v>
      </c>
      <c r="L221" s="79" t="str">
        <f ca="1">IFERROR(__xludf.DUMMYFUNCTION("""COMPUTED_VALUE"""),"TRIMESTRE 2")</f>
        <v>TRIMESTRE 2</v>
      </c>
      <c r="M221" s="79" t="str">
        <f ca="1">IFERROR(__xludf.DUMMYFUNCTION("""COMPUTED_VALUE"""),"ADOLESCENTES HOMBRES")</f>
        <v>ADOLESCENTES HOMBRES</v>
      </c>
    </row>
    <row r="222" spans="1:13">
      <c r="A222" s="79" t="str">
        <f ca="1">IFERROR(__xludf.DUMMYFUNCTION("""COMPUTED_VALUE"""),"6.1.2.0")</f>
        <v>6.1.2.0</v>
      </c>
      <c r="B222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2" s="79" t="str">
        <f ca="1">IFERROR(__xludf.DUMMYFUNCTION("""COMPUTED_VALUE"""),"5. Inclusión")</f>
        <v>5. Inclusión</v>
      </c>
      <c r="D222" s="79" t="str">
        <f ca="1">IFERROR(__xludf.DUMMYFUNCTION("""COMPUTED_VALUE"""),"Guadalajara sin Barreras")</f>
        <v>Guadalajara sin Barreras</v>
      </c>
      <c r="E222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2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2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2" s="79" t="str">
        <f ca="1">IFERROR(__xludf.DUMMYFUNCTION("""COMPUTED_VALUE"""),"MUJ Abril")</f>
        <v>MUJ Abril</v>
      </c>
      <c r="I222" s="79" t="str">
        <f ca="1">IFERROR(__xludf.DUMMYFUNCTION("""COMPUTED_VALUE"""),"Abril")</f>
        <v>Abril</v>
      </c>
      <c r="J222" s="79" t="str">
        <f ca="1">IFERROR(__xludf.DUMMYFUNCTION("""COMPUTED_VALUE"""),"MUJ")</f>
        <v>MUJ</v>
      </c>
      <c r="K222" s="80">
        <f ca="1">IFERROR(__xludf.DUMMYFUNCTION("""COMPUTED_VALUE"""),14)</f>
        <v>14</v>
      </c>
      <c r="L222" s="79" t="str">
        <f ca="1">IFERROR(__xludf.DUMMYFUNCTION("""COMPUTED_VALUE"""),"TRIMESTRE 2")</f>
        <v>TRIMESTRE 2</v>
      </c>
      <c r="M222" s="79" t="str">
        <f ca="1">IFERROR(__xludf.DUMMYFUNCTION("""COMPUTED_VALUE"""),"MUJERES ADULTAS")</f>
        <v>MUJERES ADULTAS</v>
      </c>
    </row>
    <row r="223" spans="1:13">
      <c r="A223" s="79" t="str">
        <f ca="1">IFERROR(__xludf.DUMMYFUNCTION("""COMPUTED_VALUE"""),"6.1.2.0")</f>
        <v>6.1.2.0</v>
      </c>
      <c r="B223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3" s="79" t="str">
        <f ca="1">IFERROR(__xludf.DUMMYFUNCTION("""COMPUTED_VALUE"""),"5. Inclusión")</f>
        <v>5. Inclusión</v>
      </c>
      <c r="D223" s="79" t="str">
        <f ca="1">IFERROR(__xludf.DUMMYFUNCTION("""COMPUTED_VALUE"""),"Guadalajara sin Barreras")</f>
        <v>Guadalajara sin Barreras</v>
      </c>
      <c r="E223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3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3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3" s="79" t="str">
        <f ca="1">IFERROR(__xludf.DUMMYFUNCTION("""COMPUTED_VALUE"""),"HOM Abril")</f>
        <v>HOM Abril</v>
      </c>
      <c r="I223" s="79" t="str">
        <f ca="1">IFERROR(__xludf.DUMMYFUNCTION("""COMPUTED_VALUE"""),"Abril")</f>
        <v>Abril</v>
      </c>
      <c r="J223" s="79" t="str">
        <f ca="1">IFERROR(__xludf.DUMMYFUNCTION("""COMPUTED_VALUE"""),"HOM")</f>
        <v>HOM</v>
      </c>
      <c r="K223" s="80">
        <f ca="1">IFERROR(__xludf.DUMMYFUNCTION("""COMPUTED_VALUE"""),23)</f>
        <v>23</v>
      </c>
      <c r="L223" s="79" t="str">
        <f ca="1">IFERROR(__xludf.DUMMYFUNCTION("""COMPUTED_VALUE"""),"TRIMESTRE 2")</f>
        <v>TRIMESTRE 2</v>
      </c>
      <c r="M223" s="79" t="str">
        <f ca="1">IFERROR(__xludf.DUMMYFUNCTION("""COMPUTED_VALUE"""),"HOMBRES ADULTOS")</f>
        <v>HOMBRES ADULTOS</v>
      </c>
    </row>
    <row r="224" spans="1:13">
      <c r="A224" s="79" t="str">
        <f ca="1">IFERROR(__xludf.DUMMYFUNCTION("""COMPUTED_VALUE"""),"6.1.2.0")</f>
        <v>6.1.2.0</v>
      </c>
      <c r="B224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4" s="79" t="str">
        <f ca="1">IFERROR(__xludf.DUMMYFUNCTION("""COMPUTED_VALUE"""),"5. Inclusión")</f>
        <v>5. Inclusión</v>
      </c>
      <c r="D224" s="79" t="str">
        <f ca="1">IFERROR(__xludf.DUMMYFUNCTION("""COMPUTED_VALUE"""),"Guadalajara sin Barreras")</f>
        <v>Guadalajara sin Barreras</v>
      </c>
      <c r="E224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4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4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4" s="79" t="str">
        <f ca="1">IFERROR(__xludf.DUMMYFUNCTION("""COMPUTED_VALUE"""),"AMM Abril")</f>
        <v>AMM Abril</v>
      </c>
      <c r="I224" s="79" t="str">
        <f ca="1">IFERROR(__xludf.DUMMYFUNCTION("""COMPUTED_VALUE"""),"Abril")</f>
        <v>Abril</v>
      </c>
      <c r="J224" s="79" t="str">
        <f ca="1">IFERROR(__xludf.DUMMYFUNCTION("""COMPUTED_VALUE"""),"AMM")</f>
        <v>AMM</v>
      </c>
      <c r="K224" s="80">
        <f ca="1">IFERROR(__xludf.DUMMYFUNCTION("""COMPUTED_VALUE"""),0)</f>
        <v>0</v>
      </c>
      <c r="L224" s="79" t="str">
        <f ca="1">IFERROR(__xludf.DUMMYFUNCTION("""COMPUTED_VALUE"""),"TRIMESTRE 2")</f>
        <v>TRIMESTRE 2</v>
      </c>
      <c r="M224" s="79" t="str">
        <f ca="1">IFERROR(__xludf.DUMMYFUNCTION("""COMPUTED_VALUE"""),"ADULTA MAYOR MUJER")</f>
        <v>ADULTA MAYOR MUJER</v>
      </c>
    </row>
    <row r="225" spans="1:26">
      <c r="A225" s="79" t="str">
        <f ca="1">IFERROR(__xludf.DUMMYFUNCTION("""COMPUTED_VALUE"""),"6.1.2.0")</f>
        <v>6.1.2.0</v>
      </c>
      <c r="B225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5" s="79" t="str">
        <f ca="1">IFERROR(__xludf.DUMMYFUNCTION("""COMPUTED_VALUE"""),"5. Inclusión")</f>
        <v>5. Inclusión</v>
      </c>
      <c r="D225" s="79" t="str">
        <f ca="1">IFERROR(__xludf.DUMMYFUNCTION("""COMPUTED_VALUE"""),"Guadalajara sin Barreras")</f>
        <v>Guadalajara sin Barreras</v>
      </c>
      <c r="E225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5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5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5" s="79" t="str">
        <f ca="1">IFERROR(__xludf.DUMMYFUNCTION("""COMPUTED_VALUE"""),"AMH Abril")</f>
        <v>AMH Abril</v>
      </c>
      <c r="I225" s="79" t="str">
        <f ca="1">IFERROR(__xludf.DUMMYFUNCTION("""COMPUTED_VALUE"""),"Abril")</f>
        <v>Abril</v>
      </c>
      <c r="J225" s="79" t="str">
        <f ca="1">IFERROR(__xludf.DUMMYFUNCTION("""COMPUTED_VALUE"""),"AMH")</f>
        <v>AMH</v>
      </c>
      <c r="K225" s="80">
        <f ca="1">IFERROR(__xludf.DUMMYFUNCTION("""COMPUTED_VALUE"""),0)</f>
        <v>0</v>
      </c>
      <c r="L225" s="79" t="str">
        <f ca="1">IFERROR(__xludf.DUMMYFUNCTION("""COMPUTED_VALUE"""),"TRIMESTRE 2")</f>
        <v>TRIMESTRE 2</v>
      </c>
      <c r="M225" s="79" t="str">
        <f ca="1">IFERROR(__xludf.DUMMYFUNCTION("""COMPUTED_VALUE"""),"ADULTO MAYOR HOMBRE")</f>
        <v>ADULTO MAYOR HOMBRE</v>
      </c>
    </row>
    <row r="226" spans="1:26">
      <c r="A226" s="81" t="str">
        <f ca="1">IFERROR(__xludf.DUMMYFUNCTION("""COMPUTED_VALUE"""),"6.1.2.0")</f>
        <v>6.1.2.0</v>
      </c>
      <c r="B226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6" s="81" t="str">
        <f ca="1">IFERROR(__xludf.DUMMYFUNCTION("""COMPUTED_VALUE"""),"5. Inclusión")</f>
        <v>5. Inclusión</v>
      </c>
      <c r="D226" s="81" t="str">
        <f ca="1">IFERROR(__xludf.DUMMYFUNCTION("""COMPUTED_VALUE"""),"Guadalajara sin Barreras")</f>
        <v>Guadalajara sin Barreras</v>
      </c>
      <c r="E226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6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6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6" s="81" t="str">
        <f ca="1">IFERROR(__xludf.DUMMYFUNCTION("""COMPUTED_VALUE"""),"NAS Mayo")</f>
        <v>NAS Mayo</v>
      </c>
      <c r="I226" s="81" t="str">
        <f ca="1">IFERROR(__xludf.DUMMYFUNCTION("""COMPUTED_VALUE"""),"Mayo")</f>
        <v>Mayo</v>
      </c>
      <c r="J226" s="81" t="str">
        <f ca="1">IFERROR(__xludf.DUMMYFUNCTION("""COMPUTED_VALUE"""),"NAS")</f>
        <v>NAS</v>
      </c>
      <c r="K226" s="80">
        <f ca="1">IFERROR(__xludf.DUMMYFUNCTION("""COMPUTED_VALUE"""),60)</f>
        <v>60</v>
      </c>
      <c r="L226" s="81" t="str">
        <f ca="1">IFERROR(__xludf.DUMMYFUNCTION("""COMPUTED_VALUE"""),"TRIMESTRE 2")</f>
        <v>TRIMESTRE 2</v>
      </c>
      <c r="M226" s="81" t="str">
        <f ca="1">IFERROR(__xludf.DUMMYFUNCTION("""COMPUTED_VALUE"""),"NIÑAS")</f>
        <v>NIÑAS</v>
      </c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</row>
    <row r="227" spans="1:26">
      <c r="A227" s="81" t="str">
        <f ca="1">IFERROR(__xludf.DUMMYFUNCTION("""COMPUTED_VALUE"""),"6.1.2.0")</f>
        <v>6.1.2.0</v>
      </c>
      <c r="B227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7" s="81" t="str">
        <f ca="1">IFERROR(__xludf.DUMMYFUNCTION("""COMPUTED_VALUE"""),"5. Inclusión")</f>
        <v>5. Inclusión</v>
      </c>
      <c r="D227" s="81" t="str">
        <f ca="1">IFERROR(__xludf.DUMMYFUNCTION("""COMPUTED_VALUE"""),"Guadalajara sin Barreras")</f>
        <v>Guadalajara sin Barreras</v>
      </c>
      <c r="E227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7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7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7" s="81" t="str">
        <f ca="1">IFERROR(__xludf.DUMMYFUNCTION("""COMPUTED_VALUE"""),"NOS Mayo")</f>
        <v>NOS Mayo</v>
      </c>
      <c r="I227" s="81" t="str">
        <f ca="1">IFERROR(__xludf.DUMMYFUNCTION("""COMPUTED_VALUE"""),"Mayo")</f>
        <v>Mayo</v>
      </c>
      <c r="J227" s="81" t="str">
        <f ca="1">IFERROR(__xludf.DUMMYFUNCTION("""COMPUTED_VALUE"""),"NOS")</f>
        <v>NOS</v>
      </c>
      <c r="K227" s="80">
        <f ca="1">IFERROR(__xludf.DUMMYFUNCTION("""COMPUTED_VALUE"""),253)</f>
        <v>253</v>
      </c>
      <c r="L227" s="81" t="str">
        <f ca="1">IFERROR(__xludf.DUMMYFUNCTION("""COMPUTED_VALUE"""),"TRIMESTRE 2")</f>
        <v>TRIMESTRE 2</v>
      </c>
      <c r="M227" s="81" t="str">
        <f ca="1">IFERROR(__xludf.DUMMYFUNCTION("""COMPUTED_VALUE"""),"NIÑOS")</f>
        <v>NIÑOS</v>
      </c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</row>
    <row r="228" spans="1:26">
      <c r="A228" s="81" t="str">
        <f ca="1">IFERROR(__xludf.DUMMYFUNCTION("""COMPUTED_VALUE"""),"6.1.2.0")</f>
        <v>6.1.2.0</v>
      </c>
      <c r="B228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8" s="81" t="str">
        <f ca="1">IFERROR(__xludf.DUMMYFUNCTION("""COMPUTED_VALUE"""),"5. Inclusión")</f>
        <v>5. Inclusión</v>
      </c>
      <c r="D228" s="81" t="str">
        <f ca="1">IFERROR(__xludf.DUMMYFUNCTION("""COMPUTED_VALUE"""),"Guadalajara sin Barreras")</f>
        <v>Guadalajara sin Barreras</v>
      </c>
      <c r="E228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8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8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8" s="81" t="str">
        <f ca="1">IFERROR(__xludf.DUMMYFUNCTION("""COMPUTED_VALUE"""),"AM MAYO")</f>
        <v>AM MAYO</v>
      </c>
      <c r="I228" s="81" t="str">
        <f ca="1">IFERROR(__xludf.DUMMYFUNCTION("""COMPUTED_VALUE"""),"Mayo")</f>
        <v>Mayo</v>
      </c>
      <c r="J228" s="81" t="str">
        <f ca="1">IFERROR(__xludf.DUMMYFUNCTION("""COMPUTED_VALUE"""),"AM")</f>
        <v>AM</v>
      </c>
      <c r="K228" s="80">
        <f ca="1">IFERROR(__xludf.DUMMYFUNCTION("""COMPUTED_VALUE"""),5)</f>
        <v>5</v>
      </c>
      <c r="L228" s="81" t="str">
        <f ca="1">IFERROR(__xludf.DUMMYFUNCTION("""COMPUTED_VALUE"""),"TRIMESTRE 2")</f>
        <v>TRIMESTRE 2</v>
      </c>
      <c r="M228" s="81" t="str">
        <f ca="1">IFERROR(__xludf.DUMMYFUNCTION("""COMPUTED_VALUE"""),"ADOLESCENTES MUJERES")</f>
        <v>ADOLESCENTES MUJERES</v>
      </c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</row>
    <row r="229" spans="1:26">
      <c r="A229" s="81" t="str">
        <f ca="1">IFERROR(__xludf.DUMMYFUNCTION("""COMPUTED_VALUE"""),"6.1.2.0")</f>
        <v>6.1.2.0</v>
      </c>
      <c r="B229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29" s="81" t="str">
        <f ca="1">IFERROR(__xludf.DUMMYFUNCTION("""COMPUTED_VALUE"""),"5. Inclusión")</f>
        <v>5. Inclusión</v>
      </c>
      <c r="D229" s="81" t="str">
        <f ca="1">IFERROR(__xludf.DUMMYFUNCTION("""COMPUTED_VALUE"""),"Guadalajara sin Barreras")</f>
        <v>Guadalajara sin Barreras</v>
      </c>
      <c r="E229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29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29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29" s="81" t="str">
        <f ca="1">IFERROR(__xludf.DUMMYFUNCTION("""COMPUTED_VALUE"""),"AH MAYO")</f>
        <v>AH MAYO</v>
      </c>
      <c r="I229" s="81" t="str">
        <f ca="1">IFERROR(__xludf.DUMMYFUNCTION("""COMPUTED_VALUE"""),"Mayo")</f>
        <v>Mayo</v>
      </c>
      <c r="J229" s="81" t="str">
        <f ca="1">IFERROR(__xludf.DUMMYFUNCTION("""COMPUTED_VALUE"""),"AH")</f>
        <v>AH</v>
      </c>
      <c r="K229" s="80">
        <f ca="1">IFERROR(__xludf.DUMMYFUNCTION("""COMPUTED_VALUE"""),15)</f>
        <v>15</v>
      </c>
      <c r="L229" s="81" t="str">
        <f ca="1">IFERROR(__xludf.DUMMYFUNCTION("""COMPUTED_VALUE"""),"TRIMESTRE 2")</f>
        <v>TRIMESTRE 2</v>
      </c>
      <c r="M229" s="81" t="str">
        <f ca="1">IFERROR(__xludf.DUMMYFUNCTION("""COMPUTED_VALUE"""),"ADOLESCENTES HOMBRES")</f>
        <v>ADOLESCENTES HOMBRES</v>
      </c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</row>
    <row r="230" spans="1:26">
      <c r="A230" s="81" t="str">
        <f ca="1">IFERROR(__xludf.DUMMYFUNCTION("""COMPUTED_VALUE"""),"6.1.2.0")</f>
        <v>6.1.2.0</v>
      </c>
      <c r="B230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0" s="81" t="str">
        <f ca="1">IFERROR(__xludf.DUMMYFUNCTION("""COMPUTED_VALUE"""),"5. Inclusión")</f>
        <v>5. Inclusión</v>
      </c>
      <c r="D230" s="81" t="str">
        <f ca="1">IFERROR(__xludf.DUMMYFUNCTION("""COMPUTED_VALUE"""),"Guadalajara sin Barreras")</f>
        <v>Guadalajara sin Barreras</v>
      </c>
      <c r="E230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0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0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0" s="81" t="str">
        <f ca="1">IFERROR(__xludf.DUMMYFUNCTION("""COMPUTED_VALUE"""),"MUJ Mayo")</f>
        <v>MUJ Mayo</v>
      </c>
      <c r="I230" s="81" t="str">
        <f ca="1">IFERROR(__xludf.DUMMYFUNCTION("""COMPUTED_VALUE"""),"Mayo")</f>
        <v>Mayo</v>
      </c>
      <c r="J230" s="81" t="str">
        <f ca="1">IFERROR(__xludf.DUMMYFUNCTION("""COMPUTED_VALUE"""),"MUJ")</f>
        <v>MUJ</v>
      </c>
      <c r="K230" s="80">
        <f ca="1">IFERROR(__xludf.DUMMYFUNCTION("""COMPUTED_VALUE"""),14)</f>
        <v>14</v>
      </c>
      <c r="L230" s="81" t="str">
        <f ca="1">IFERROR(__xludf.DUMMYFUNCTION("""COMPUTED_VALUE"""),"TRIMESTRE 2")</f>
        <v>TRIMESTRE 2</v>
      </c>
      <c r="M230" s="81" t="str">
        <f ca="1">IFERROR(__xludf.DUMMYFUNCTION("""COMPUTED_VALUE"""),"MUJERES ADULTAS")</f>
        <v>MUJERES ADULTAS</v>
      </c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</row>
    <row r="231" spans="1:26">
      <c r="A231" s="81" t="str">
        <f ca="1">IFERROR(__xludf.DUMMYFUNCTION("""COMPUTED_VALUE"""),"6.1.2.0")</f>
        <v>6.1.2.0</v>
      </c>
      <c r="B231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1" s="81" t="str">
        <f ca="1">IFERROR(__xludf.DUMMYFUNCTION("""COMPUTED_VALUE"""),"5. Inclusión")</f>
        <v>5. Inclusión</v>
      </c>
      <c r="D231" s="81" t="str">
        <f ca="1">IFERROR(__xludf.DUMMYFUNCTION("""COMPUTED_VALUE"""),"Guadalajara sin Barreras")</f>
        <v>Guadalajara sin Barreras</v>
      </c>
      <c r="E231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1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1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1" s="81" t="str">
        <f ca="1">IFERROR(__xludf.DUMMYFUNCTION("""COMPUTED_VALUE"""),"HOM Mayo")</f>
        <v>HOM Mayo</v>
      </c>
      <c r="I231" s="81" t="str">
        <f ca="1">IFERROR(__xludf.DUMMYFUNCTION("""COMPUTED_VALUE"""),"Mayo")</f>
        <v>Mayo</v>
      </c>
      <c r="J231" s="81" t="str">
        <f ca="1">IFERROR(__xludf.DUMMYFUNCTION("""COMPUTED_VALUE"""),"HOM")</f>
        <v>HOM</v>
      </c>
      <c r="K231" s="80">
        <f ca="1">IFERROR(__xludf.DUMMYFUNCTION("""COMPUTED_VALUE"""),24)</f>
        <v>24</v>
      </c>
      <c r="L231" s="81" t="str">
        <f ca="1">IFERROR(__xludf.DUMMYFUNCTION("""COMPUTED_VALUE"""),"TRIMESTRE 2")</f>
        <v>TRIMESTRE 2</v>
      </c>
      <c r="M231" s="81" t="str">
        <f ca="1">IFERROR(__xludf.DUMMYFUNCTION("""COMPUTED_VALUE"""),"HOMBRES ADULTOS")</f>
        <v>HOMBRES ADULTOS</v>
      </c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</row>
    <row r="232" spans="1:26">
      <c r="A232" s="81" t="str">
        <f ca="1">IFERROR(__xludf.DUMMYFUNCTION("""COMPUTED_VALUE"""),"6.1.2.0")</f>
        <v>6.1.2.0</v>
      </c>
      <c r="B232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2" s="81" t="str">
        <f ca="1">IFERROR(__xludf.DUMMYFUNCTION("""COMPUTED_VALUE"""),"5. Inclusión")</f>
        <v>5. Inclusión</v>
      </c>
      <c r="D232" s="81" t="str">
        <f ca="1">IFERROR(__xludf.DUMMYFUNCTION("""COMPUTED_VALUE"""),"Guadalajara sin Barreras")</f>
        <v>Guadalajara sin Barreras</v>
      </c>
      <c r="E232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2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2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2" s="81" t="str">
        <f ca="1">IFERROR(__xludf.DUMMYFUNCTION("""COMPUTED_VALUE"""),"AMM Mayo")</f>
        <v>AMM Mayo</v>
      </c>
      <c r="I232" s="81" t="str">
        <f ca="1">IFERROR(__xludf.DUMMYFUNCTION("""COMPUTED_VALUE"""),"Mayo")</f>
        <v>Mayo</v>
      </c>
      <c r="J232" s="81" t="str">
        <f ca="1">IFERROR(__xludf.DUMMYFUNCTION("""COMPUTED_VALUE"""),"AMM")</f>
        <v>AMM</v>
      </c>
      <c r="K232" s="80">
        <f ca="1">IFERROR(__xludf.DUMMYFUNCTION("""COMPUTED_VALUE"""),0)</f>
        <v>0</v>
      </c>
      <c r="L232" s="81" t="str">
        <f ca="1">IFERROR(__xludf.DUMMYFUNCTION("""COMPUTED_VALUE"""),"TRIMESTRE 2")</f>
        <v>TRIMESTRE 2</v>
      </c>
      <c r="M232" s="81" t="str">
        <f ca="1">IFERROR(__xludf.DUMMYFUNCTION("""COMPUTED_VALUE"""),"ADULTA MAYOR MUJER")</f>
        <v>ADULTA MAYOR MUJER</v>
      </c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</row>
    <row r="233" spans="1:26">
      <c r="A233" s="81" t="str">
        <f ca="1">IFERROR(__xludf.DUMMYFUNCTION("""COMPUTED_VALUE"""),"6.1.2.0")</f>
        <v>6.1.2.0</v>
      </c>
      <c r="B233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3" s="81" t="str">
        <f ca="1">IFERROR(__xludf.DUMMYFUNCTION("""COMPUTED_VALUE"""),"5. Inclusión")</f>
        <v>5. Inclusión</v>
      </c>
      <c r="D233" s="81" t="str">
        <f ca="1">IFERROR(__xludf.DUMMYFUNCTION("""COMPUTED_VALUE"""),"Guadalajara sin Barreras")</f>
        <v>Guadalajara sin Barreras</v>
      </c>
      <c r="E233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3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3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3" s="81" t="str">
        <f ca="1">IFERROR(__xludf.DUMMYFUNCTION("""COMPUTED_VALUE"""),"AMH Mayo")</f>
        <v>AMH Mayo</v>
      </c>
      <c r="I233" s="81" t="str">
        <f ca="1">IFERROR(__xludf.DUMMYFUNCTION("""COMPUTED_VALUE"""),"Mayo")</f>
        <v>Mayo</v>
      </c>
      <c r="J233" s="81" t="str">
        <f ca="1">IFERROR(__xludf.DUMMYFUNCTION("""COMPUTED_VALUE"""),"AMH")</f>
        <v>AMH</v>
      </c>
      <c r="K233" s="80">
        <f ca="1">IFERROR(__xludf.DUMMYFUNCTION("""COMPUTED_VALUE"""),0)</f>
        <v>0</v>
      </c>
      <c r="L233" s="81" t="str">
        <f ca="1">IFERROR(__xludf.DUMMYFUNCTION("""COMPUTED_VALUE"""),"TRIMESTRE 2")</f>
        <v>TRIMESTRE 2</v>
      </c>
      <c r="M233" s="81" t="str">
        <f ca="1">IFERROR(__xludf.DUMMYFUNCTION("""COMPUTED_VALUE"""),"ADULTO MAYOR HOMBRE")</f>
        <v>ADULTO MAYOR HOMBRE</v>
      </c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</row>
    <row r="234" spans="1:26">
      <c r="A234" s="79" t="str">
        <f ca="1">IFERROR(__xludf.DUMMYFUNCTION("""COMPUTED_VALUE"""),"6.1.2.0")</f>
        <v>6.1.2.0</v>
      </c>
      <c r="B234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4" s="79" t="str">
        <f ca="1">IFERROR(__xludf.DUMMYFUNCTION("""COMPUTED_VALUE"""),"5. Inclusión")</f>
        <v>5. Inclusión</v>
      </c>
      <c r="D234" s="79" t="str">
        <f ca="1">IFERROR(__xludf.DUMMYFUNCTION("""COMPUTED_VALUE"""),"Guadalajara sin Barreras")</f>
        <v>Guadalajara sin Barreras</v>
      </c>
      <c r="E234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4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4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4" s="79" t="str">
        <f ca="1">IFERROR(__xludf.DUMMYFUNCTION("""COMPUTED_VALUE"""),"NAS Junio")</f>
        <v>NAS Junio</v>
      </c>
      <c r="I234" s="79" t="str">
        <f ca="1">IFERROR(__xludf.DUMMYFUNCTION("""COMPUTED_VALUE"""),"Junio")</f>
        <v>Junio</v>
      </c>
      <c r="J234" s="79" t="str">
        <f ca="1">IFERROR(__xludf.DUMMYFUNCTION("""COMPUTED_VALUE"""),"NAS")</f>
        <v>NAS</v>
      </c>
      <c r="K234" s="80">
        <f ca="1">IFERROR(__xludf.DUMMYFUNCTION("""COMPUTED_VALUE"""),61)</f>
        <v>61</v>
      </c>
      <c r="L234" s="79" t="str">
        <f ca="1">IFERROR(__xludf.DUMMYFUNCTION("""COMPUTED_VALUE"""),"TRIMESTRE 2")</f>
        <v>TRIMESTRE 2</v>
      </c>
      <c r="M234" s="79" t="str">
        <f ca="1">IFERROR(__xludf.DUMMYFUNCTION("""COMPUTED_VALUE"""),"NIÑAS")</f>
        <v>NIÑAS</v>
      </c>
    </row>
    <row r="235" spans="1:26">
      <c r="A235" s="79" t="str">
        <f ca="1">IFERROR(__xludf.DUMMYFUNCTION("""COMPUTED_VALUE"""),"6.1.2.0")</f>
        <v>6.1.2.0</v>
      </c>
      <c r="B235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5" s="79" t="str">
        <f ca="1">IFERROR(__xludf.DUMMYFUNCTION("""COMPUTED_VALUE"""),"5. Inclusión")</f>
        <v>5. Inclusión</v>
      </c>
      <c r="D235" s="79" t="str">
        <f ca="1">IFERROR(__xludf.DUMMYFUNCTION("""COMPUTED_VALUE"""),"Guadalajara sin Barreras")</f>
        <v>Guadalajara sin Barreras</v>
      </c>
      <c r="E235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5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5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5" s="79" t="str">
        <f ca="1">IFERROR(__xludf.DUMMYFUNCTION("""COMPUTED_VALUE"""),"NOS Junio")</f>
        <v>NOS Junio</v>
      </c>
      <c r="I235" s="79" t="str">
        <f ca="1">IFERROR(__xludf.DUMMYFUNCTION("""COMPUTED_VALUE"""),"Junio")</f>
        <v>Junio</v>
      </c>
      <c r="J235" s="79" t="str">
        <f ca="1">IFERROR(__xludf.DUMMYFUNCTION("""COMPUTED_VALUE"""),"NOS")</f>
        <v>NOS</v>
      </c>
      <c r="K235" s="80">
        <f ca="1">IFERROR(__xludf.DUMMYFUNCTION("""COMPUTED_VALUE"""),252)</f>
        <v>252</v>
      </c>
      <c r="L235" s="79" t="str">
        <f ca="1">IFERROR(__xludf.DUMMYFUNCTION("""COMPUTED_VALUE"""),"TRIMESTRE 2")</f>
        <v>TRIMESTRE 2</v>
      </c>
      <c r="M235" s="79" t="str">
        <f ca="1">IFERROR(__xludf.DUMMYFUNCTION("""COMPUTED_VALUE"""),"NIÑOS")</f>
        <v>NIÑOS</v>
      </c>
    </row>
    <row r="236" spans="1:26">
      <c r="A236" s="79" t="str">
        <f ca="1">IFERROR(__xludf.DUMMYFUNCTION("""COMPUTED_VALUE"""),"6.1.2.0")</f>
        <v>6.1.2.0</v>
      </c>
      <c r="B236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6" s="79" t="str">
        <f ca="1">IFERROR(__xludf.DUMMYFUNCTION("""COMPUTED_VALUE"""),"5. Inclusión")</f>
        <v>5. Inclusión</v>
      </c>
      <c r="D236" s="79" t="str">
        <f ca="1">IFERROR(__xludf.DUMMYFUNCTION("""COMPUTED_VALUE"""),"Guadalajara sin Barreras")</f>
        <v>Guadalajara sin Barreras</v>
      </c>
      <c r="E236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6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6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6" s="79" t="str">
        <f ca="1">IFERROR(__xludf.DUMMYFUNCTION("""COMPUTED_VALUE"""),"AM JUNIO")</f>
        <v>AM JUNIO</v>
      </c>
      <c r="I236" s="79" t="str">
        <f ca="1">IFERROR(__xludf.DUMMYFUNCTION("""COMPUTED_VALUE"""),"Junio")</f>
        <v>Junio</v>
      </c>
      <c r="J236" s="79" t="str">
        <f ca="1">IFERROR(__xludf.DUMMYFUNCTION("""COMPUTED_VALUE"""),"AM")</f>
        <v>AM</v>
      </c>
      <c r="K236" s="80">
        <f ca="1">IFERROR(__xludf.DUMMYFUNCTION("""COMPUTED_VALUE"""),5)</f>
        <v>5</v>
      </c>
      <c r="L236" s="79" t="str">
        <f ca="1">IFERROR(__xludf.DUMMYFUNCTION("""COMPUTED_VALUE"""),"TRIMESTRE 2")</f>
        <v>TRIMESTRE 2</v>
      </c>
      <c r="M236" s="79" t="str">
        <f ca="1">IFERROR(__xludf.DUMMYFUNCTION("""COMPUTED_VALUE"""),"ADOLESCENTES MUJERES")</f>
        <v>ADOLESCENTES MUJERES</v>
      </c>
    </row>
    <row r="237" spans="1:26">
      <c r="A237" s="79" t="str">
        <f ca="1">IFERROR(__xludf.DUMMYFUNCTION("""COMPUTED_VALUE"""),"6.1.2.0")</f>
        <v>6.1.2.0</v>
      </c>
      <c r="B237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7" s="79" t="str">
        <f ca="1">IFERROR(__xludf.DUMMYFUNCTION("""COMPUTED_VALUE"""),"5. Inclusión")</f>
        <v>5. Inclusión</v>
      </c>
      <c r="D237" s="79" t="str">
        <f ca="1">IFERROR(__xludf.DUMMYFUNCTION("""COMPUTED_VALUE"""),"Guadalajara sin Barreras")</f>
        <v>Guadalajara sin Barreras</v>
      </c>
      <c r="E237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7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7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7" s="79" t="str">
        <f ca="1">IFERROR(__xludf.DUMMYFUNCTION("""COMPUTED_VALUE"""),"AH JUNIO")</f>
        <v>AH JUNIO</v>
      </c>
      <c r="I237" s="79" t="str">
        <f ca="1">IFERROR(__xludf.DUMMYFUNCTION("""COMPUTED_VALUE"""),"Junio")</f>
        <v>Junio</v>
      </c>
      <c r="J237" s="79" t="str">
        <f ca="1">IFERROR(__xludf.DUMMYFUNCTION("""COMPUTED_VALUE"""),"AH")</f>
        <v>AH</v>
      </c>
      <c r="K237" s="80">
        <f ca="1">IFERROR(__xludf.DUMMYFUNCTION("""COMPUTED_VALUE"""),15)</f>
        <v>15</v>
      </c>
      <c r="L237" s="79" t="str">
        <f ca="1">IFERROR(__xludf.DUMMYFUNCTION("""COMPUTED_VALUE"""),"TRIMESTRE 2")</f>
        <v>TRIMESTRE 2</v>
      </c>
      <c r="M237" s="79" t="str">
        <f ca="1">IFERROR(__xludf.DUMMYFUNCTION("""COMPUTED_VALUE"""),"ADOLESCENTES HOMBRES")</f>
        <v>ADOLESCENTES HOMBRES</v>
      </c>
    </row>
    <row r="238" spans="1:26">
      <c r="A238" s="79" t="str">
        <f ca="1">IFERROR(__xludf.DUMMYFUNCTION("""COMPUTED_VALUE"""),"6.1.2.0")</f>
        <v>6.1.2.0</v>
      </c>
      <c r="B238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8" s="79" t="str">
        <f ca="1">IFERROR(__xludf.DUMMYFUNCTION("""COMPUTED_VALUE"""),"5. Inclusión")</f>
        <v>5. Inclusión</v>
      </c>
      <c r="D238" s="79" t="str">
        <f ca="1">IFERROR(__xludf.DUMMYFUNCTION("""COMPUTED_VALUE"""),"Guadalajara sin Barreras")</f>
        <v>Guadalajara sin Barreras</v>
      </c>
      <c r="E238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8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8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8" s="79" t="str">
        <f ca="1">IFERROR(__xludf.DUMMYFUNCTION("""COMPUTED_VALUE"""),"MUJ Junio")</f>
        <v>MUJ Junio</v>
      </c>
      <c r="I238" s="79" t="str">
        <f ca="1">IFERROR(__xludf.DUMMYFUNCTION("""COMPUTED_VALUE"""),"Junio")</f>
        <v>Junio</v>
      </c>
      <c r="J238" s="79" t="str">
        <f ca="1">IFERROR(__xludf.DUMMYFUNCTION("""COMPUTED_VALUE"""),"MUJ")</f>
        <v>MUJ</v>
      </c>
      <c r="K238" s="80">
        <f ca="1">IFERROR(__xludf.DUMMYFUNCTION("""COMPUTED_VALUE"""),15)</f>
        <v>15</v>
      </c>
      <c r="L238" s="79" t="str">
        <f ca="1">IFERROR(__xludf.DUMMYFUNCTION("""COMPUTED_VALUE"""),"TRIMESTRE 2")</f>
        <v>TRIMESTRE 2</v>
      </c>
      <c r="M238" s="79" t="str">
        <f ca="1">IFERROR(__xludf.DUMMYFUNCTION("""COMPUTED_VALUE"""),"MUJERES ADULTAS")</f>
        <v>MUJERES ADULTAS</v>
      </c>
    </row>
    <row r="239" spans="1:26">
      <c r="A239" s="79" t="str">
        <f ca="1">IFERROR(__xludf.DUMMYFUNCTION("""COMPUTED_VALUE"""),"6.1.2.0")</f>
        <v>6.1.2.0</v>
      </c>
      <c r="B239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39" s="79" t="str">
        <f ca="1">IFERROR(__xludf.DUMMYFUNCTION("""COMPUTED_VALUE"""),"5. Inclusión")</f>
        <v>5. Inclusión</v>
      </c>
      <c r="D239" s="79" t="str">
        <f ca="1">IFERROR(__xludf.DUMMYFUNCTION("""COMPUTED_VALUE"""),"Guadalajara sin Barreras")</f>
        <v>Guadalajara sin Barreras</v>
      </c>
      <c r="E239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39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39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39" s="79" t="str">
        <f ca="1">IFERROR(__xludf.DUMMYFUNCTION("""COMPUTED_VALUE"""),"HOM Junio")</f>
        <v>HOM Junio</v>
      </c>
      <c r="I239" s="79" t="str">
        <f ca="1">IFERROR(__xludf.DUMMYFUNCTION("""COMPUTED_VALUE"""),"Junio")</f>
        <v>Junio</v>
      </c>
      <c r="J239" s="79" t="str">
        <f ca="1">IFERROR(__xludf.DUMMYFUNCTION("""COMPUTED_VALUE"""),"HOM")</f>
        <v>HOM</v>
      </c>
      <c r="K239" s="80">
        <f ca="1">IFERROR(__xludf.DUMMYFUNCTION("""COMPUTED_VALUE"""),24)</f>
        <v>24</v>
      </c>
      <c r="L239" s="79" t="str">
        <f ca="1">IFERROR(__xludf.DUMMYFUNCTION("""COMPUTED_VALUE"""),"TRIMESTRE 2")</f>
        <v>TRIMESTRE 2</v>
      </c>
      <c r="M239" s="79" t="str">
        <f ca="1">IFERROR(__xludf.DUMMYFUNCTION("""COMPUTED_VALUE"""),"HOMBRES ADULTOS")</f>
        <v>HOMBRES ADULTOS</v>
      </c>
    </row>
    <row r="240" spans="1:26">
      <c r="A240" s="79" t="str">
        <f ca="1">IFERROR(__xludf.DUMMYFUNCTION("""COMPUTED_VALUE"""),"6.1.2.0")</f>
        <v>6.1.2.0</v>
      </c>
      <c r="B240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0" s="79" t="str">
        <f ca="1">IFERROR(__xludf.DUMMYFUNCTION("""COMPUTED_VALUE"""),"5. Inclusión")</f>
        <v>5. Inclusión</v>
      </c>
      <c r="D240" s="79" t="str">
        <f ca="1">IFERROR(__xludf.DUMMYFUNCTION("""COMPUTED_VALUE"""),"Guadalajara sin Barreras")</f>
        <v>Guadalajara sin Barreras</v>
      </c>
      <c r="E240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0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0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0" s="79" t="str">
        <f ca="1">IFERROR(__xludf.DUMMYFUNCTION("""COMPUTED_VALUE"""),"AMM Junio")</f>
        <v>AMM Junio</v>
      </c>
      <c r="I240" s="79" t="str">
        <f ca="1">IFERROR(__xludf.DUMMYFUNCTION("""COMPUTED_VALUE"""),"Junio")</f>
        <v>Junio</v>
      </c>
      <c r="J240" s="79" t="str">
        <f ca="1">IFERROR(__xludf.DUMMYFUNCTION("""COMPUTED_VALUE"""),"AMM")</f>
        <v>AMM</v>
      </c>
      <c r="K240" s="80">
        <f ca="1">IFERROR(__xludf.DUMMYFUNCTION("""COMPUTED_VALUE"""),0)</f>
        <v>0</v>
      </c>
      <c r="L240" s="79" t="str">
        <f ca="1">IFERROR(__xludf.DUMMYFUNCTION("""COMPUTED_VALUE"""),"TRIMESTRE 2")</f>
        <v>TRIMESTRE 2</v>
      </c>
      <c r="M240" s="79" t="str">
        <f ca="1">IFERROR(__xludf.DUMMYFUNCTION("""COMPUTED_VALUE"""),"ADULTA MAYOR MUJER")</f>
        <v>ADULTA MAYOR MUJER</v>
      </c>
    </row>
    <row r="241" spans="1:13">
      <c r="A241" s="79" t="str">
        <f ca="1">IFERROR(__xludf.DUMMYFUNCTION("""COMPUTED_VALUE"""),"6.1.2.0")</f>
        <v>6.1.2.0</v>
      </c>
      <c r="B241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1" s="79" t="str">
        <f ca="1">IFERROR(__xludf.DUMMYFUNCTION("""COMPUTED_VALUE"""),"5. Inclusión")</f>
        <v>5. Inclusión</v>
      </c>
      <c r="D241" s="79" t="str">
        <f ca="1">IFERROR(__xludf.DUMMYFUNCTION("""COMPUTED_VALUE"""),"Guadalajara sin Barreras")</f>
        <v>Guadalajara sin Barreras</v>
      </c>
      <c r="E241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1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1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1" s="79" t="str">
        <f ca="1">IFERROR(__xludf.DUMMYFUNCTION("""COMPUTED_VALUE"""),"AMH Junio")</f>
        <v>AMH Junio</v>
      </c>
      <c r="I241" s="79" t="str">
        <f ca="1">IFERROR(__xludf.DUMMYFUNCTION("""COMPUTED_VALUE"""),"Junio")</f>
        <v>Junio</v>
      </c>
      <c r="J241" s="79" t="str">
        <f ca="1">IFERROR(__xludf.DUMMYFUNCTION("""COMPUTED_VALUE"""),"AMH")</f>
        <v>AMH</v>
      </c>
      <c r="K241" s="80">
        <f ca="1">IFERROR(__xludf.DUMMYFUNCTION("""COMPUTED_VALUE"""),0)</f>
        <v>0</v>
      </c>
      <c r="L241" s="79" t="str">
        <f ca="1">IFERROR(__xludf.DUMMYFUNCTION("""COMPUTED_VALUE"""),"TRIMESTRE 2")</f>
        <v>TRIMESTRE 2</v>
      </c>
      <c r="M241" s="79" t="str">
        <f ca="1">IFERROR(__xludf.DUMMYFUNCTION("""COMPUTED_VALUE"""),"ADULTO MAYOR HOMBRE")</f>
        <v>ADULTO MAYOR HOMBRE</v>
      </c>
    </row>
    <row r="242" spans="1:13">
      <c r="A242" s="79" t="str">
        <f ca="1">IFERROR(__xludf.DUMMYFUNCTION("""COMPUTED_VALUE"""),"6.1.2.0")</f>
        <v>6.1.2.0</v>
      </c>
      <c r="B242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2" s="79" t="str">
        <f ca="1">IFERROR(__xludf.DUMMYFUNCTION("""COMPUTED_VALUE"""),"5. Inclusión")</f>
        <v>5. Inclusión</v>
      </c>
      <c r="D242" s="79" t="str">
        <f ca="1">IFERROR(__xludf.DUMMYFUNCTION("""COMPUTED_VALUE"""),"Guadalajara sin Barreras")</f>
        <v>Guadalajara sin Barreras</v>
      </c>
      <c r="E242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2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2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2" s="79" t="str">
        <f ca="1">IFERROR(__xludf.DUMMYFUNCTION("""COMPUTED_VALUE"""),"NAS Julio")</f>
        <v>NAS Julio</v>
      </c>
      <c r="I242" s="79" t="str">
        <f ca="1">IFERROR(__xludf.DUMMYFUNCTION("""COMPUTED_VALUE"""),"Julio")</f>
        <v>Julio</v>
      </c>
      <c r="J242" s="79" t="str">
        <f ca="1">IFERROR(__xludf.DUMMYFUNCTION("""COMPUTED_VALUE"""),"NAS")</f>
        <v>NAS</v>
      </c>
      <c r="K242" s="80">
        <f ca="1">IFERROR(__xludf.DUMMYFUNCTION("""COMPUTED_VALUE"""),62)</f>
        <v>62</v>
      </c>
      <c r="L242" s="79" t="str">
        <f ca="1">IFERROR(__xludf.DUMMYFUNCTION("""COMPUTED_VALUE"""),"TRIMESTRE 3")</f>
        <v>TRIMESTRE 3</v>
      </c>
      <c r="M242" s="79" t="str">
        <f ca="1">IFERROR(__xludf.DUMMYFUNCTION("""COMPUTED_VALUE"""),"NIÑAS")</f>
        <v>NIÑAS</v>
      </c>
    </row>
    <row r="243" spans="1:13">
      <c r="A243" s="79" t="str">
        <f ca="1">IFERROR(__xludf.DUMMYFUNCTION("""COMPUTED_VALUE"""),"6.1.2.0")</f>
        <v>6.1.2.0</v>
      </c>
      <c r="B243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3" s="79" t="str">
        <f ca="1">IFERROR(__xludf.DUMMYFUNCTION("""COMPUTED_VALUE"""),"5. Inclusión")</f>
        <v>5. Inclusión</v>
      </c>
      <c r="D243" s="79" t="str">
        <f ca="1">IFERROR(__xludf.DUMMYFUNCTION("""COMPUTED_VALUE"""),"Guadalajara sin Barreras")</f>
        <v>Guadalajara sin Barreras</v>
      </c>
      <c r="E243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3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3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3" s="79" t="str">
        <f ca="1">IFERROR(__xludf.DUMMYFUNCTION("""COMPUTED_VALUE"""),"NOS Julio")</f>
        <v>NOS Julio</v>
      </c>
      <c r="I243" s="79" t="str">
        <f ca="1">IFERROR(__xludf.DUMMYFUNCTION("""COMPUTED_VALUE"""),"Julio")</f>
        <v>Julio</v>
      </c>
      <c r="J243" s="79" t="str">
        <f ca="1">IFERROR(__xludf.DUMMYFUNCTION("""COMPUTED_VALUE"""),"NOS")</f>
        <v>NOS</v>
      </c>
      <c r="K243" s="80">
        <f ca="1">IFERROR(__xludf.DUMMYFUNCTION("""COMPUTED_VALUE"""),258)</f>
        <v>258</v>
      </c>
      <c r="L243" s="79" t="str">
        <f ca="1">IFERROR(__xludf.DUMMYFUNCTION("""COMPUTED_VALUE"""),"TRIMESTRE 3")</f>
        <v>TRIMESTRE 3</v>
      </c>
      <c r="M243" s="79" t="str">
        <f ca="1">IFERROR(__xludf.DUMMYFUNCTION("""COMPUTED_VALUE"""),"NIÑOS")</f>
        <v>NIÑOS</v>
      </c>
    </row>
    <row r="244" spans="1:13">
      <c r="A244" s="79" t="str">
        <f ca="1">IFERROR(__xludf.DUMMYFUNCTION("""COMPUTED_VALUE"""),"6.1.2.0")</f>
        <v>6.1.2.0</v>
      </c>
      <c r="B244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4" s="79" t="str">
        <f ca="1">IFERROR(__xludf.DUMMYFUNCTION("""COMPUTED_VALUE"""),"5. Inclusión")</f>
        <v>5. Inclusión</v>
      </c>
      <c r="D244" s="79" t="str">
        <f ca="1">IFERROR(__xludf.DUMMYFUNCTION("""COMPUTED_VALUE"""),"Guadalajara sin Barreras")</f>
        <v>Guadalajara sin Barreras</v>
      </c>
      <c r="E244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4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4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4" s="79" t="str">
        <f ca="1">IFERROR(__xludf.DUMMYFUNCTION("""COMPUTED_VALUE"""),"AM JULIO")</f>
        <v>AM JULIO</v>
      </c>
      <c r="I244" s="79" t="str">
        <f ca="1">IFERROR(__xludf.DUMMYFUNCTION("""COMPUTED_VALUE"""),"Julio")</f>
        <v>Julio</v>
      </c>
      <c r="J244" s="79" t="str">
        <f ca="1">IFERROR(__xludf.DUMMYFUNCTION("""COMPUTED_VALUE"""),"AM")</f>
        <v>AM</v>
      </c>
      <c r="K244" s="80">
        <f ca="1">IFERROR(__xludf.DUMMYFUNCTION("""COMPUTED_VALUE"""),6)</f>
        <v>6</v>
      </c>
      <c r="L244" s="79" t="str">
        <f ca="1">IFERROR(__xludf.DUMMYFUNCTION("""COMPUTED_VALUE"""),"TRIMESTRE 3")</f>
        <v>TRIMESTRE 3</v>
      </c>
      <c r="M244" s="79" t="str">
        <f ca="1">IFERROR(__xludf.DUMMYFUNCTION("""COMPUTED_VALUE"""),"ADOLESCENTES MUJERES")</f>
        <v>ADOLESCENTES MUJERES</v>
      </c>
    </row>
    <row r="245" spans="1:13">
      <c r="A245" s="79" t="str">
        <f ca="1">IFERROR(__xludf.DUMMYFUNCTION("""COMPUTED_VALUE"""),"6.1.2.0")</f>
        <v>6.1.2.0</v>
      </c>
      <c r="B245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5" s="79" t="str">
        <f ca="1">IFERROR(__xludf.DUMMYFUNCTION("""COMPUTED_VALUE"""),"5. Inclusión")</f>
        <v>5. Inclusión</v>
      </c>
      <c r="D245" s="79" t="str">
        <f ca="1">IFERROR(__xludf.DUMMYFUNCTION("""COMPUTED_VALUE"""),"Guadalajara sin Barreras")</f>
        <v>Guadalajara sin Barreras</v>
      </c>
      <c r="E245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5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5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5" s="79" t="str">
        <f ca="1">IFERROR(__xludf.DUMMYFUNCTION("""COMPUTED_VALUE"""),"AH JULIO")</f>
        <v>AH JULIO</v>
      </c>
      <c r="I245" s="79" t="str">
        <f ca="1">IFERROR(__xludf.DUMMYFUNCTION("""COMPUTED_VALUE"""),"Julio")</f>
        <v>Julio</v>
      </c>
      <c r="J245" s="79" t="str">
        <f ca="1">IFERROR(__xludf.DUMMYFUNCTION("""COMPUTED_VALUE"""),"AH")</f>
        <v>AH</v>
      </c>
      <c r="K245" s="80">
        <f ca="1">IFERROR(__xludf.DUMMYFUNCTION("""COMPUTED_VALUE"""),15)</f>
        <v>15</v>
      </c>
      <c r="L245" s="79" t="str">
        <f ca="1">IFERROR(__xludf.DUMMYFUNCTION("""COMPUTED_VALUE"""),"TRIMESTRE 3")</f>
        <v>TRIMESTRE 3</v>
      </c>
      <c r="M245" s="79" t="str">
        <f ca="1">IFERROR(__xludf.DUMMYFUNCTION("""COMPUTED_VALUE"""),"ADOLESCENTES HOMBRES")</f>
        <v>ADOLESCENTES HOMBRES</v>
      </c>
    </row>
    <row r="246" spans="1:13">
      <c r="A246" s="79" t="str">
        <f ca="1">IFERROR(__xludf.DUMMYFUNCTION("""COMPUTED_VALUE"""),"6.1.2.0")</f>
        <v>6.1.2.0</v>
      </c>
      <c r="B246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6" s="79" t="str">
        <f ca="1">IFERROR(__xludf.DUMMYFUNCTION("""COMPUTED_VALUE"""),"5. Inclusión")</f>
        <v>5. Inclusión</v>
      </c>
      <c r="D246" s="79" t="str">
        <f ca="1">IFERROR(__xludf.DUMMYFUNCTION("""COMPUTED_VALUE"""),"Guadalajara sin Barreras")</f>
        <v>Guadalajara sin Barreras</v>
      </c>
      <c r="E246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6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6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6" s="79" t="str">
        <f ca="1">IFERROR(__xludf.DUMMYFUNCTION("""COMPUTED_VALUE"""),"MUJ Julio")</f>
        <v>MUJ Julio</v>
      </c>
      <c r="I246" s="79" t="str">
        <f ca="1">IFERROR(__xludf.DUMMYFUNCTION("""COMPUTED_VALUE"""),"Julio")</f>
        <v>Julio</v>
      </c>
      <c r="J246" s="79" t="str">
        <f ca="1">IFERROR(__xludf.DUMMYFUNCTION("""COMPUTED_VALUE"""),"MUJ")</f>
        <v>MUJ</v>
      </c>
      <c r="K246" s="80">
        <f ca="1">IFERROR(__xludf.DUMMYFUNCTION("""COMPUTED_VALUE"""),15)</f>
        <v>15</v>
      </c>
      <c r="L246" s="79" t="str">
        <f ca="1">IFERROR(__xludf.DUMMYFUNCTION("""COMPUTED_VALUE"""),"TRIMESTRE 3")</f>
        <v>TRIMESTRE 3</v>
      </c>
      <c r="M246" s="79" t="str">
        <f ca="1">IFERROR(__xludf.DUMMYFUNCTION("""COMPUTED_VALUE"""),"MUJERES ADULTAS")</f>
        <v>MUJERES ADULTAS</v>
      </c>
    </row>
    <row r="247" spans="1:13">
      <c r="A247" s="79" t="str">
        <f ca="1">IFERROR(__xludf.DUMMYFUNCTION("""COMPUTED_VALUE"""),"6.1.2.0")</f>
        <v>6.1.2.0</v>
      </c>
      <c r="B247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7" s="79" t="str">
        <f ca="1">IFERROR(__xludf.DUMMYFUNCTION("""COMPUTED_VALUE"""),"5. Inclusión")</f>
        <v>5. Inclusión</v>
      </c>
      <c r="D247" s="79" t="str">
        <f ca="1">IFERROR(__xludf.DUMMYFUNCTION("""COMPUTED_VALUE"""),"Guadalajara sin Barreras")</f>
        <v>Guadalajara sin Barreras</v>
      </c>
      <c r="E247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7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7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7" s="79" t="str">
        <f ca="1">IFERROR(__xludf.DUMMYFUNCTION("""COMPUTED_VALUE"""),"HOM Julio")</f>
        <v>HOM Julio</v>
      </c>
      <c r="I247" s="79" t="str">
        <f ca="1">IFERROR(__xludf.DUMMYFUNCTION("""COMPUTED_VALUE"""),"Julio")</f>
        <v>Julio</v>
      </c>
      <c r="J247" s="79" t="str">
        <f ca="1">IFERROR(__xludf.DUMMYFUNCTION("""COMPUTED_VALUE"""),"HOM")</f>
        <v>HOM</v>
      </c>
      <c r="K247" s="80">
        <f ca="1">IFERROR(__xludf.DUMMYFUNCTION("""COMPUTED_VALUE"""),26)</f>
        <v>26</v>
      </c>
      <c r="L247" s="79" t="str">
        <f ca="1">IFERROR(__xludf.DUMMYFUNCTION("""COMPUTED_VALUE"""),"TRIMESTRE 3")</f>
        <v>TRIMESTRE 3</v>
      </c>
      <c r="M247" s="79" t="str">
        <f ca="1">IFERROR(__xludf.DUMMYFUNCTION("""COMPUTED_VALUE"""),"HOMBRES ADULTOS")</f>
        <v>HOMBRES ADULTOS</v>
      </c>
    </row>
    <row r="248" spans="1:13">
      <c r="A248" s="79" t="str">
        <f ca="1">IFERROR(__xludf.DUMMYFUNCTION("""COMPUTED_VALUE"""),"6.1.2.0")</f>
        <v>6.1.2.0</v>
      </c>
      <c r="B248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8" s="79" t="str">
        <f ca="1">IFERROR(__xludf.DUMMYFUNCTION("""COMPUTED_VALUE"""),"5. Inclusión")</f>
        <v>5. Inclusión</v>
      </c>
      <c r="D248" s="79" t="str">
        <f ca="1">IFERROR(__xludf.DUMMYFUNCTION("""COMPUTED_VALUE"""),"Guadalajara sin Barreras")</f>
        <v>Guadalajara sin Barreras</v>
      </c>
      <c r="E248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8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8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8" s="79" t="str">
        <f ca="1">IFERROR(__xludf.DUMMYFUNCTION("""COMPUTED_VALUE"""),"AMM Julio")</f>
        <v>AMM Julio</v>
      </c>
      <c r="I248" s="79" t="str">
        <f ca="1">IFERROR(__xludf.DUMMYFUNCTION("""COMPUTED_VALUE"""),"Julio")</f>
        <v>Julio</v>
      </c>
      <c r="J248" s="79" t="str">
        <f ca="1">IFERROR(__xludf.DUMMYFUNCTION("""COMPUTED_VALUE"""),"AMM")</f>
        <v>AMM</v>
      </c>
      <c r="K248" s="80">
        <f ca="1">IFERROR(__xludf.DUMMYFUNCTION("""COMPUTED_VALUE"""),0)</f>
        <v>0</v>
      </c>
      <c r="L248" s="79" t="str">
        <f ca="1">IFERROR(__xludf.DUMMYFUNCTION("""COMPUTED_VALUE"""),"TRIMESTRE 3")</f>
        <v>TRIMESTRE 3</v>
      </c>
      <c r="M248" s="79" t="str">
        <f ca="1">IFERROR(__xludf.DUMMYFUNCTION("""COMPUTED_VALUE"""),"ADULTA MAYOR MUJER")</f>
        <v>ADULTA MAYOR MUJER</v>
      </c>
    </row>
    <row r="249" spans="1:13">
      <c r="A249" s="79" t="str">
        <f ca="1">IFERROR(__xludf.DUMMYFUNCTION("""COMPUTED_VALUE"""),"6.1.2.0")</f>
        <v>6.1.2.0</v>
      </c>
      <c r="B249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49" s="79" t="str">
        <f ca="1">IFERROR(__xludf.DUMMYFUNCTION("""COMPUTED_VALUE"""),"5. Inclusión")</f>
        <v>5. Inclusión</v>
      </c>
      <c r="D249" s="79" t="str">
        <f ca="1">IFERROR(__xludf.DUMMYFUNCTION("""COMPUTED_VALUE"""),"Guadalajara sin Barreras")</f>
        <v>Guadalajara sin Barreras</v>
      </c>
      <c r="E249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49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49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49" s="79" t="str">
        <f ca="1">IFERROR(__xludf.DUMMYFUNCTION("""COMPUTED_VALUE"""),"AMH Julio")</f>
        <v>AMH Julio</v>
      </c>
      <c r="I249" s="79" t="str">
        <f ca="1">IFERROR(__xludf.DUMMYFUNCTION("""COMPUTED_VALUE"""),"Julio")</f>
        <v>Julio</v>
      </c>
      <c r="J249" s="79" t="str">
        <f ca="1">IFERROR(__xludf.DUMMYFUNCTION("""COMPUTED_VALUE"""),"AMH")</f>
        <v>AMH</v>
      </c>
      <c r="K249" s="80">
        <f ca="1">IFERROR(__xludf.DUMMYFUNCTION("""COMPUTED_VALUE"""),0)</f>
        <v>0</v>
      </c>
      <c r="L249" s="79" t="str">
        <f ca="1">IFERROR(__xludf.DUMMYFUNCTION("""COMPUTED_VALUE"""),"TRIMESTRE 3")</f>
        <v>TRIMESTRE 3</v>
      </c>
      <c r="M249" s="79" t="str">
        <f ca="1">IFERROR(__xludf.DUMMYFUNCTION("""COMPUTED_VALUE"""),"ADULTO MAYOR HOMBRE")</f>
        <v>ADULTO MAYOR HOMBRE</v>
      </c>
    </row>
    <row r="250" spans="1:13">
      <c r="A250" s="79" t="str">
        <f ca="1">IFERROR(__xludf.DUMMYFUNCTION("""COMPUTED_VALUE"""),"6.1.2.0")</f>
        <v>6.1.2.0</v>
      </c>
      <c r="B250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0" s="79" t="str">
        <f ca="1">IFERROR(__xludf.DUMMYFUNCTION("""COMPUTED_VALUE"""),"5. Inclusión")</f>
        <v>5. Inclusión</v>
      </c>
      <c r="D250" s="79" t="str">
        <f ca="1">IFERROR(__xludf.DUMMYFUNCTION("""COMPUTED_VALUE"""),"Guadalajara sin Barreras")</f>
        <v>Guadalajara sin Barreras</v>
      </c>
      <c r="E250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0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0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0" s="79" t="str">
        <f ca="1">IFERROR(__xludf.DUMMYFUNCTION("""COMPUTED_VALUE"""),"NAS Agosto")</f>
        <v>NAS Agosto</v>
      </c>
      <c r="I250" s="79" t="str">
        <f ca="1">IFERROR(__xludf.DUMMYFUNCTION("""COMPUTED_VALUE"""),"Agosto")</f>
        <v>Agosto</v>
      </c>
      <c r="J250" s="79" t="str">
        <f ca="1">IFERROR(__xludf.DUMMYFUNCTION("""COMPUTED_VALUE"""),"NAS")</f>
        <v>NAS</v>
      </c>
      <c r="K250" s="80">
        <f ca="1">IFERROR(__xludf.DUMMYFUNCTION("""COMPUTED_VALUE"""),61)</f>
        <v>61</v>
      </c>
      <c r="L250" s="79" t="str">
        <f ca="1">IFERROR(__xludf.DUMMYFUNCTION("""COMPUTED_VALUE"""),"TRIMESTRE 3")</f>
        <v>TRIMESTRE 3</v>
      </c>
      <c r="M250" s="79" t="str">
        <f ca="1">IFERROR(__xludf.DUMMYFUNCTION("""COMPUTED_VALUE"""),"NIÑAS")</f>
        <v>NIÑAS</v>
      </c>
    </row>
    <row r="251" spans="1:13">
      <c r="A251" s="79" t="str">
        <f ca="1">IFERROR(__xludf.DUMMYFUNCTION("""COMPUTED_VALUE"""),"6.1.2.0")</f>
        <v>6.1.2.0</v>
      </c>
      <c r="B251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1" s="79" t="str">
        <f ca="1">IFERROR(__xludf.DUMMYFUNCTION("""COMPUTED_VALUE"""),"5. Inclusión")</f>
        <v>5. Inclusión</v>
      </c>
      <c r="D251" s="79" t="str">
        <f ca="1">IFERROR(__xludf.DUMMYFUNCTION("""COMPUTED_VALUE"""),"Guadalajara sin Barreras")</f>
        <v>Guadalajara sin Barreras</v>
      </c>
      <c r="E251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1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1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1" s="79" t="str">
        <f ca="1">IFERROR(__xludf.DUMMYFUNCTION("""COMPUTED_VALUE"""),"NOS Agosto")</f>
        <v>NOS Agosto</v>
      </c>
      <c r="I251" s="79" t="str">
        <f ca="1">IFERROR(__xludf.DUMMYFUNCTION("""COMPUTED_VALUE"""),"Agosto")</f>
        <v>Agosto</v>
      </c>
      <c r="J251" s="79" t="str">
        <f ca="1">IFERROR(__xludf.DUMMYFUNCTION("""COMPUTED_VALUE"""),"NOS")</f>
        <v>NOS</v>
      </c>
      <c r="K251" s="80">
        <f ca="1">IFERROR(__xludf.DUMMYFUNCTION("""COMPUTED_VALUE"""),266)</f>
        <v>266</v>
      </c>
      <c r="L251" s="79" t="str">
        <f ca="1">IFERROR(__xludf.DUMMYFUNCTION("""COMPUTED_VALUE"""),"TRIMESTRE 3")</f>
        <v>TRIMESTRE 3</v>
      </c>
      <c r="M251" s="79" t="str">
        <f ca="1">IFERROR(__xludf.DUMMYFUNCTION("""COMPUTED_VALUE"""),"NIÑOS")</f>
        <v>NIÑOS</v>
      </c>
    </row>
    <row r="252" spans="1:13">
      <c r="A252" s="79" t="str">
        <f ca="1">IFERROR(__xludf.DUMMYFUNCTION("""COMPUTED_VALUE"""),"6.1.2.0")</f>
        <v>6.1.2.0</v>
      </c>
      <c r="B252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2" s="79" t="str">
        <f ca="1">IFERROR(__xludf.DUMMYFUNCTION("""COMPUTED_VALUE"""),"5. Inclusión")</f>
        <v>5. Inclusión</v>
      </c>
      <c r="D252" s="79" t="str">
        <f ca="1">IFERROR(__xludf.DUMMYFUNCTION("""COMPUTED_VALUE"""),"Guadalajara sin Barreras")</f>
        <v>Guadalajara sin Barreras</v>
      </c>
      <c r="E252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2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2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2" s="79" t="str">
        <f ca="1">IFERROR(__xludf.DUMMYFUNCTION("""COMPUTED_VALUE"""),"AM AGOSTO")</f>
        <v>AM AGOSTO</v>
      </c>
      <c r="I252" s="79" t="str">
        <f ca="1">IFERROR(__xludf.DUMMYFUNCTION("""COMPUTED_VALUE"""),"Agosto")</f>
        <v>Agosto</v>
      </c>
      <c r="J252" s="79" t="str">
        <f ca="1">IFERROR(__xludf.DUMMYFUNCTION("""COMPUTED_VALUE"""),"AM")</f>
        <v>AM</v>
      </c>
      <c r="K252" s="80">
        <f ca="1">IFERROR(__xludf.DUMMYFUNCTION("""COMPUTED_VALUE"""),8)</f>
        <v>8</v>
      </c>
      <c r="L252" s="79" t="str">
        <f ca="1">IFERROR(__xludf.DUMMYFUNCTION("""COMPUTED_VALUE"""),"TRIMESTRE 3")</f>
        <v>TRIMESTRE 3</v>
      </c>
      <c r="M252" s="79" t="str">
        <f ca="1">IFERROR(__xludf.DUMMYFUNCTION("""COMPUTED_VALUE"""),"ADOLESCENTES MUJERES")</f>
        <v>ADOLESCENTES MUJERES</v>
      </c>
    </row>
    <row r="253" spans="1:13">
      <c r="A253" s="79" t="str">
        <f ca="1">IFERROR(__xludf.DUMMYFUNCTION("""COMPUTED_VALUE"""),"6.1.2.0")</f>
        <v>6.1.2.0</v>
      </c>
      <c r="B253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3" s="79" t="str">
        <f ca="1">IFERROR(__xludf.DUMMYFUNCTION("""COMPUTED_VALUE"""),"5. Inclusión")</f>
        <v>5. Inclusión</v>
      </c>
      <c r="D253" s="79" t="str">
        <f ca="1">IFERROR(__xludf.DUMMYFUNCTION("""COMPUTED_VALUE"""),"Guadalajara sin Barreras")</f>
        <v>Guadalajara sin Barreras</v>
      </c>
      <c r="E253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3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3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3" s="79" t="str">
        <f ca="1">IFERROR(__xludf.DUMMYFUNCTION("""COMPUTED_VALUE"""),"AH AGOSTO")</f>
        <v>AH AGOSTO</v>
      </c>
      <c r="I253" s="79" t="str">
        <f ca="1">IFERROR(__xludf.DUMMYFUNCTION("""COMPUTED_VALUE"""),"Agosto")</f>
        <v>Agosto</v>
      </c>
      <c r="J253" s="79" t="str">
        <f ca="1">IFERROR(__xludf.DUMMYFUNCTION("""COMPUTED_VALUE"""),"AH")</f>
        <v>AH</v>
      </c>
      <c r="K253" s="80">
        <f ca="1">IFERROR(__xludf.DUMMYFUNCTION("""COMPUTED_VALUE"""),15)</f>
        <v>15</v>
      </c>
      <c r="L253" s="79" t="str">
        <f ca="1">IFERROR(__xludf.DUMMYFUNCTION("""COMPUTED_VALUE"""),"TRIMESTRE 3")</f>
        <v>TRIMESTRE 3</v>
      </c>
      <c r="M253" s="79" t="str">
        <f ca="1">IFERROR(__xludf.DUMMYFUNCTION("""COMPUTED_VALUE"""),"ADOLESCENTES HOMBRES")</f>
        <v>ADOLESCENTES HOMBRES</v>
      </c>
    </row>
    <row r="254" spans="1:13">
      <c r="A254" s="79" t="str">
        <f ca="1">IFERROR(__xludf.DUMMYFUNCTION("""COMPUTED_VALUE"""),"6.1.2.0")</f>
        <v>6.1.2.0</v>
      </c>
      <c r="B254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4" s="79" t="str">
        <f ca="1">IFERROR(__xludf.DUMMYFUNCTION("""COMPUTED_VALUE"""),"5. Inclusión")</f>
        <v>5. Inclusión</v>
      </c>
      <c r="D254" s="79" t="str">
        <f ca="1">IFERROR(__xludf.DUMMYFUNCTION("""COMPUTED_VALUE"""),"Guadalajara sin Barreras")</f>
        <v>Guadalajara sin Barreras</v>
      </c>
      <c r="E254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4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4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4" s="79" t="str">
        <f ca="1">IFERROR(__xludf.DUMMYFUNCTION("""COMPUTED_VALUE"""),"MUJ Agosto")</f>
        <v>MUJ Agosto</v>
      </c>
      <c r="I254" s="79" t="str">
        <f ca="1">IFERROR(__xludf.DUMMYFUNCTION("""COMPUTED_VALUE"""),"Agosto")</f>
        <v>Agosto</v>
      </c>
      <c r="J254" s="79" t="str">
        <f ca="1">IFERROR(__xludf.DUMMYFUNCTION("""COMPUTED_VALUE"""),"MUJ")</f>
        <v>MUJ</v>
      </c>
      <c r="K254" s="80">
        <f ca="1">IFERROR(__xludf.DUMMYFUNCTION("""COMPUTED_VALUE"""),15)</f>
        <v>15</v>
      </c>
      <c r="L254" s="79" t="str">
        <f ca="1">IFERROR(__xludf.DUMMYFUNCTION("""COMPUTED_VALUE"""),"TRIMESTRE 3")</f>
        <v>TRIMESTRE 3</v>
      </c>
      <c r="M254" s="79" t="str">
        <f ca="1">IFERROR(__xludf.DUMMYFUNCTION("""COMPUTED_VALUE"""),"MUJERES ADULTAS")</f>
        <v>MUJERES ADULTAS</v>
      </c>
    </row>
    <row r="255" spans="1:13">
      <c r="A255" s="79" t="str">
        <f ca="1">IFERROR(__xludf.DUMMYFUNCTION("""COMPUTED_VALUE"""),"6.1.2.0")</f>
        <v>6.1.2.0</v>
      </c>
      <c r="B255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5" s="79" t="str">
        <f ca="1">IFERROR(__xludf.DUMMYFUNCTION("""COMPUTED_VALUE"""),"5. Inclusión")</f>
        <v>5. Inclusión</v>
      </c>
      <c r="D255" s="79" t="str">
        <f ca="1">IFERROR(__xludf.DUMMYFUNCTION("""COMPUTED_VALUE"""),"Guadalajara sin Barreras")</f>
        <v>Guadalajara sin Barreras</v>
      </c>
      <c r="E255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5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5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5" s="79" t="str">
        <f ca="1">IFERROR(__xludf.DUMMYFUNCTION("""COMPUTED_VALUE"""),"HOM Agosto")</f>
        <v>HOM Agosto</v>
      </c>
      <c r="I255" s="79" t="str">
        <f ca="1">IFERROR(__xludf.DUMMYFUNCTION("""COMPUTED_VALUE"""),"Agosto")</f>
        <v>Agosto</v>
      </c>
      <c r="J255" s="79" t="str">
        <f ca="1">IFERROR(__xludf.DUMMYFUNCTION("""COMPUTED_VALUE"""),"HOM")</f>
        <v>HOM</v>
      </c>
      <c r="K255" s="80">
        <f ca="1">IFERROR(__xludf.DUMMYFUNCTION("""COMPUTED_VALUE"""),28)</f>
        <v>28</v>
      </c>
      <c r="L255" s="79" t="str">
        <f ca="1">IFERROR(__xludf.DUMMYFUNCTION("""COMPUTED_VALUE"""),"TRIMESTRE 3")</f>
        <v>TRIMESTRE 3</v>
      </c>
      <c r="M255" s="79" t="str">
        <f ca="1">IFERROR(__xludf.DUMMYFUNCTION("""COMPUTED_VALUE"""),"HOMBRES ADULTOS")</f>
        <v>HOMBRES ADULTOS</v>
      </c>
    </row>
    <row r="256" spans="1:13">
      <c r="A256" s="79" t="str">
        <f ca="1">IFERROR(__xludf.DUMMYFUNCTION("""COMPUTED_VALUE"""),"6.1.2.0")</f>
        <v>6.1.2.0</v>
      </c>
      <c r="B256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6" s="79" t="str">
        <f ca="1">IFERROR(__xludf.DUMMYFUNCTION("""COMPUTED_VALUE"""),"5. Inclusión")</f>
        <v>5. Inclusión</v>
      </c>
      <c r="D256" s="79" t="str">
        <f ca="1">IFERROR(__xludf.DUMMYFUNCTION("""COMPUTED_VALUE"""),"Guadalajara sin Barreras")</f>
        <v>Guadalajara sin Barreras</v>
      </c>
      <c r="E256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6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6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6" s="79" t="str">
        <f ca="1">IFERROR(__xludf.DUMMYFUNCTION("""COMPUTED_VALUE"""),"AMM Agosto")</f>
        <v>AMM Agosto</v>
      </c>
      <c r="I256" s="79" t="str">
        <f ca="1">IFERROR(__xludf.DUMMYFUNCTION("""COMPUTED_VALUE"""),"Agosto")</f>
        <v>Agosto</v>
      </c>
      <c r="J256" s="79" t="str">
        <f ca="1">IFERROR(__xludf.DUMMYFUNCTION("""COMPUTED_VALUE"""),"AMM")</f>
        <v>AMM</v>
      </c>
      <c r="K256" s="80">
        <f ca="1">IFERROR(__xludf.DUMMYFUNCTION("""COMPUTED_VALUE"""),0)</f>
        <v>0</v>
      </c>
      <c r="L256" s="79" t="str">
        <f ca="1">IFERROR(__xludf.DUMMYFUNCTION("""COMPUTED_VALUE"""),"TRIMESTRE 3")</f>
        <v>TRIMESTRE 3</v>
      </c>
      <c r="M256" s="79" t="str">
        <f ca="1">IFERROR(__xludf.DUMMYFUNCTION("""COMPUTED_VALUE"""),"ADULTA MAYOR MUJER")</f>
        <v>ADULTA MAYOR MUJER</v>
      </c>
    </row>
    <row r="257" spans="1:26">
      <c r="A257" s="79" t="str">
        <f ca="1">IFERROR(__xludf.DUMMYFUNCTION("""COMPUTED_VALUE"""),"6.1.2.0")</f>
        <v>6.1.2.0</v>
      </c>
      <c r="B257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7" s="79" t="str">
        <f ca="1">IFERROR(__xludf.DUMMYFUNCTION("""COMPUTED_VALUE"""),"5. Inclusión")</f>
        <v>5. Inclusión</v>
      </c>
      <c r="D257" s="79" t="str">
        <f ca="1">IFERROR(__xludf.DUMMYFUNCTION("""COMPUTED_VALUE"""),"Guadalajara sin Barreras")</f>
        <v>Guadalajara sin Barreras</v>
      </c>
      <c r="E257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7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7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7" s="79" t="str">
        <f ca="1">IFERROR(__xludf.DUMMYFUNCTION("""COMPUTED_VALUE"""),"AMH Agosto")</f>
        <v>AMH Agosto</v>
      </c>
      <c r="I257" s="79" t="str">
        <f ca="1">IFERROR(__xludf.DUMMYFUNCTION("""COMPUTED_VALUE"""),"Agosto")</f>
        <v>Agosto</v>
      </c>
      <c r="J257" s="79" t="str">
        <f ca="1">IFERROR(__xludf.DUMMYFUNCTION("""COMPUTED_VALUE"""),"AMH")</f>
        <v>AMH</v>
      </c>
      <c r="K257" s="80">
        <f ca="1">IFERROR(__xludf.DUMMYFUNCTION("""COMPUTED_VALUE"""),0)</f>
        <v>0</v>
      </c>
      <c r="L257" s="79" t="str">
        <f ca="1">IFERROR(__xludf.DUMMYFUNCTION("""COMPUTED_VALUE"""),"TRIMESTRE 3")</f>
        <v>TRIMESTRE 3</v>
      </c>
      <c r="M257" s="79" t="str">
        <f ca="1">IFERROR(__xludf.DUMMYFUNCTION("""COMPUTED_VALUE"""),"ADULTO MAYOR HOMBRE")</f>
        <v>ADULTO MAYOR HOMBRE</v>
      </c>
    </row>
    <row r="258" spans="1:26">
      <c r="A258" s="81" t="str">
        <f ca="1">IFERROR(__xludf.DUMMYFUNCTION("""COMPUTED_VALUE"""),"6.1.2.0")</f>
        <v>6.1.2.0</v>
      </c>
      <c r="B258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8" s="81" t="str">
        <f ca="1">IFERROR(__xludf.DUMMYFUNCTION("""COMPUTED_VALUE"""),"5. Inclusión")</f>
        <v>5. Inclusión</v>
      </c>
      <c r="D258" s="81" t="str">
        <f ca="1">IFERROR(__xludf.DUMMYFUNCTION("""COMPUTED_VALUE"""),"Guadalajara sin Barreras")</f>
        <v>Guadalajara sin Barreras</v>
      </c>
      <c r="E258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8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8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8" s="81" t="str">
        <f ca="1">IFERROR(__xludf.DUMMYFUNCTION("""COMPUTED_VALUE"""),"NAS Septiembre")</f>
        <v>NAS Septiembre</v>
      </c>
      <c r="I258" s="81" t="str">
        <f ca="1">IFERROR(__xludf.DUMMYFUNCTION("""COMPUTED_VALUE"""),"Septiembre")</f>
        <v>Septiembre</v>
      </c>
      <c r="J258" s="81" t="str">
        <f ca="1">IFERROR(__xludf.DUMMYFUNCTION("""COMPUTED_VALUE"""),"NAS")</f>
        <v>NAS</v>
      </c>
      <c r="K258" s="80">
        <f ca="1">IFERROR(__xludf.DUMMYFUNCTION("""COMPUTED_VALUE"""),61)</f>
        <v>61</v>
      </c>
      <c r="L258" s="81" t="str">
        <f ca="1">IFERROR(__xludf.DUMMYFUNCTION("""COMPUTED_VALUE"""),"TRIMESTRE 3")</f>
        <v>TRIMESTRE 3</v>
      </c>
      <c r="M258" s="81" t="str">
        <f ca="1">IFERROR(__xludf.DUMMYFUNCTION("""COMPUTED_VALUE"""),"NIÑAS")</f>
        <v>NIÑAS</v>
      </c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</row>
    <row r="259" spans="1:26">
      <c r="A259" s="81" t="str">
        <f ca="1">IFERROR(__xludf.DUMMYFUNCTION("""COMPUTED_VALUE"""),"6.1.2.0")</f>
        <v>6.1.2.0</v>
      </c>
      <c r="B259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59" s="81" t="str">
        <f ca="1">IFERROR(__xludf.DUMMYFUNCTION("""COMPUTED_VALUE"""),"5. Inclusión")</f>
        <v>5. Inclusión</v>
      </c>
      <c r="D259" s="81" t="str">
        <f ca="1">IFERROR(__xludf.DUMMYFUNCTION("""COMPUTED_VALUE"""),"Guadalajara sin Barreras")</f>
        <v>Guadalajara sin Barreras</v>
      </c>
      <c r="E259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59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59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59" s="81" t="str">
        <f ca="1">IFERROR(__xludf.DUMMYFUNCTION("""COMPUTED_VALUE"""),"NOS Septiembre")</f>
        <v>NOS Septiembre</v>
      </c>
      <c r="I259" s="81" t="str">
        <f ca="1">IFERROR(__xludf.DUMMYFUNCTION("""COMPUTED_VALUE"""),"Septiembre")</f>
        <v>Septiembre</v>
      </c>
      <c r="J259" s="81" t="str">
        <f ca="1">IFERROR(__xludf.DUMMYFUNCTION("""COMPUTED_VALUE"""),"NOS")</f>
        <v>NOS</v>
      </c>
      <c r="K259" s="80">
        <f ca="1">IFERROR(__xludf.DUMMYFUNCTION("""COMPUTED_VALUE"""),282)</f>
        <v>282</v>
      </c>
      <c r="L259" s="81" t="str">
        <f ca="1">IFERROR(__xludf.DUMMYFUNCTION("""COMPUTED_VALUE"""),"TRIMESTRE 3")</f>
        <v>TRIMESTRE 3</v>
      </c>
      <c r="M259" s="81" t="str">
        <f ca="1">IFERROR(__xludf.DUMMYFUNCTION("""COMPUTED_VALUE"""),"NIÑOS")</f>
        <v>NIÑOS</v>
      </c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</row>
    <row r="260" spans="1:26">
      <c r="A260" s="81" t="str">
        <f ca="1">IFERROR(__xludf.DUMMYFUNCTION("""COMPUTED_VALUE"""),"6.1.2.0")</f>
        <v>6.1.2.0</v>
      </c>
      <c r="B260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0" s="81" t="str">
        <f ca="1">IFERROR(__xludf.DUMMYFUNCTION("""COMPUTED_VALUE"""),"5. Inclusión")</f>
        <v>5. Inclusión</v>
      </c>
      <c r="D260" s="81" t="str">
        <f ca="1">IFERROR(__xludf.DUMMYFUNCTION("""COMPUTED_VALUE"""),"Guadalajara sin Barreras")</f>
        <v>Guadalajara sin Barreras</v>
      </c>
      <c r="E260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0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0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0" s="81" t="str">
        <f ca="1">IFERROR(__xludf.DUMMYFUNCTION("""COMPUTED_VALUE"""),"AM SEPTIEMBRE")</f>
        <v>AM SEPTIEMBRE</v>
      </c>
      <c r="I260" s="81" t="str">
        <f ca="1">IFERROR(__xludf.DUMMYFUNCTION("""COMPUTED_VALUE"""),"Septiembre")</f>
        <v>Septiembre</v>
      </c>
      <c r="J260" s="81" t="str">
        <f ca="1">IFERROR(__xludf.DUMMYFUNCTION("""COMPUTED_VALUE"""),"AM")</f>
        <v>AM</v>
      </c>
      <c r="K260" s="80">
        <f ca="1">IFERROR(__xludf.DUMMYFUNCTION("""COMPUTED_VALUE"""),10)</f>
        <v>10</v>
      </c>
      <c r="L260" s="81" t="str">
        <f ca="1">IFERROR(__xludf.DUMMYFUNCTION("""COMPUTED_VALUE"""),"TRIMESTRE 3")</f>
        <v>TRIMESTRE 3</v>
      </c>
      <c r="M260" s="81" t="str">
        <f ca="1">IFERROR(__xludf.DUMMYFUNCTION("""COMPUTED_VALUE"""),"ADOLESCENTES MUJERES")</f>
        <v>ADOLESCENTES MUJERES</v>
      </c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</row>
    <row r="261" spans="1:26">
      <c r="A261" s="81" t="str">
        <f ca="1">IFERROR(__xludf.DUMMYFUNCTION("""COMPUTED_VALUE"""),"6.1.2.0")</f>
        <v>6.1.2.0</v>
      </c>
      <c r="B261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1" s="81" t="str">
        <f ca="1">IFERROR(__xludf.DUMMYFUNCTION("""COMPUTED_VALUE"""),"5. Inclusión")</f>
        <v>5. Inclusión</v>
      </c>
      <c r="D261" s="81" t="str">
        <f ca="1">IFERROR(__xludf.DUMMYFUNCTION("""COMPUTED_VALUE"""),"Guadalajara sin Barreras")</f>
        <v>Guadalajara sin Barreras</v>
      </c>
      <c r="E261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1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1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1" s="81" t="str">
        <f ca="1">IFERROR(__xludf.DUMMYFUNCTION("""COMPUTED_VALUE"""),"AH SEPTIEMBRE")</f>
        <v>AH SEPTIEMBRE</v>
      </c>
      <c r="I261" s="81" t="str">
        <f ca="1">IFERROR(__xludf.DUMMYFUNCTION("""COMPUTED_VALUE"""),"Septiembre")</f>
        <v>Septiembre</v>
      </c>
      <c r="J261" s="81" t="str">
        <f ca="1">IFERROR(__xludf.DUMMYFUNCTION("""COMPUTED_VALUE"""),"AH")</f>
        <v>AH</v>
      </c>
      <c r="K261" s="80">
        <f ca="1">IFERROR(__xludf.DUMMYFUNCTION("""COMPUTED_VALUE"""),18)</f>
        <v>18</v>
      </c>
      <c r="L261" s="81" t="str">
        <f ca="1">IFERROR(__xludf.DUMMYFUNCTION("""COMPUTED_VALUE"""),"TRIMESTRE 3")</f>
        <v>TRIMESTRE 3</v>
      </c>
      <c r="M261" s="81" t="str">
        <f ca="1">IFERROR(__xludf.DUMMYFUNCTION("""COMPUTED_VALUE"""),"ADOLESCENTES HOMBRES")</f>
        <v>ADOLESCENTES HOMBRES</v>
      </c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</row>
    <row r="262" spans="1:26">
      <c r="A262" s="81" t="str">
        <f ca="1">IFERROR(__xludf.DUMMYFUNCTION("""COMPUTED_VALUE"""),"6.1.2.0")</f>
        <v>6.1.2.0</v>
      </c>
      <c r="B262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2" s="81" t="str">
        <f ca="1">IFERROR(__xludf.DUMMYFUNCTION("""COMPUTED_VALUE"""),"5. Inclusión")</f>
        <v>5. Inclusión</v>
      </c>
      <c r="D262" s="81" t="str">
        <f ca="1">IFERROR(__xludf.DUMMYFUNCTION("""COMPUTED_VALUE"""),"Guadalajara sin Barreras")</f>
        <v>Guadalajara sin Barreras</v>
      </c>
      <c r="E262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2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2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2" s="81" t="str">
        <f ca="1">IFERROR(__xludf.DUMMYFUNCTION("""COMPUTED_VALUE"""),"MUJ Septiembre")</f>
        <v>MUJ Septiembre</v>
      </c>
      <c r="I262" s="81" t="str">
        <f ca="1">IFERROR(__xludf.DUMMYFUNCTION("""COMPUTED_VALUE"""),"Septiembre")</f>
        <v>Septiembre</v>
      </c>
      <c r="J262" s="81" t="str">
        <f ca="1">IFERROR(__xludf.DUMMYFUNCTION("""COMPUTED_VALUE"""),"MUJ")</f>
        <v>MUJ</v>
      </c>
      <c r="K262" s="80">
        <f ca="1">IFERROR(__xludf.DUMMYFUNCTION("""COMPUTED_VALUE"""),14)</f>
        <v>14</v>
      </c>
      <c r="L262" s="81" t="str">
        <f ca="1">IFERROR(__xludf.DUMMYFUNCTION("""COMPUTED_VALUE"""),"TRIMESTRE 3")</f>
        <v>TRIMESTRE 3</v>
      </c>
      <c r="M262" s="81" t="str">
        <f ca="1">IFERROR(__xludf.DUMMYFUNCTION("""COMPUTED_VALUE"""),"MUJERES ADULTAS")</f>
        <v>MUJERES ADULTAS</v>
      </c>
      <c r="N262" s="81"/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</row>
    <row r="263" spans="1:26">
      <c r="A263" s="81" t="str">
        <f ca="1">IFERROR(__xludf.DUMMYFUNCTION("""COMPUTED_VALUE"""),"6.1.2.0")</f>
        <v>6.1.2.0</v>
      </c>
      <c r="B263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3" s="81" t="str">
        <f ca="1">IFERROR(__xludf.DUMMYFUNCTION("""COMPUTED_VALUE"""),"5. Inclusión")</f>
        <v>5. Inclusión</v>
      </c>
      <c r="D263" s="81" t="str">
        <f ca="1">IFERROR(__xludf.DUMMYFUNCTION("""COMPUTED_VALUE"""),"Guadalajara sin Barreras")</f>
        <v>Guadalajara sin Barreras</v>
      </c>
      <c r="E263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3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3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3" s="81" t="str">
        <f ca="1">IFERROR(__xludf.DUMMYFUNCTION("""COMPUTED_VALUE"""),"HOM Septiembre")</f>
        <v>HOM Septiembre</v>
      </c>
      <c r="I263" s="81" t="str">
        <f ca="1">IFERROR(__xludf.DUMMYFUNCTION("""COMPUTED_VALUE"""),"Septiembre")</f>
        <v>Septiembre</v>
      </c>
      <c r="J263" s="81" t="str">
        <f ca="1">IFERROR(__xludf.DUMMYFUNCTION("""COMPUTED_VALUE"""),"HOM")</f>
        <v>HOM</v>
      </c>
      <c r="K263" s="80">
        <f ca="1">IFERROR(__xludf.DUMMYFUNCTION("""COMPUTED_VALUE"""),28)</f>
        <v>28</v>
      </c>
      <c r="L263" s="81" t="str">
        <f ca="1">IFERROR(__xludf.DUMMYFUNCTION("""COMPUTED_VALUE"""),"TRIMESTRE 3")</f>
        <v>TRIMESTRE 3</v>
      </c>
      <c r="M263" s="81" t="str">
        <f ca="1">IFERROR(__xludf.DUMMYFUNCTION("""COMPUTED_VALUE"""),"HOMBRES ADULTOS")</f>
        <v>HOMBRES ADULTOS</v>
      </c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</row>
    <row r="264" spans="1:26">
      <c r="A264" s="81" t="str">
        <f ca="1">IFERROR(__xludf.DUMMYFUNCTION("""COMPUTED_VALUE"""),"6.1.2.0")</f>
        <v>6.1.2.0</v>
      </c>
      <c r="B264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4" s="81" t="str">
        <f ca="1">IFERROR(__xludf.DUMMYFUNCTION("""COMPUTED_VALUE"""),"5. Inclusión")</f>
        <v>5. Inclusión</v>
      </c>
      <c r="D264" s="81" t="str">
        <f ca="1">IFERROR(__xludf.DUMMYFUNCTION("""COMPUTED_VALUE"""),"Guadalajara sin Barreras")</f>
        <v>Guadalajara sin Barreras</v>
      </c>
      <c r="E264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4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4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4" s="81" t="str">
        <f ca="1">IFERROR(__xludf.DUMMYFUNCTION("""COMPUTED_VALUE"""),"AMM Septiembre")</f>
        <v>AMM Septiembre</v>
      </c>
      <c r="I264" s="81" t="str">
        <f ca="1">IFERROR(__xludf.DUMMYFUNCTION("""COMPUTED_VALUE"""),"Septiembre")</f>
        <v>Septiembre</v>
      </c>
      <c r="J264" s="81" t="str">
        <f ca="1">IFERROR(__xludf.DUMMYFUNCTION("""COMPUTED_VALUE"""),"AMM")</f>
        <v>AMM</v>
      </c>
      <c r="K264" s="80">
        <f ca="1">IFERROR(__xludf.DUMMYFUNCTION("""COMPUTED_VALUE"""),0)</f>
        <v>0</v>
      </c>
      <c r="L264" s="81" t="str">
        <f ca="1">IFERROR(__xludf.DUMMYFUNCTION("""COMPUTED_VALUE"""),"TRIMESTRE 3")</f>
        <v>TRIMESTRE 3</v>
      </c>
      <c r="M264" s="81" t="str">
        <f ca="1">IFERROR(__xludf.DUMMYFUNCTION("""COMPUTED_VALUE"""),"ADULTA MAYOR MUJER")</f>
        <v>ADULTA MAYOR MUJER</v>
      </c>
      <c r="N264" s="81"/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  <c r="Z264" s="81"/>
    </row>
    <row r="265" spans="1:26">
      <c r="A265" s="81" t="str">
        <f ca="1">IFERROR(__xludf.DUMMYFUNCTION("""COMPUTED_VALUE"""),"6.1.2.0")</f>
        <v>6.1.2.0</v>
      </c>
      <c r="B265" s="81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5" s="81" t="str">
        <f ca="1">IFERROR(__xludf.DUMMYFUNCTION("""COMPUTED_VALUE"""),"5. Inclusión")</f>
        <v>5. Inclusión</v>
      </c>
      <c r="D265" s="81" t="str">
        <f ca="1">IFERROR(__xludf.DUMMYFUNCTION("""COMPUTED_VALUE"""),"Guadalajara sin Barreras")</f>
        <v>Guadalajara sin Barreras</v>
      </c>
      <c r="E265" s="81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5" s="81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5" s="81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5" s="81" t="str">
        <f ca="1">IFERROR(__xludf.DUMMYFUNCTION("""COMPUTED_VALUE"""),"AMH Septiembre")</f>
        <v>AMH Septiembre</v>
      </c>
      <c r="I265" s="81" t="str">
        <f ca="1">IFERROR(__xludf.DUMMYFUNCTION("""COMPUTED_VALUE"""),"Septiembre")</f>
        <v>Septiembre</v>
      </c>
      <c r="J265" s="81" t="str">
        <f ca="1">IFERROR(__xludf.DUMMYFUNCTION("""COMPUTED_VALUE"""),"AMH")</f>
        <v>AMH</v>
      </c>
      <c r="K265" s="80">
        <f ca="1">IFERROR(__xludf.DUMMYFUNCTION("""COMPUTED_VALUE"""),0)</f>
        <v>0</v>
      </c>
      <c r="L265" s="81" t="str">
        <f ca="1">IFERROR(__xludf.DUMMYFUNCTION("""COMPUTED_VALUE"""),"TRIMESTRE 3")</f>
        <v>TRIMESTRE 3</v>
      </c>
      <c r="M265" s="81" t="str">
        <f ca="1">IFERROR(__xludf.DUMMYFUNCTION("""COMPUTED_VALUE"""),"ADULTO MAYOR HOMBRE")</f>
        <v>ADULTO MAYOR HOMBRE</v>
      </c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</row>
    <row r="266" spans="1:26">
      <c r="A266" s="79" t="str">
        <f ca="1">IFERROR(__xludf.DUMMYFUNCTION("""COMPUTED_VALUE"""),"6.1.2.0")</f>
        <v>6.1.2.0</v>
      </c>
      <c r="B266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6" s="79" t="str">
        <f ca="1">IFERROR(__xludf.DUMMYFUNCTION("""COMPUTED_VALUE"""),"5. Inclusión")</f>
        <v>5. Inclusión</v>
      </c>
      <c r="D266" s="79" t="str">
        <f ca="1">IFERROR(__xludf.DUMMYFUNCTION("""COMPUTED_VALUE"""),"Guadalajara sin Barreras")</f>
        <v>Guadalajara sin Barreras</v>
      </c>
      <c r="E266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6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6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6" s="79" t="str">
        <f ca="1">IFERROR(__xludf.DUMMYFUNCTION("""COMPUTED_VALUE"""),"NAS Octubre")</f>
        <v>NAS Octubre</v>
      </c>
      <c r="I266" s="79" t="str">
        <f ca="1">IFERROR(__xludf.DUMMYFUNCTION("""COMPUTED_VALUE"""),"Octubre")</f>
        <v>Octubre</v>
      </c>
      <c r="J266" s="79" t="str">
        <f ca="1">IFERROR(__xludf.DUMMYFUNCTION("""COMPUTED_VALUE"""),"NAS")</f>
        <v>NAS</v>
      </c>
      <c r="K266" s="80">
        <f ca="1">IFERROR(__xludf.DUMMYFUNCTION("""COMPUTED_VALUE"""),61)</f>
        <v>61</v>
      </c>
      <c r="L266" s="79" t="str">
        <f ca="1">IFERROR(__xludf.DUMMYFUNCTION("""COMPUTED_VALUE"""),"TRIMESTRE 4")</f>
        <v>TRIMESTRE 4</v>
      </c>
      <c r="M266" s="79" t="str">
        <f ca="1">IFERROR(__xludf.DUMMYFUNCTION("""COMPUTED_VALUE"""),"NIÑAS")</f>
        <v>NIÑAS</v>
      </c>
    </row>
    <row r="267" spans="1:26">
      <c r="A267" s="79" t="str">
        <f ca="1">IFERROR(__xludf.DUMMYFUNCTION("""COMPUTED_VALUE"""),"6.1.2.0")</f>
        <v>6.1.2.0</v>
      </c>
      <c r="B267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7" s="79" t="str">
        <f ca="1">IFERROR(__xludf.DUMMYFUNCTION("""COMPUTED_VALUE"""),"5. Inclusión")</f>
        <v>5. Inclusión</v>
      </c>
      <c r="D267" s="79" t="str">
        <f ca="1">IFERROR(__xludf.DUMMYFUNCTION("""COMPUTED_VALUE"""),"Guadalajara sin Barreras")</f>
        <v>Guadalajara sin Barreras</v>
      </c>
      <c r="E267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7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7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7" s="79" t="str">
        <f ca="1">IFERROR(__xludf.DUMMYFUNCTION("""COMPUTED_VALUE"""),"NOS Octubre")</f>
        <v>NOS Octubre</v>
      </c>
      <c r="I267" s="79" t="str">
        <f ca="1">IFERROR(__xludf.DUMMYFUNCTION("""COMPUTED_VALUE"""),"Octubre")</f>
        <v>Octubre</v>
      </c>
      <c r="J267" s="79" t="str">
        <f ca="1">IFERROR(__xludf.DUMMYFUNCTION("""COMPUTED_VALUE"""),"NOS")</f>
        <v>NOS</v>
      </c>
      <c r="K267" s="80">
        <f ca="1">IFERROR(__xludf.DUMMYFUNCTION("""COMPUTED_VALUE"""),288)</f>
        <v>288</v>
      </c>
      <c r="L267" s="79" t="str">
        <f ca="1">IFERROR(__xludf.DUMMYFUNCTION("""COMPUTED_VALUE"""),"TRIMESTRE 4")</f>
        <v>TRIMESTRE 4</v>
      </c>
      <c r="M267" s="79" t="str">
        <f ca="1">IFERROR(__xludf.DUMMYFUNCTION("""COMPUTED_VALUE"""),"NIÑOS")</f>
        <v>NIÑOS</v>
      </c>
    </row>
    <row r="268" spans="1:26">
      <c r="A268" s="79" t="str">
        <f ca="1">IFERROR(__xludf.DUMMYFUNCTION("""COMPUTED_VALUE"""),"6.1.2.0")</f>
        <v>6.1.2.0</v>
      </c>
      <c r="B268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8" s="79" t="str">
        <f ca="1">IFERROR(__xludf.DUMMYFUNCTION("""COMPUTED_VALUE"""),"5. Inclusión")</f>
        <v>5. Inclusión</v>
      </c>
      <c r="D268" s="79" t="str">
        <f ca="1">IFERROR(__xludf.DUMMYFUNCTION("""COMPUTED_VALUE"""),"Guadalajara sin Barreras")</f>
        <v>Guadalajara sin Barreras</v>
      </c>
      <c r="E268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8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8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8" s="79" t="str">
        <f ca="1">IFERROR(__xludf.DUMMYFUNCTION("""COMPUTED_VALUE"""),"AM OCTUBRE")</f>
        <v>AM OCTUBRE</v>
      </c>
      <c r="I268" s="79" t="str">
        <f ca="1">IFERROR(__xludf.DUMMYFUNCTION("""COMPUTED_VALUE"""),"Octubre")</f>
        <v>Octubre</v>
      </c>
      <c r="J268" s="79" t="str">
        <f ca="1">IFERROR(__xludf.DUMMYFUNCTION("""COMPUTED_VALUE"""),"AM")</f>
        <v>AM</v>
      </c>
      <c r="K268" s="80">
        <f ca="1">IFERROR(__xludf.DUMMYFUNCTION("""COMPUTED_VALUE"""),10)</f>
        <v>10</v>
      </c>
      <c r="L268" s="79" t="str">
        <f ca="1">IFERROR(__xludf.DUMMYFUNCTION("""COMPUTED_VALUE"""),"TRIMESTRE 4")</f>
        <v>TRIMESTRE 4</v>
      </c>
      <c r="M268" s="79" t="str">
        <f ca="1">IFERROR(__xludf.DUMMYFUNCTION("""COMPUTED_VALUE"""),"ADOLESCENTES MUJERES")</f>
        <v>ADOLESCENTES MUJERES</v>
      </c>
    </row>
    <row r="269" spans="1:26">
      <c r="A269" s="79" t="str">
        <f ca="1">IFERROR(__xludf.DUMMYFUNCTION("""COMPUTED_VALUE"""),"6.1.2.0")</f>
        <v>6.1.2.0</v>
      </c>
      <c r="B269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69" s="79" t="str">
        <f ca="1">IFERROR(__xludf.DUMMYFUNCTION("""COMPUTED_VALUE"""),"5. Inclusión")</f>
        <v>5. Inclusión</v>
      </c>
      <c r="D269" s="79" t="str">
        <f ca="1">IFERROR(__xludf.DUMMYFUNCTION("""COMPUTED_VALUE"""),"Guadalajara sin Barreras")</f>
        <v>Guadalajara sin Barreras</v>
      </c>
      <c r="E269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69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69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69" s="79" t="str">
        <f ca="1">IFERROR(__xludf.DUMMYFUNCTION("""COMPUTED_VALUE"""),"AH OCTUBRE")</f>
        <v>AH OCTUBRE</v>
      </c>
      <c r="I269" s="79" t="str">
        <f ca="1">IFERROR(__xludf.DUMMYFUNCTION("""COMPUTED_VALUE"""),"Octubre")</f>
        <v>Octubre</v>
      </c>
      <c r="J269" s="79" t="str">
        <f ca="1">IFERROR(__xludf.DUMMYFUNCTION("""COMPUTED_VALUE"""),"AH")</f>
        <v>AH</v>
      </c>
      <c r="K269" s="80">
        <f ca="1">IFERROR(__xludf.DUMMYFUNCTION("""COMPUTED_VALUE"""),21)</f>
        <v>21</v>
      </c>
      <c r="L269" s="79" t="str">
        <f ca="1">IFERROR(__xludf.DUMMYFUNCTION("""COMPUTED_VALUE"""),"TRIMESTRE 4")</f>
        <v>TRIMESTRE 4</v>
      </c>
      <c r="M269" s="79" t="str">
        <f ca="1">IFERROR(__xludf.DUMMYFUNCTION("""COMPUTED_VALUE"""),"ADOLESCENTES HOMBRES")</f>
        <v>ADOLESCENTES HOMBRES</v>
      </c>
    </row>
    <row r="270" spans="1:26">
      <c r="A270" s="79" t="str">
        <f ca="1">IFERROR(__xludf.DUMMYFUNCTION("""COMPUTED_VALUE"""),"6.1.2.0")</f>
        <v>6.1.2.0</v>
      </c>
      <c r="B270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0" s="79" t="str">
        <f ca="1">IFERROR(__xludf.DUMMYFUNCTION("""COMPUTED_VALUE"""),"5. Inclusión")</f>
        <v>5. Inclusión</v>
      </c>
      <c r="D270" s="79" t="str">
        <f ca="1">IFERROR(__xludf.DUMMYFUNCTION("""COMPUTED_VALUE"""),"Guadalajara sin Barreras")</f>
        <v>Guadalajara sin Barreras</v>
      </c>
      <c r="E270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0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0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0" s="79" t="str">
        <f ca="1">IFERROR(__xludf.DUMMYFUNCTION("""COMPUTED_VALUE"""),"MUJ Octubre")</f>
        <v>MUJ Octubre</v>
      </c>
      <c r="I270" s="79" t="str">
        <f ca="1">IFERROR(__xludf.DUMMYFUNCTION("""COMPUTED_VALUE"""),"Octubre")</f>
        <v>Octubre</v>
      </c>
      <c r="J270" s="79" t="str">
        <f ca="1">IFERROR(__xludf.DUMMYFUNCTION("""COMPUTED_VALUE"""),"MUJ")</f>
        <v>MUJ</v>
      </c>
      <c r="K270" s="80">
        <f ca="1">IFERROR(__xludf.DUMMYFUNCTION("""COMPUTED_VALUE"""),14)</f>
        <v>14</v>
      </c>
      <c r="L270" s="79" t="str">
        <f ca="1">IFERROR(__xludf.DUMMYFUNCTION("""COMPUTED_VALUE"""),"TRIMESTRE 4")</f>
        <v>TRIMESTRE 4</v>
      </c>
      <c r="M270" s="79" t="str">
        <f ca="1">IFERROR(__xludf.DUMMYFUNCTION("""COMPUTED_VALUE"""),"MUJERES ADULTAS")</f>
        <v>MUJERES ADULTAS</v>
      </c>
    </row>
    <row r="271" spans="1:26">
      <c r="A271" s="79" t="str">
        <f ca="1">IFERROR(__xludf.DUMMYFUNCTION("""COMPUTED_VALUE"""),"6.1.2.0")</f>
        <v>6.1.2.0</v>
      </c>
      <c r="B271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1" s="79" t="str">
        <f ca="1">IFERROR(__xludf.DUMMYFUNCTION("""COMPUTED_VALUE"""),"5. Inclusión")</f>
        <v>5. Inclusión</v>
      </c>
      <c r="D271" s="79" t="str">
        <f ca="1">IFERROR(__xludf.DUMMYFUNCTION("""COMPUTED_VALUE"""),"Guadalajara sin Barreras")</f>
        <v>Guadalajara sin Barreras</v>
      </c>
      <c r="E271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1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1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1" s="79" t="str">
        <f ca="1">IFERROR(__xludf.DUMMYFUNCTION("""COMPUTED_VALUE"""),"HOM Octubre")</f>
        <v>HOM Octubre</v>
      </c>
      <c r="I271" s="79" t="str">
        <f ca="1">IFERROR(__xludf.DUMMYFUNCTION("""COMPUTED_VALUE"""),"Octubre")</f>
        <v>Octubre</v>
      </c>
      <c r="J271" s="79" t="str">
        <f ca="1">IFERROR(__xludf.DUMMYFUNCTION("""COMPUTED_VALUE"""),"HOM")</f>
        <v>HOM</v>
      </c>
      <c r="K271" s="80">
        <f ca="1">IFERROR(__xludf.DUMMYFUNCTION("""COMPUTED_VALUE"""),29)</f>
        <v>29</v>
      </c>
      <c r="L271" s="79" t="str">
        <f ca="1">IFERROR(__xludf.DUMMYFUNCTION("""COMPUTED_VALUE"""),"TRIMESTRE 4")</f>
        <v>TRIMESTRE 4</v>
      </c>
      <c r="M271" s="79" t="str">
        <f ca="1">IFERROR(__xludf.DUMMYFUNCTION("""COMPUTED_VALUE"""),"HOMBRES ADULTOS")</f>
        <v>HOMBRES ADULTOS</v>
      </c>
    </row>
    <row r="272" spans="1:26">
      <c r="A272" s="79" t="str">
        <f ca="1">IFERROR(__xludf.DUMMYFUNCTION("""COMPUTED_VALUE"""),"6.1.2.0")</f>
        <v>6.1.2.0</v>
      </c>
      <c r="B272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2" s="79" t="str">
        <f ca="1">IFERROR(__xludf.DUMMYFUNCTION("""COMPUTED_VALUE"""),"5. Inclusión")</f>
        <v>5. Inclusión</v>
      </c>
      <c r="D272" s="79" t="str">
        <f ca="1">IFERROR(__xludf.DUMMYFUNCTION("""COMPUTED_VALUE"""),"Guadalajara sin Barreras")</f>
        <v>Guadalajara sin Barreras</v>
      </c>
      <c r="E272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2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2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2" s="79" t="str">
        <f ca="1">IFERROR(__xludf.DUMMYFUNCTION("""COMPUTED_VALUE"""),"AMM Octubre")</f>
        <v>AMM Octubre</v>
      </c>
      <c r="I272" s="79" t="str">
        <f ca="1">IFERROR(__xludf.DUMMYFUNCTION("""COMPUTED_VALUE"""),"Octubre")</f>
        <v>Octubre</v>
      </c>
      <c r="J272" s="79" t="str">
        <f ca="1">IFERROR(__xludf.DUMMYFUNCTION("""COMPUTED_VALUE"""),"AMM")</f>
        <v>AMM</v>
      </c>
      <c r="K272" s="80">
        <f ca="1">IFERROR(__xludf.DUMMYFUNCTION("""COMPUTED_VALUE"""),0)</f>
        <v>0</v>
      </c>
      <c r="L272" s="79" t="str">
        <f ca="1">IFERROR(__xludf.DUMMYFUNCTION("""COMPUTED_VALUE"""),"TRIMESTRE 4")</f>
        <v>TRIMESTRE 4</v>
      </c>
      <c r="M272" s="79" t="str">
        <f ca="1">IFERROR(__xludf.DUMMYFUNCTION("""COMPUTED_VALUE"""),"ADULTA MAYOR MUJER")</f>
        <v>ADULTA MAYOR MUJER</v>
      </c>
    </row>
    <row r="273" spans="1:13">
      <c r="A273" s="79" t="str">
        <f ca="1">IFERROR(__xludf.DUMMYFUNCTION("""COMPUTED_VALUE"""),"6.1.2.0")</f>
        <v>6.1.2.0</v>
      </c>
      <c r="B273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3" s="79" t="str">
        <f ca="1">IFERROR(__xludf.DUMMYFUNCTION("""COMPUTED_VALUE"""),"5. Inclusión")</f>
        <v>5. Inclusión</v>
      </c>
      <c r="D273" s="79" t="str">
        <f ca="1">IFERROR(__xludf.DUMMYFUNCTION("""COMPUTED_VALUE"""),"Guadalajara sin Barreras")</f>
        <v>Guadalajara sin Barreras</v>
      </c>
      <c r="E273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3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3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3" s="79" t="str">
        <f ca="1">IFERROR(__xludf.DUMMYFUNCTION("""COMPUTED_VALUE"""),"AMH Octubre")</f>
        <v>AMH Octubre</v>
      </c>
      <c r="I273" s="79" t="str">
        <f ca="1">IFERROR(__xludf.DUMMYFUNCTION("""COMPUTED_VALUE"""),"Octubre")</f>
        <v>Octubre</v>
      </c>
      <c r="J273" s="79" t="str">
        <f ca="1">IFERROR(__xludf.DUMMYFUNCTION("""COMPUTED_VALUE"""),"AMH")</f>
        <v>AMH</v>
      </c>
      <c r="K273" s="80">
        <f ca="1">IFERROR(__xludf.DUMMYFUNCTION("""COMPUTED_VALUE"""),0)</f>
        <v>0</v>
      </c>
      <c r="L273" s="79" t="str">
        <f ca="1">IFERROR(__xludf.DUMMYFUNCTION("""COMPUTED_VALUE"""),"TRIMESTRE 4")</f>
        <v>TRIMESTRE 4</v>
      </c>
      <c r="M273" s="79" t="str">
        <f ca="1">IFERROR(__xludf.DUMMYFUNCTION("""COMPUTED_VALUE"""),"ADULTO MAYOR HOMBRE")</f>
        <v>ADULTO MAYOR HOMBRE</v>
      </c>
    </row>
    <row r="274" spans="1:13">
      <c r="A274" s="79" t="str">
        <f ca="1">IFERROR(__xludf.DUMMYFUNCTION("""COMPUTED_VALUE"""),"6.1.2.0")</f>
        <v>6.1.2.0</v>
      </c>
      <c r="B274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4" s="79" t="str">
        <f ca="1">IFERROR(__xludf.DUMMYFUNCTION("""COMPUTED_VALUE"""),"5. Inclusión")</f>
        <v>5. Inclusión</v>
      </c>
      <c r="D274" s="79" t="str">
        <f ca="1">IFERROR(__xludf.DUMMYFUNCTION("""COMPUTED_VALUE"""),"Guadalajara sin Barreras")</f>
        <v>Guadalajara sin Barreras</v>
      </c>
      <c r="E274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4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4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4" s="79" t="str">
        <f ca="1">IFERROR(__xludf.DUMMYFUNCTION("""COMPUTED_VALUE"""),"NAS Noviembre")</f>
        <v>NAS Noviembre</v>
      </c>
      <c r="I274" s="79" t="str">
        <f ca="1">IFERROR(__xludf.DUMMYFUNCTION("""COMPUTED_VALUE"""),"Noviembre")</f>
        <v>Noviembre</v>
      </c>
      <c r="J274" s="79" t="str">
        <f ca="1">IFERROR(__xludf.DUMMYFUNCTION("""COMPUTED_VALUE"""),"NAS")</f>
        <v>NAS</v>
      </c>
      <c r="K274" s="80">
        <f ca="1">IFERROR(__xludf.DUMMYFUNCTION("""COMPUTED_VALUE"""),62)</f>
        <v>62</v>
      </c>
      <c r="L274" s="79" t="str">
        <f ca="1">IFERROR(__xludf.DUMMYFUNCTION("""COMPUTED_VALUE"""),"TRIMESTRE 4")</f>
        <v>TRIMESTRE 4</v>
      </c>
      <c r="M274" s="79" t="str">
        <f ca="1">IFERROR(__xludf.DUMMYFUNCTION("""COMPUTED_VALUE"""),"NIÑAS")</f>
        <v>NIÑAS</v>
      </c>
    </row>
    <row r="275" spans="1:13">
      <c r="A275" s="79" t="str">
        <f ca="1">IFERROR(__xludf.DUMMYFUNCTION("""COMPUTED_VALUE"""),"6.1.2.0")</f>
        <v>6.1.2.0</v>
      </c>
      <c r="B275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5" s="79" t="str">
        <f ca="1">IFERROR(__xludf.DUMMYFUNCTION("""COMPUTED_VALUE"""),"5. Inclusión")</f>
        <v>5. Inclusión</v>
      </c>
      <c r="D275" s="79" t="str">
        <f ca="1">IFERROR(__xludf.DUMMYFUNCTION("""COMPUTED_VALUE"""),"Guadalajara sin Barreras")</f>
        <v>Guadalajara sin Barreras</v>
      </c>
      <c r="E275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5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5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5" s="79" t="str">
        <f ca="1">IFERROR(__xludf.DUMMYFUNCTION("""COMPUTED_VALUE"""),"NOS Noviembre")</f>
        <v>NOS Noviembre</v>
      </c>
      <c r="I275" s="79" t="str">
        <f ca="1">IFERROR(__xludf.DUMMYFUNCTION("""COMPUTED_VALUE"""),"Noviembre")</f>
        <v>Noviembre</v>
      </c>
      <c r="J275" s="79" t="str">
        <f ca="1">IFERROR(__xludf.DUMMYFUNCTION("""COMPUTED_VALUE"""),"NOS")</f>
        <v>NOS</v>
      </c>
      <c r="K275" s="80">
        <f ca="1">IFERROR(__xludf.DUMMYFUNCTION("""COMPUTED_VALUE"""),287)</f>
        <v>287</v>
      </c>
      <c r="L275" s="79" t="str">
        <f ca="1">IFERROR(__xludf.DUMMYFUNCTION("""COMPUTED_VALUE"""),"TRIMESTRE 4")</f>
        <v>TRIMESTRE 4</v>
      </c>
      <c r="M275" s="79" t="str">
        <f ca="1">IFERROR(__xludf.DUMMYFUNCTION("""COMPUTED_VALUE"""),"NIÑOS")</f>
        <v>NIÑOS</v>
      </c>
    </row>
    <row r="276" spans="1:13">
      <c r="A276" s="79" t="str">
        <f ca="1">IFERROR(__xludf.DUMMYFUNCTION("""COMPUTED_VALUE"""),"6.1.2.0")</f>
        <v>6.1.2.0</v>
      </c>
      <c r="B276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6" s="79" t="str">
        <f ca="1">IFERROR(__xludf.DUMMYFUNCTION("""COMPUTED_VALUE"""),"5. Inclusión")</f>
        <v>5. Inclusión</v>
      </c>
      <c r="D276" s="79" t="str">
        <f ca="1">IFERROR(__xludf.DUMMYFUNCTION("""COMPUTED_VALUE"""),"Guadalajara sin Barreras")</f>
        <v>Guadalajara sin Barreras</v>
      </c>
      <c r="E276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6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6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6" s="79" t="str">
        <f ca="1">IFERROR(__xludf.DUMMYFUNCTION("""COMPUTED_VALUE"""),"AM NOVIEMBRE")</f>
        <v>AM NOVIEMBRE</v>
      </c>
      <c r="I276" s="79" t="str">
        <f ca="1">IFERROR(__xludf.DUMMYFUNCTION("""COMPUTED_VALUE"""),"Noviembre")</f>
        <v>Noviembre</v>
      </c>
      <c r="J276" s="79" t="str">
        <f ca="1">IFERROR(__xludf.DUMMYFUNCTION("""COMPUTED_VALUE"""),"AM")</f>
        <v>AM</v>
      </c>
      <c r="K276" s="80">
        <f ca="1">IFERROR(__xludf.DUMMYFUNCTION("""COMPUTED_VALUE"""),10)</f>
        <v>10</v>
      </c>
      <c r="L276" s="79" t="str">
        <f ca="1">IFERROR(__xludf.DUMMYFUNCTION("""COMPUTED_VALUE"""),"TRIMESTRE 4")</f>
        <v>TRIMESTRE 4</v>
      </c>
      <c r="M276" s="79" t="str">
        <f ca="1">IFERROR(__xludf.DUMMYFUNCTION("""COMPUTED_VALUE"""),"ADOLESCENTES MUJERES")</f>
        <v>ADOLESCENTES MUJERES</v>
      </c>
    </row>
    <row r="277" spans="1:13">
      <c r="A277" s="79" t="str">
        <f ca="1">IFERROR(__xludf.DUMMYFUNCTION("""COMPUTED_VALUE"""),"6.1.2.0")</f>
        <v>6.1.2.0</v>
      </c>
      <c r="B277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7" s="79" t="str">
        <f ca="1">IFERROR(__xludf.DUMMYFUNCTION("""COMPUTED_VALUE"""),"5. Inclusión")</f>
        <v>5. Inclusión</v>
      </c>
      <c r="D277" s="79" t="str">
        <f ca="1">IFERROR(__xludf.DUMMYFUNCTION("""COMPUTED_VALUE"""),"Guadalajara sin Barreras")</f>
        <v>Guadalajara sin Barreras</v>
      </c>
      <c r="E277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7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7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7" s="79" t="str">
        <f ca="1">IFERROR(__xludf.DUMMYFUNCTION("""COMPUTED_VALUE"""),"AH NOVIEMBRE")</f>
        <v>AH NOVIEMBRE</v>
      </c>
      <c r="I277" s="79" t="str">
        <f ca="1">IFERROR(__xludf.DUMMYFUNCTION("""COMPUTED_VALUE"""),"Noviembre")</f>
        <v>Noviembre</v>
      </c>
      <c r="J277" s="79" t="str">
        <f ca="1">IFERROR(__xludf.DUMMYFUNCTION("""COMPUTED_VALUE"""),"AH")</f>
        <v>AH</v>
      </c>
      <c r="K277" s="80">
        <f ca="1">IFERROR(__xludf.DUMMYFUNCTION("""COMPUTED_VALUE"""),21)</f>
        <v>21</v>
      </c>
      <c r="L277" s="79" t="str">
        <f ca="1">IFERROR(__xludf.DUMMYFUNCTION("""COMPUTED_VALUE"""),"TRIMESTRE 4")</f>
        <v>TRIMESTRE 4</v>
      </c>
      <c r="M277" s="79" t="str">
        <f ca="1">IFERROR(__xludf.DUMMYFUNCTION("""COMPUTED_VALUE"""),"ADOLESCENTES HOMBRES")</f>
        <v>ADOLESCENTES HOMBRES</v>
      </c>
    </row>
    <row r="278" spans="1:13">
      <c r="A278" s="79" t="str">
        <f ca="1">IFERROR(__xludf.DUMMYFUNCTION("""COMPUTED_VALUE"""),"6.1.2.0")</f>
        <v>6.1.2.0</v>
      </c>
      <c r="B278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8" s="79" t="str">
        <f ca="1">IFERROR(__xludf.DUMMYFUNCTION("""COMPUTED_VALUE"""),"5. Inclusión")</f>
        <v>5. Inclusión</v>
      </c>
      <c r="D278" s="79" t="str">
        <f ca="1">IFERROR(__xludf.DUMMYFUNCTION("""COMPUTED_VALUE"""),"Guadalajara sin Barreras")</f>
        <v>Guadalajara sin Barreras</v>
      </c>
      <c r="E278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8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8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8" s="79" t="str">
        <f ca="1">IFERROR(__xludf.DUMMYFUNCTION("""COMPUTED_VALUE"""),"MUJ Noviembre")</f>
        <v>MUJ Noviembre</v>
      </c>
      <c r="I278" s="79" t="str">
        <f ca="1">IFERROR(__xludf.DUMMYFUNCTION("""COMPUTED_VALUE"""),"Noviembre")</f>
        <v>Noviembre</v>
      </c>
      <c r="J278" s="79" t="str">
        <f ca="1">IFERROR(__xludf.DUMMYFUNCTION("""COMPUTED_VALUE"""),"MUJ")</f>
        <v>MUJ</v>
      </c>
      <c r="K278" s="80">
        <f ca="1">IFERROR(__xludf.DUMMYFUNCTION("""COMPUTED_VALUE"""),14)</f>
        <v>14</v>
      </c>
      <c r="L278" s="79" t="str">
        <f ca="1">IFERROR(__xludf.DUMMYFUNCTION("""COMPUTED_VALUE"""),"TRIMESTRE 4")</f>
        <v>TRIMESTRE 4</v>
      </c>
      <c r="M278" s="79" t="str">
        <f ca="1">IFERROR(__xludf.DUMMYFUNCTION("""COMPUTED_VALUE"""),"MUJERES ADULTAS")</f>
        <v>MUJERES ADULTAS</v>
      </c>
    </row>
    <row r="279" spans="1:13">
      <c r="A279" s="79" t="str">
        <f ca="1">IFERROR(__xludf.DUMMYFUNCTION("""COMPUTED_VALUE"""),"6.1.2.0")</f>
        <v>6.1.2.0</v>
      </c>
      <c r="B279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79" s="79" t="str">
        <f ca="1">IFERROR(__xludf.DUMMYFUNCTION("""COMPUTED_VALUE"""),"5. Inclusión")</f>
        <v>5. Inclusión</v>
      </c>
      <c r="D279" s="79" t="str">
        <f ca="1">IFERROR(__xludf.DUMMYFUNCTION("""COMPUTED_VALUE"""),"Guadalajara sin Barreras")</f>
        <v>Guadalajara sin Barreras</v>
      </c>
      <c r="E279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79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79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79" s="79" t="str">
        <f ca="1">IFERROR(__xludf.DUMMYFUNCTION("""COMPUTED_VALUE"""),"HOM Noviembre")</f>
        <v>HOM Noviembre</v>
      </c>
      <c r="I279" s="79" t="str">
        <f ca="1">IFERROR(__xludf.DUMMYFUNCTION("""COMPUTED_VALUE"""),"Noviembre")</f>
        <v>Noviembre</v>
      </c>
      <c r="J279" s="79" t="str">
        <f ca="1">IFERROR(__xludf.DUMMYFUNCTION("""COMPUTED_VALUE"""),"HOM")</f>
        <v>HOM</v>
      </c>
      <c r="K279" s="80">
        <f ca="1">IFERROR(__xludf.DUMMYFUNCTION("""COMPUTED_VALUE"""),29)</f>
        <v>29</v>
      </c>
      <c r="L279" s="79" t="str">
        <f ca="1">IFERROR(__xludf.DUMMYFUNCTION("""COMPUTED_VALUE"""),"TRIMESTRE 4")</f>
        <v>TRIMESTRE 4</v>
      </c>
      <c r="M279" s="79" t="str">
        <f ca="1">IFERROR(__xludf.DUMMYFUNCTION("""COMPUTED_VALUE"""),"HOMBRES ADULTOS")</f>
        <v>HOMBRES ADULTOS</v>
      </c>
    </row>
    <row r="280" spans="1:13">
      <c r="A280" s="79" t="str">
        <f ca="1">IFERROR(__xludf.DUMMYFUNCTION("""COMPUTED_VALUE"""),"6.1.2.0")</f>
        <v>6.1.2.0</v>
      </c>
      <c r="B280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0" s="79" t="str">
        <f ca="1">IFERROR(__xludf.DUMMYFUNCTION("""COMPUTED_VALUE"""),"5. Inclusión")</f>
        <v>5. Inclusión</v>
      </c>
      <c r="D280" s="79" t="str">
        <f ca="1">IFERROR(__xludf.DUMMYFUNCTION("""COMPUTED_VALUE"""),"Guadalajara sin Barreras")</f>
        <v>Guadalajara sin Barreras</v>
      </c>
      <c r="E280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0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0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0" s="79" t="str">
        <f ca="1">IFERROR(__xludf.DUMMYFUNCTION("""COMPUTED_VALUE"""),"AMM Noviembre")</f>
        <v>AMM Noviembre</v>
      </c>
      <c r="I280" s="79" t="str">
        <f ca="1">IFERROR(__xludf.DUMMYFUNCTION("""COMPUTED_VALUE"""),"Noviembre")</f>
        <v>Noviembre</v>
      </c>
      <c r="J280" s="79" t="str">
        <f ca="1">IFERROR(__xludf.DUMMYFUNCTION("""COMPUTED_VALUE"""),"AMM")</f>
        <v>AMM</v>
      </c>
      <c r="K280" s="80">
        <f ca="1">IFERROR(__xludf.DUMMYFUNCTION("""COMPUTED_VALUE"""),0)</f>
        <v>0</v>
      </c>
      <c r="L280" s="79" t="str">
        <f ca="1">IFERROR(__xludf.DUMMYFUNCTION("""COMPUTED_VALUE"""),"TRIMESTRE 4")</f>
        <v>TRIMESTRE 4</v>
      </c>
      <c r="M280" s="79" t="str">
        <f ca="1">IFERROR(__xludf.DUMMYFUNCTION("""COMPUTED_VALUE"""),"ADULTA MAYOR MUJER")</f>
        <v>ADULTA MAYOR MUJER</v>
      </c>
    </row>
    <row r="281" spans="1:13">
      <c r="A281" s="79" t="str">
        <f ca="1">IFERROR(__xludf.DUMMYFUNCTION("""COMPUTED_VALUE"""),"6.1.2.0")</f>
        <v>6.1.2.0</v>
      </c>
      <c r="B281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1" s="79" t="str">
        <f ca="1">IFERROR(__xludf.DUMMYFUNCTION("""COMPUTED_VALUE"""),"5. Inclusión")</f>
        <v>5. Inclusión</v>
      </c>
      <c r="D281" s="79" t="str">
        <f ca="1">IFERROR(__xludf.DUMMYFUNCTION("""COMPUTED_VALUE"""),"Guadalajara sin Barreras")</f>
        <v>Guadalajara sin Barreras</v>
      </c>
      <c r="E281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1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1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1" s="79" t="str">
        <f ca="1">IFERROR(__xludf.DUMMYFUNCTION("""COMPUTED_VALUE"""),"AMH Noviembre")</f>
        <v>AMH Noviembre</v>
      </c>
      <c r="I281" s="79" t="str">
        <f ca="1">IFERROR(__xludf.DUMMYFUNCTION("""COMPUTED_VALUE"""),"Noviembre")</f>
        <v>Noviembre</v>
      </c>
      <c r="J281" s="79" t="str">
        <f ca="1">IFERROR(__xludf.DUMMYFUNCTION("""COMPUTED_VALUE"""),"AMH")</f>
        <v>AMH</v>
      </c>
      <c r="K281" s="80">
        <f ca="1">IFERROR(__xludf.DUMMYFUNCTION("""COMPUTED_VALUE"""),0)</f>
        <v>0</v>
      </c>
      <c r="L281" s="79" t="str">
        <f ca="1">IFERROR(__xludf.DUMMYFUNCTION("""COMPUTED_VALUE"""),"TRIMESTRE 4")</f>
        <v>TRIMESTRE 4</v>
      </c>
      <c r="M281" s="79" t="str">
        <f ca="1">IFERROR(__xludf.DUMMYFUNCTION("""COMPUTED_VALUE"""),"ADULTO MAYOR HOMBRE")</f>
        <v>ADULTO MAYOR HOMBRE</v>
      </c>
    </row>
    <row r="282" spans="1:13">
      <c r="A282" s="79" t="str">
        <f ca="1">IFERROR(__xludf.DUMMYFUNCTION("""COMPUTED_VALUE"""),"6.1.2.0")</f>
        <v>6.1.2.0</v>
      </c>
      <c r="B282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2" s="79" t="str">
        <f ca="1">IFERROR(__xludf.DUMMYFUNCTION("""COMPUTED_VALUE"""),"5. Inclusión")</f>
        <v>5. Inclusión</v>
      </c>
      <c r="D282" s="79" t="str">
        <f ca="1">IFERROR(__xludf.DUMMYFUNCTION("""COMPUTED_VALUE"""),"Guadalajara sin Barreras")</f>
        <v>Guadalajara sin Barreras</v>
      </c>
      <c r="E282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2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2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2" s="79" t="str">
        <f ca="1">IFERROR(__xludf.DUMMYFUNCTION("""COMPUTED_VALUE"""),"NAS Diciembre")</f>
        <v>NAS Diciembre</v>
      </c>
      <c r="I282" s="79" t="str">
        <f ca="1">IFERROR(__xludf.DUMMYFUNCTION("""COMPUTED_VALUE"""),"Diciembre")</f>
        <v>Diciembre</v>
      </c>
      <c r="J282" s="79" t="str">
        <f ca="1">IFERROR(__xludf.DUMMYFUNCTION("""COMPUTED_VALUE"""),"NAS")</f>
        <v>NAS</v>
      </c>
      <c r="K282" s="80">
        <f ca="1">IFERROR(__xludf.DUMMYFUNCTION("""COMPUTED_VALUE"""),62)</f>
        <v>62</v>
      </c>
      <c r="L282" s="79" t="str">
        <f ca="1">IFERROR(__xludf.DUMMYFUNCTION("""COMPUTED_VALUE"""),"TRIMESTRE 4")</f>
        <v>TRIMESTRE 4</v>
      </c>
      <c r="M282" s="79" t="str">
        <f ca="1">IFERROR(__xludf.DUMMYFUNCTION("""COMPUTED_VALUE"""),"NIÑAS")</f>
        <v>NIÑAS</v>
      </c>
    </row>
    <row r="283" spans="1:13">
      <c r="A283" s="79" t="str">
        <f ca="1">IFERROR(__xludf.DUMMYFUNCTION("""COMPUTED_VALUE"""),"6.1.2.0")</f>
        <v>6.1.2.0</v>
      </c>
      <c r="B283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3" s="79" t="str">
        <f ca="1">IFERROR(__xludf.DUMMYFUNCTION("""COMPUTED_VALUE"""),"5. Inclusión")</f>
        <v>5. Inclusión</v>
      </c>
      <c r="D283" s="79" t="str">
        <f ca="1">IFERROR(__xludf.DUMMYFUNCTION("""COMPUTED_VALUE"""),"Guadalajara sin Barreras")</f>
        <v>Guadalajara sin Barreras</v>
      </c>
      <c r="E283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3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3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3" s="79" t="str">
        <f ca="1">IFERROR(__xludf.DUMMYFUNCTION("""COMPUTED_VALUE"""),"NOS Diciembre")</f>
        <v>NOS Diciembre</v>
      </c>
      <c r="I283" s="79" t="str">
        <f ca="1">IFERROR(__xludf.DUMMYFUNCTION("""COMPUTED_VALUE"""),"Diciembre")</f>
        <v>Diciembre</v>
      </c>
      <c r="J283" s="79" t="str">
        <f ca="1">IFERROR(__xludf.DUMMYFUNCTION("""COMPUTED_VALUE"""),"NOS")</f>
        <v>NOS</v>
      </c>
      <c r="K283" s="80">
        <f ca="1">IFERROR(__xludf.DUMMYFUNCTION("""COMPUTED_VALUE"""),284)</f>
        <v>284</v>
      </c>
      <c r="L283" s="79" t="str">
        <f ca="1">IFERROR(__xludf.DUMMYFUNCTION("""COMPUTED_VALUE"""),"TRIMESTRE 4")</f>
        <v>TRIMESTRE 4</v>
      </c>
      <c r="M283" s="79" t="str">
        <f ca="1">IFERROR(__xludf.DUMMYFUNCTION("""COMPUTED_VALUE"""),"NIÑOS")</f>
        <v>NIÑOS</v>
      </c>
    </row>
    <row r="284" spans="1:13">
      <c r="A284" s="79" t="str">
        <f ca="1">IFERROR(__xludf.DUMMYFUNCTION("""COMPUTED_VALUE"""),"6.1.2.0")</f>
        <v>6.1.2.0</v>
      </c>
      <c r="B284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4" s="79" t="str">
        <f ca="1">IFERROR(__xludf.DUMMYFUNCTION("""COMPUTED_VALUE"""),"5. Inclusión")</f>
        <v>5. Inclusión</v>
      </c>
      <c r="D284" s="79" t="str">
        <f ca="1">IFERROR(__xludf.DUMMYFUNCTION("""COMPUTED_VALUE"""),"Guadalajara sin Barreras")</f>
        <v>Guadalajara sin Barreras</v>
      </c>
      <c r="E284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4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4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4" s="79" t="str">
        <f ca="1">IFERROR(__xludf.DUMMYFUNCTION("""COMPUTED_VALUE"""),"AM DICIEMBRE")</f>
        <v>AM DICIEMBRE</v>
      </c>
      <c r="I284" s="79" t="str">
        <f ca="1">IFERROR(__xludf.DUMMYFUNCTION("""COMPUTED_VALUE"""),"Diciembre")</f>
        <v>Diciembre</v>
      </c>
      <c r="J284" s="79" t="str">
        <f ca="1">IFERROR(__xludf.DUMMYFUNCTION("""COMPUTED_VALUE"""),"AM")</f>
        <v>AM</v>
      </c>
      <c r="K284" s="80">
        <f ca="1">IFERROR(__xludf.DUMMYFUNCTION("""COMPUTED_VALUE"""),9)</f>
        <v>9</v>
      </c>
      <c r="L284" s="79" t="str">
        <f ca="1">IFERROR(__xludf.DUMMYFUNCTION("""COMPUTED_VALUE"""),"TRIMESTRE 4")</f>
        <v>TRIMESTRE 4</v>
      </c>
      <c r="M284" s="79" t="str">
        <f ca="1">IFERROR(__xludf.DUMMYFUNCTION("""COMPUTED_VALUE"""),"ADOLESCENTES MUJERES")</f>
        <v>ADOLESCENTES MUJERES</v>
      </c>
    </row>
    <row r="285" spans="1:13">
      <c r="A285" s="79" t="str">
        <f ca="1">IFERROR(__xludf.DUMMYFUNCTION("""COMPUTED_VALUE"""),"6.1.2.0")</f>
        <v>6.1.2.0</v>
      </c>
      <c r="B285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5" s="79" t="str">
        <f ca="1">IFERROR(__xludf.DUMMYFUNCTION("""COMPUTED_VALUE"""),"5. Inclusión")</f>
        <v>5. Inclusión</v>
      </c>
      <c r="D285" s="79" t="str">
        <f ca="1">IFERROR(__xludf.DUMMYFUNCTION("""COMPUTED_VALUE"""),"Guadalajara sin Barreras")</f>
        <v>Guadalajara sin Barreras</v>
      </c>
      <c r="E285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5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5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5" s="79" t="str">
        <f ca="1">IFERROR(__xludf.DUMMYFUNCTION("""COMPUTED_VALUE"""),"AH DICIEMBRE")</f>
        <v>AH DICIEMBRE</v>
      </c>
      <c r="I285" s="79" t="str">
        <f ca="1">IFERROR(__xludf.DUMMYFUNCTION("""COMPUTED_VALUE"""),"Diciembre")</f>
        <v>Diciembre</v>
      </c>
      <c r="J285" s="79" t="str">
        <f ca="1">IFERROR(__xludf.DUMMYFUNCTION("""COMPUTED_VALUE"""),"AH")</f>
        <v>AH</v>
      </c>
      <c r="K285" s="80">
        <f ca="1">IFERROR(__xludf.DUMMYFUNCTION("""COMPUTED_VALUE"""),20)</f>
        <v>20</v>
      </c>
      <c r="L285" s="79" t="str">
        <f ca="1">IFERROR(__xludf.DUMMYFUNCTION("""COMPUTED_VALUE"""),"TRIMESTRE 4")</f>
        <v>TRIMESTRE 4</v>
      </c>
      <c r="M285" s="79" t="str">
        <f ca="1">IFERROR(__xludf.DUMMYFUNCTION("""COMPUTED_VALUE"""),"ADOLESCENTES HOMBRES")</f>
        <v>ADOLESCENTES HOMBRES</v>
      </c>
    </row>
    <row r="286" spans="1:13">
      <c r="A286" s="79" t="str">
        <f ca="1">IFERROR(__xludf.DUMMYFUNCTION("""COMPUTED_VALUE"""),"6.1.2.0")</f>
        <v>6.1.2.0</v>
      </c>
      <c r="B286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6" s="79" t="str">
        <f ca="1">IFERROR(__xludf.DUMMYFUNCTION("""COMPUTED_VALUE"""),"5. Inclusión")</f>
        <v>5. Inclusión</v>
      </c>
      <c r="D286" s="79" t="str">
        <f ca="1">IFERROR(__xludf.DUMMYFUNCTION("""COMPUTED_VALUE"""),"Guadalajara sin Barreras")</f>
        <v>Guadalajara sin Barreras</v>
      </c>
      <c r="E286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6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6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6" s="79" t="str">
        <f ca="1">IFERROR(__xludf.DUMMYFUNCTION("""COMPUTED_VALUE"""),"MUJ Diciembre")</f>
        <v>MUJ Diciembre</v>
      </c>
      <c r="I286" s="79" t="str">
        <f ca="1">IFERROR(__xludf.DUMMYFUNCTION("""COMPUTED_VALUE"""),"Diciembre")</f>
        <v>Diciembre</v>
      </c>
      <c r="J286" s="79" t="str">
        <f ca="1">IFERROR(__xludf.DUMMYFUNCTION("""COMPUTED_VALUE"""),"MUJ")</f>
        <v>MUJ</v>
      </c>
      <c r="K286" s="80">
        <f ca="1">IFERROR(__xludf.DUMMYFUNCTION("""COMPUTED_VALUE"""),14)</f>
        <v>14</v>
      </c>
      <c r="L286" s="79" t="str">
        <f ca="1">IFERROR(__xludf.DUMMYFUNCTION("""COMPUTED_VALUE"""),"TRIMESTRE 4")</f>
        <v>TRIMESTRE 4</v>
      </c>
      <c r="M286" s="79" t="str">
        <f ca="1">IFERROR(__xludf.DUMMYFUNCTION("""COMPUTED_VALUE"""),"MUJERES ADULTAS")</f>
        <v>MUJERES ADULTAS</v>
      </c>
    </row>
    <row r="287" spans="1:13">
      <c r="A287" s="79" t="str">
        <f ca="1">IFERROR(__xludf.DUMMYFUNCTION("""COMPUTED_VALUE"""),"6.1.2.0")</f>
        <v>6.1.2.0</v>
      </c>
      <c r="B287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7" s="79" t="str">
        <f ca="1">IFERROR(__xludf.DUMMYFUNCTION("""COMPUTED_VALUE"""),"5. Inclusión")</f>
        <v>5. Inclusión</v>
      </c>
      <c r="D287" s="79" t="str">
        <f ca="1">IFERROR(__xludf.DUMMYFUNCTION("""COMPUTED_VALUE"""),"Guadalajara sin Barreras")</f>
        <v>Guadalajara sin Barreras</v>
      </c>
      <c r="E287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7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7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7" s="79" t="str">
        <f ca="1">IFERROR(__xludf.DUMMYFUNCTION("""COMPUTED_VALUE"""),"HOM Diciembre")</f>
        <v>HOM Diciembre</v>
      </c>
      <c r="I287" s="79" t="str">
        <f ca="1">IFERROR(__xludf.DUMMYFUNCTION("""COMPUTED_VALUE"""),"Diciembre")</f>
        <v>Diciembre</v>
      </c>
      <c r="J287" s="79" t="str">
        <f ca="1">IFERROR(__xludf.DUMMYFUNCTION("""COMPUTED_VALUE"""),"HOM")</f>
        <v>HOM</v>
      </c>
      <c r="K287" s="80">
        <f ca="1">IFERROR(__xludf.DUMMYFUNCTION("""COMPUTED_VALUE"""),28)</f>
        <v>28</v>
      </c>
      <c r="L287" s="79" t="str">
        <f ca="1">IFERROR(__xludf.DUMMYFUNCTION("""COMPUTED_VALUE"""),"TRIMESTRE 4")</f>
        <v>TRIMESTRE 4</v>
      </c>
      <c r="M287" s="79" t="str">
        <f ca="1">IFERROR(__xludf.DUMMYFUNCTION("""COMPUTED_VALUE"""),"HOMBRES ADULTOS")</f>
        <v>HOMBRES ADULTOS</v>
      </c>
    </row>
    <row r="288" spans="1:13">
      <c r="A288" s="79" t="str">
        <f ca="1">IFERROR(__xludf.DUMMYFUNCTION("""COMPUTED_VALUE"""),"6.1.2.0")</f>
        <v>6.1.2.0</v>
      </c>
      <c r="B288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8" s="79" t="str">
        <f ca="1">IFERROR(__xludf.DUMMYFUNCTION("""COMPUTED_VALUE"""),"5. Inclusión")</f>
        <v>5. Inclusión</v>
      </c>
      <c r="D288" s="79" t="str">
        <f ca="1">IFERROR(__xludf.DUMMYFUNCTION("""COMPUTED_VALUE"""),"Guadalajara sin Barreras")</f>
        <v>Guadalajara sin Barreras</v>
      </c>
      <c r="E288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8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8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8" s="79" t="str">
        <f ca="1">IFERROR(__xludf.DUMMYFUNCTION("""COMPUTED_VALUE"""),"AMM Diciembre")</f>
        <v>AMM Diciembre</v>
      </c>
      <c r="I288" s="79" t="str">
        <f ca="1">IFERROR(__xludf.DUMMYFUNCTION("""COMPUTED_VALUE"""),"Diciembre")</f>
        <v>Diciembre</v>
      </c>
      <c r="J288" s="79" t="str">
        <f ca="1">IFERROR(__xludf.DUMMYFUNCTION("""COMPUTED_VALUE"""),"AMM")</f>
        <v>AMM</v>
      </c>
      <c r="K288" s="80">
        <f ca="1">IFERROR(__xludf.DUMMYFUNCTION("""COMPUTED_VALUE"""),0)</f>
        <v>0</v>
      </c>
      <c r="L288" s="79" t="str">
        <f ca="1">IFERROR(__xludf.DUMMYFUNCTION("""COMPUTED_VALUE"""),"TRIMESTRE 4")</f>
        <v>TRIMESTRE 4</v>
      </c>
      <c r="M288" s="79" t="str">
        <f ca="1">IFERROR(__xludf.DUMMYFUNCTION("""COMPUTED_VALUE"""),"ADULTA MAYOR MUJER")</f>
        <v>ADULTA MAYOR MUJER</v>
      </c>
    </row>
    <row r="289" spans="1:26">
      <c r="A289" s="79" t="str">
        <f ca="1">IFERROR(__xludf.DUMMYFUNCTION("""COMPUTED_VALUE"""),"6.1.2.0")</f>
        <v>6.1.2.0</v>
      </c>
      <c r="B289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289" s="79" t="str">
        <f ca="1">IFERROR(__xludf.DUMMYFUNCTION("""COMPUTED_VALUE"""),"5. Inclusión")</f>
        <v>5. Inclusión</v>
      </c>
      <c r="D289" s="79" t="str">
        <f ca="1">IFERROR(__xludf.DUMMYFUNCTION("""COMPUTED_VALUE"""),"Guadalajara sin Barreras")</f>
        <v>Guadalajara sin Barreras</v>
      </c>
      <c r="E289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289" s="79" t="str">
        <f ca="1">IFERROR(__xludf.DUMMYFUNCTION("""COMPUTED_VALUE"""),"C2. Servicios de atención integral a personas con discapacidad intelectual y Trastorno del Espectro Autismo brindados en CADI")</f>
        <v>C2. Servicios de atención integral a personas con discapacidad intelectual y Trastorno del Espectro Autismo brindados en CADI</v>
      </c>
      <c r="G289" s="79" t="str">
        <f ca="1">IFERROR(__xludf.DUMMYFUNCTION("""COMPUTED_VALUE"""),"Promedio de personas atendidas en terapia especializada y que reciben terapias complementarias en CADI en el 2024")</f>
        <v>Promedio de personas atendidas en terapia especializada y que reciben terapias complementarias en CADI en el 2024</v>
      </c>
      <c r="H289" s="79" t="str">
        <f ca="1">IFERROR(__xludf.DUMMYFUNCTION("""COMPUTED_VALUE"""),"AMH Diciembre")</f>
        <v>AMH Diciembre</v>
      </c>
      <c r="I289" s="79" t="str">
        <f ca="1">IFERROR(__xludf.DUMMYFUNCTION("""COMPUTED_VALUE"""),"Diciembre")</f>
        <v>Diciembre</v>
      </c>
      <c r="J289" s="79" t="str">
        <f ca="1">IFERROR(__xludf.DUMMYFUNCTION("""COMPUTED_VALUE"""),"AMH")</f>
        <v>AMH</v>
      </c>
      <c r="K289" s="80">
        <f ca="1">IFERROR(__xludf.DUMMYFUNCTION("""COMPUTED_VALUE"""),0)</f>
        <v>0</v>
      </c>
      <c r="L289" s="79" t="str">
        <f ca="1">IFERROR(__xludf.DUMMYFUNCTION("""COMPUTED_VALUE"""),"TRIMESTRE 4")</f>
        <v>TRIMESTRE 4</v>
      </c>
      <c r="M289" s="79" t="str">
        <f ca="1">IFERROR(__xludf.DUMMYFUNCTION("""COMPUTED_VALUE"""),"ADULTO MAYOR HOMBRE")</f>
        <v>ADULTO MAYOR HOMBRE</v>
      </c>
    </row>
    <row r="290" spans="1:26">
      <c r="A290" s="81" t="str">
        <f ca="1">IFERROR(__xludf.DUMMYFUNCTION("""COMPUTED_VALUE"""),"6.1.3.1")</f>
        <v>6.1.3.1</v>
      </c>
      <c r="B290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0" s="81" t="str">
        <f ca="1">IFERROR(__xludf.DUMMYFUNCTION("""COMPUTED_VALUE"""),"5. Inclusión")</f>
        <v>5. Inclusión</v>
      </c>
      <c r="D290" s="81" t="str">
        <f ca="1">IFERROR(__xludf.DUMMYFUNCTION("""COMPUTED_VALUE"""),"Guadalajara sin Barreras")</f>
        <v>Guadalajara sin Barreras</v>
      </c>
      <c r="E290" s="81" t="str">
        <f ca="1">IFERROR(__xludf.DUMMYFUNCTION("""COMPUTED_VALUE"""),"Cultura para la Inclusión")</f>
        <v>Cultura para la Inclusión</v>
      </c>
      <c r="F290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0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0" s="81" t="str">
        <f ca="1">IFERROR(__xludf.DUMMYFUNCTION("""COMPUTED_VALUE"""),"NAS enero")</f>
        <v>NAS enero</v>
      </c>
      <c r="I290" s="81" t="str">
        <f ca="1">IFERROR(__xludf.DUMMYFUNCTION("""COMPUTED_VALUE"""),"Enero")</f>
        <v>Enero</v>
      </c>
      <c r="J290" s="81" t="str">
        <f ca="1">IFERROR(__xludf.DUMMYFUNCTION("""COMPUTED_VALUE"""),"NAS")</f>
        <v>NAS</v>
      </c>
      <c r="K290" s="80">
        <f ca="1">IFERROR(__xludf.DUMMYFUNCTION("""COMPUTED_VALUE"""),0)</f>
        <v>0</v>
      </c>
      <c r="L290" s="81" t="str">
        <f ca="1">IFERROR(__xludf.DUMMYFUNCTION("""COMPUTED_VALUE"""),"TRIMESTRE 1")</f>
        <v>TRIMESTRE 1</v>
      </c>
      <c r="M290" s="81" t="str">
        <f ca="1">IFERROR(__xludf.DUMMYFUNCTION("""COMPUTED_VALUE"""),"NIÑAS")</f>
        <v>NIÑAS</v>
      </c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</row>
    <row r="291" spans="1:26">
      <c r="A291" s="81" t="str">
        <f ca="1">IFERROR(__xludf.DUMMYFUNCTION("""COMPUTED_VALUE"""),"6.1.3.1")</f>
        <v>6.1.3.1</v>
      </c>
      <c r="B291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1" s="81" t="str">
        <f ca="1">IFERROR(__xludf.DUMMYFUNCTION("""COMPUTED_VALUE"""),"5. Inclusión")</f>
        <v>5. Inclusión</v>
      </c>
      <c r="D291" s="81" t="str">
        <f ca="1">IFERROR(__xludf.DUMMYFUNCTION("""COMPUTED_VALUE"""),"Guadalajara sin Barreras")</f>
        <v>Guadalajara sin Barreras</v>
      </c>
      <c r="E291" s="81" t="str">
        <f ca="1">IFERROR(__xludf.DUMMYFUNCTION("""COMPUTED_VALUE"""),"Cultura para la Inclusión")</f>
        <v>Cultura para la Inclusión</v>
      </c>
      <c r="F291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1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1" s="81" t="str">
        <f ca="1">IFERROR(__xludf.DUMMYFUNCTION("""COMPUTED_VALUE"""),"NOS enero")</f>
        <v>NOS enero</v>
      </c>
      <c r="I291" s="81" t="str">
        <f ca="1">IFERROR(__xludf.DUMMYFUNCTION("""COMPUTED_VALUE"""),"Enero")</f>
        <v>Enero</v>
      </c>
      <c r="J291" s="81" t="str">
        <f ca="1">IFERROR(__xludf.DUMMYFUNCTION("""COMPUTED_VALUE"""),"NOS")</f>
        <v>NOS</v>
      </c>
      <c r="K291" s="80">
        <f ca="1">IFERROR(__xludf.DUMMYFUNCTION("""COMPUTED_VALUE"""),0)</f>
        <v>0</v>
      </c>
      <c r="L291" s="81" t="str">
        <f ca="1">IFERROR(__xludf.DUMMYFUNCTION("""COMPUTED_VALUE"""),"TRIMESTRE 1")</f>
        <v>TRIMESTRE 1</v>
      </c>
      <c r="M291" s="81" t="str">
        <f ca="1">IFERROR(__xludf.DUMMYFUNCTION("""COMPUTED_VALUE"""),"NIÑOS")</f>
        <v>NIÑOS</v>
      </c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</row>
    <row r="292" spans="1:26">
      <c r="A292" s="81" t="str">
        <f ca="1">IFERROR(__xludf.DUMMYFUNCTION("""COMPUTED_VALUE"""),"6.1.3.1")</f>
        <v>6.1.3.1</v>
      </c>
      <c r="B292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2" s="81" t="str">
        <f ca="1">IFERROR(__xludf.DUMMYFUNCTION("""COMPUTED_VALUE"""),"5. Inclusión")</f>
        <v>5. Inclusión</v>
      </c>
      <c r="D292" s="81" t="str">
        <f ca="1">IFERROR(__xludf.DUMMYFUNCTION("""COMPUTED_VALUE"""),"Guadalajara sin Barreras")</f>
        <v>Guadalajara sin Barreras</v>
      </c>
      <c r="E292" s="81" t="str">
        <f ca="1">IFERROR(__xludf.DUMMYFUNCTION("""COMPUTED_VALUE"""),"Cultura para la Inclusión")</f>
        <v>Cultura para la Inclusión</v>
      </c>
      <c r="F292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2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2" s="81" t="str">
        <f ca="1">IFERROR(__xludf.DUMMYFUNCTION("""COMPUTED_VALUE"""),"AM enero")</f>
        <v>AM enero</v>
      </c>
      <c r="I292" s="81" t="str">
        <f ca="1">IFERROR(__xludf.DUMMYFUNCTION("""COMPUTED_VALUE"""),"Enero")</f>
        <v>Enero</v>
      </c>
      <c r="J292" s="81" t="str">
        <f ca="1">IFERROR(__xludf.DUMMYFUNCTION("""COMPUTED_VALUE"""),"AM")</f>
        <v>AM</v>
      </c>
      <c r="K292" s="80">
        <f ca="1">IFERROR(__xludf.DUMMYFUNCTION("""COMPUTED_VALUE"""),0)</f>
        <v>0</v>
      </c>
      <c r="L292" s="81" t="str">
        <f ca="1">IFERROR(__xludf.DUMMYFUNCTION("""COMPUTED_VALUE"""),"TRIMESTRE 1")</f>
        <v>TRIMESTRE 1</v>
      </c>
      <c r="M292" s="81" t="str">
        <f ca="1">IFERROR(__xludf.DUMMYFUNCTION("""COMPUTED_VALUE"""),"ADOLESCENTES MUJERES")</f>
        <v>ADOLESCENTES MUJERES</v>
      </c>
      <c r="N292" s="81"/>
      <c r="O292" s="81"/>
      <c r="P292" s="81"/>
      <c r="Q292" s="81"/>
      <c r="R292" s="81"/>
      <c r="S292" s="81"/>
      <c r="T292" s="81"/>
      <c r="U292" s="81"/>
      <c r="V292" s="81"/>
      <c r="W292" s="81"/>
      <c r="X292" s="81"/>
      <c r="Y292" s="81"/>
      <c r="Z292" s="81"/>
    </row>
    <row r="293" spans="1:26">
      <c r="A293" s="81" t="str">
        <f ca="1">IFERROR(__xludf.DUMMYFUNCTION("""COMPUTED_VALUE"""),"6.1.3.1")</f>
        <v>6.1.3.1</v>
      </c>
      <c r="B293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3" s="81" t="str">
        <f ca="1">IFERROR(__xludf.DUMMYFUNCTION("""COMPUTED_VALUE"""),"5. Inclusión")</f>
        <v>5. Inclusión</v>
      </c>
      <c r="D293" s="81" t="str">
        <f ca="1">IFERROR(__xludf.DUMMYFUNCTION("""COMPUTED_VALUE"""),"Guadalajara sin Barreras")</f>
        <v>Guadalajara sin Barreras</v>
      </c>
      <c r="E293" s="81" t="str">
        <f ca="1">IFERROR(__xludf.DUMMYFUNCTION("""COMPUTED_VALUE"""),"Cultura para la Inclusión")</f>
        <v>Cultura para la Inclusión</v>
      </c>
      <c r="F293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3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3" s="81" t="str">
        <f ca="1">IFERROR(__xludf.DUMMYFUNCTION("""COMPUTED_VALUE"""),"AH enero")</f>
        <v>AH enero</v>
      </c>
      <c r="I293" s="81" t="str">
        <f ca="1">IFERROR(__xludf.DUMMYFUNCTION("""COMPUTED_VALUE"""),"Enero")</f>
        <v>Enero</v>
      </c>
      <c r="J293" s="81" t="str">
        <f ca="1">IFERROR(__xludf.DUMMYFUNCTION("""COMPUTED_VALUE"""),"AH")</f>
        <v>AH</v>
      </c>
      <c r="K293" s="80">
        <f ca="1">IFERROR(__xludf.DUMMYFUNCTION("""COMPUTED_VALUE"""),0)</f>
        <v>0</v>
      </c>
      <c r="L293" s="81" t="str">
        <f ca="1">IFERROR(__xludf.DUMMYFUNCTION("""COMPUTED_VALUE"""),"TRIMESTRE 1")</f>
        <v>TRIMESTRE 1</v>
      </c>
      <c r="M293" s="81" t="str">
        <f ca="1">IFERROR(__xludf.DUMMYFUNCTION("""COMPUTED_VALUE"""),"ADOLESCENTES HOMBRES")</f>
        <v>ADOLESCENTES HOMBRES</v>
      </c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</row>
    <row r="294" spans="1:26">
      <c r="A294" s="81" t="str">
        <f ca="1">IFERROR(__xludf.DUMMYFUNCTION("""COMPUTED_VALUE"""),"6.1.3.1")</f>
        <v>6.1.3.1</v>
      </c>
      <c r="B294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4" s="81" t="str">
        <f ca="1">IFERROR(__xludf.DUMMYFUNCTION("""COMPUTED_VALUE"""),"5. Inclusión")</f>
        <v>5. Inclusión</v>
      </c>
      <c r="D294" s="81" t="str">
        <f ca="1">IFERROR(__xludf.DUMMYFUNCTION("""COMPUTED_VALUE"""),"Guadalajara sin Barreras")</f>
        <v>Guadalajara sin Barreras</v>
      </c>
      <c r="E294" s="81" t="str">
        <f ca="1">IFERROR(__xludf.DUMMYFUNCTION("""COMPUTED_VALUE"""),"Cultura para la Inclusión")</f>
        <v>Cultura para la Inclusión</v>
      </c>
      <c r="F294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4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4" s="81" t="str">
        <f ca="1">IFERROR(__xludf.DUMMYFUNCTION("""COMPUTED_VALUE"""),"MUJ enero")</f>
        <v>MUJ enero</v>
      </c>
      <c r="I294" s="81" t="str">
        <f ca="1">IFERROR(__xludf.DUMMYFUNCTION("""COMPUTED_VALUE"""),"Enero")</f>
        <v>Enero</v>
      </c>
      <c r="J294" s="81" t="str">
        <f ca="1">IFERROR(__xludf.DUMMYFUNCTION("""COMPUTED_VALUE"""),"MUJ")</f>
        <v>MUJ</v>
      </c>
      <c r="K294" s="80">
        <f ca="1">IFERROR(__xludf.DUMMYFUNCTION("""COMPUTED_VALUE"""),10)</f>
        <v>10</v>
      </c>
      <c r="L294" s="81" t="str">
        <f ca="1">IFERROR(__xludf.DUMMYFUNCTION("""COMPUTED_VALUE"""),"TRIMESTRE 1")</f>
        <v>TRIMESTRE 1</v>
      </c>
      <c r="M294" s="81" t="str">
        <f ca="1">IFERROR(__xludf.DUMMYFUNCTION("""COMPUTED_VALUE"""),"MUJERES ADULTAS")</f>
        <v>MUJERES ADULTAS</v>
      </c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</row>
    <row r="295" spans="1:26">
      <c r="A295" s="81" t="str">
        <f ca="1">IFERROR(__xludf.DUMMYFUNCTION("""COMPUTED_VALUE"""),"6.1.3.1")</f>
        <v>6.1.3.1</v>
      </c>
      <c r="B295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5" s="81" t="str">
        <f ca="1">IFERROR(__xludf.DUMMYFUNCTION("""COMPUTED_VALUE"""),"5. Inclusión")</f>
        <v>5. Inclusión</v>
      </c>
      <c r="D295" s="81" t="str">
        <f ca="1">IFERROR(__xludf.DUMMYFUNCTION("""COMPUTED_VALUE"""),"Guadalajara sin Barreras")</f>
        <v>Guadalajara sin Barreras</v>
      </c>
      <c r="E295" s="81" t="str">
        <f ca="1">IFERROR(__xludf.DUMMYFUNCTION("""COMPUTED_VALUE"""),"Cultura para la Inclusión")</f>
        <v>Cultura para la Inclusión</v>
      </c>
      <c r="F295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5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5" s="81" t="str">
        <f ca="1">IFERROR(__xludf.DUMMYFUNCTION("""COMPUTED_VALUE"""),"HOM enero")</f>
        <v>HOM enero</v>
      </c>
      <c r="I295" s="81" t="str">
        <f ca="1">IFERROR(__xludf.DUMMYFUNCTION("""COMPUTED_VALUE"""),"Enero")</f>
        <v>Enero</v>
      </c>
      <c r="J295" s="81" t="str">
        <f ca="1">IFERROR(__xludf.DUMMYFUNCTION("""COMPUTED_VALUE"""),"HOM")</f>
        <v>HOM</v>
      </c>
      <c r="K295" s="80">
        <f ca="1">IFERROR(__xludf.DUMMYFUNCTION("""COMPUTED_VALUE"""),15)</f>
        <v>15</v>
      </c>
      <c r="L295" s="81" t="str">
        <f ca="1">IFERROR(__xludf.DUMMYFUNCTION("""COMPUTED_VALUE"""),"TRIMESTRE 1")</f>
        <v>TRIMESTRE 1</v>
      </c>
      <c r="M295" s="81" t="str">
        <f ca="1">IFERROR(__xludf.DUMMYFUNCTION("""COMPUTED_VALUE"""),"HOMBRES ADULTOS")</f>
        <v>HOMBRES ADULTOS</v>
      </c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</row>
    <row r="296" spans="1:26">
      <c r="A296" s="81" t="str">
        <f ca="1">IFERROR(__xludf.DUMMYFUNCTION("""COMPUTED_VALUE"""),"6.1.3.1")</f>
        <v>6.1.3.1</v>
      </c>
      <c r="B296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6" s="81" t="str">
        <f ca="1">IFERROR(__xludf.DUMMYFUNCTION("""COMPUTED_VALUE"""),"5. Inclusión")</f>
        <v>5. Inclusión</v>
      </c>
      <c r="D296" s="81" t="str">
        <f ca="1">IFERROR(__xludf.DUMMYFUNCTION("""COMPUTED_VALUE"""),"Guadalajara sin Barreras")</f>
        <v>Guadalajara sin Barreras</v>
      </c>
      <c r="E296" s="81" t="str">
        <f ca="1">IFERROR(__xludf.DUMMYFUNCTION("""COMPUTED_VALUE"""),"Cultura para la Inclusión")</f>
        <v>Cultura para la Inclusión</v>
      </c>
      <c r="F296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6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6" s="81" t="str">
        <f ca="1">IFERROR(__xludf.DUMMYFUNCTION("""COMPUTED_VALUE"""),"AMM enero")</f>
        <v>AMM enero</v>
      </c>
      <c r="I296" s="81" t="str">
        <f ca="1">IFERROR(__xludf.DUMMYFUNCTION("""COMPUTED_VALUE"""),"Enero")</f>
        <v>Enero</v>
      </c>
      <c r="J296" s="81" t="str">
        <f ca="1">IFERROR(__xludf.DUMMYFUNCTION("""COMPUTED_VALUE"""),"AMM")</f>
        <v>AMM</v>
      </c>
      <c r="K296" s="80">
        <f ca="1">IFERROR(__xludf.DUMMYFUNCTION("""COMPUTED_VALUE"""),0)</f>
        <v>0</v>
      </c>
      <c r="L296" s="81" t="str">
        <f ca="1">IFERROR(__xludf.DUMMYFUNCTION("""COMPUTED_VALUE"""),"TRIMESTRE 1")</f>
        <v>TRIMESTRE 1</v>
      </c>
      <c r="M296" s="81" t="str">
        <f ca="1">IFERROR(__xludf.DUMMYFUNCTION("""COMPUTED_VALUE"""),"ADULTA MAYOR MUJER")</f>
        <v>ADULTA MAYOR MUJER</v>
      </c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</row>
    <row r="297" spans="1:26">
      <c r="A297" s="81" t="str">
        <f ca="1">IFERROR(__xludf.DUMMYFUNCTION("""COMPUTED_VALUE"""),"6.1.3.1")</f>
        <v>6.1.3.1</v>
      </c>
      <c r="B297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7" s="81" t="str">
        <f ca="1">IFERROR(__xludf.DUMMYFUNCTION("""COMPUTED_VALUE"""),"5. Inclusión")</f>
        <v>5. Inclusión</v>
      </c>
      <c r="D297" s="81" t="str">
        <f ca="1">IFERROR(__xludf.DUMMYFUNCTION("""COMPUTED_VALUE"""),"Guadalajara sin Barreras")</f>
        <v>Guadalajara sin Barreras</v>
      </c>
      <c r="E297" s="81" t="str">
        <f ca="1">IFERROR(__xludf.DUMMYFUNCTION("""COMPUTED_VALUE"""),"Cultura para la Inclusión")</f>
        <v>Cultura para la Inclusión</v>
      </c>
      <c r="F297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297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297" s="81" t="str">
        <f ca="1">IFERROR(__xludf.DUMMYFUNCTION("""COMPUTED_VALUE"""),"AMH enero")</f>
        <v>AMH enero</v>
      </c>
      <c r="I297" s="81" t="str">
        <f ca="1">IFERROR(__xludf.DUMMYFUNCTION("""COMPUTED_VALUE"""),"Enero")</f>
        <v>Enero</v>
      </c>
      <c r="J297" s="81" t="str">
        <f ca="1">IFERROR(__xludf.DUMMYFUNCTION("""COMPUTED_VALUE"""),"AMH")</f>
        <v>AMH</v>
      </c>
      <c r="K297" s="80">
        <f ca="1">IFERROR(__xludf.DUMMYFUNCTION("""COMPUTED_VALUE"""),0)</f>
        <v>0</v>
      </c>
      <c r="L297" s="81" t="str">
        <f ca="1">IFERROR(__xludf.DUMMYFUNCTION("""COMPUTED_VALUE"""),"TRIMESTRE 1")</f>
        <v>TRIMESTRE 1</v>
      </c>
      <c r="M297" s="81" t="str">
        <f ca="1">IFERROR(__xludf.DUMMYFUNCTION("""COMPUTED_VALUE"""),"ADULTO MAYOR HOMBRE")</f>
        <v>ADULTO MAYOR HOMBRE</v>
      </c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</row>
    <row r="298" spans="1:26">
      <c r="A298" s="79" t="str">
        <f ca="1">IFERROR(__xludf.DUMMYFUNCTION("""COMPUTED_VALUE"""),"6.1.3.2")</f>
        <v>6.1.3.2</v>
      </c>
      <c r="B298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8" s="79" t="str">
        <f ca="1">IFERROR(__xludf.DUMMYFUNCTION("""COMPUTED_VALUE"""),"5. Inclusión")</f>
        <v>5. Inclusión</v>
      </c>
      <c r="D298" s="79" t="str">
        <f ca="1">IFERROR(__xludf.DUMMYFUNCTION("""COMPUTED_VALUE"""),"Guadalajara sin Barreras")</f>
        <v>Guadalajara sin Barreras</v>
      </c>
      <c r="E298" s="79" t="str">
        <f ca="1">IFERROR(__xludf.DUMMYFUNCTION("""COMPUTED_VALUE"""),"Cultura para la Inclusión")</f>
        <v>Cultura para la Inclusión</v>
      </c>
      <c r="F298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298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298" s="79" t="str">
        <f ca="1">IFERROR(__xludf.DUMMYFUNCTION("""COMPUTED_VALUE"""),"NAS enero")</f>
        <v>NAS enero</v>
      </c>
      <c r="I298" s="79" t="str">
        <f ca="1">IFERROR(__xludf.DUMMYFUNCTION("""COMPUTED_VALUE"""),"Enero")</f>
        <v>Enero</v>
      </c>
      <c r="J298" s="79" t="str">
        <f ca="1">IFERROR(__xludf.DUMMYFUNCTION("""COMPUTED_VALUE"""),"NAS")</f>
        <v>NAS</v>
      </c>
      <c r="K298" s="80">
        <f ca="1">IFERROR(__xludf.DUMMYFUNCTION("""COMPUTED_VALUE"""),0)</f>
        <v>0</v>
      </c>
      <c r="L298" s="79" t="str">
        <f ca="1">IFERROR(__xludf.DUMMYFUNCTION("""COMPUTED_VALUE"""),"TRIMESTRE 1")</f>
        <v>TRIMESTRE 1</v>
      </c>
      <c r="M298" s="79" t="str">
        <f ca="1">IFERROR(__xludf.DUMMYFUNCTION("""COMPUTED_VALUE"""),"NIÑAS")</f>
        <v>NIÑAS</v>
      </c>
    </row>
    <row r="299" spans="1:26">
      <c r="A299" s="79" t="str">
        <f ca="1">IFERROR(__xludf.DUMMYFUNCTION("""COMPUTED_VALUE"""),"6.1.3.2")</f>
        <v>6.1.3.2</v>
      </c>
      <c r="B299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299" s="79" t="str">
        <f ca="1">IFERROR(__xludf.DUMMYFUNCTION("""COMPUTED_VALUE"""),"5. Inclusión")</f>
        <v>5. Inclusión</v>
      </c>
      <c r="D299" s="79" t="str">
        <f ca="1">IFERROR(__xludf.DUMMYFUNCTION("""COMPUTED_VALUE"""),"Guadalajara sin Barreras")</f>
        <v>Guadalajara sin Barreras</v>
      </c>
      <c r="E299" s="79" t="str">
        <f ca="1">IFERROR(__xludf.DUMMYFUNCTION("""COMPUTED_VALUE"""),"Cultura para la Inclusión")</f>
        <v>Cultura para la Inclusión</v>
      </c>
      <c r="F299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299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299" s="79" t="str">
        <f ca="1">IFERROR(__xludf.DUMMYFUNCTION("""COMPUTED_VALUE"""),"NOS enero")</f>
        <v>NOS enero</v>
      </c>
      <c r="I299" s="79" t="str">
        <f ca="1">IFERROR(__xludf.DUMMYFUNCTION("""COMPUTED_VALUE"""),"Enero")</f>
        <v>Enero</v>
      </c>
      <c r="J299" s="79" t="str">
        <f ca="1">IFERROR(__xludf.DUMMYFUNCTION("""COMPUTED_VALUE"""),"NOS")</f>
        <v>NOS</v>
      </c>
      <c r="K299" s="80">
        <f ca="1">IFERROR(__xludf.DUMMYFUNCTION("""COMPUTED_VALUE"""),0)</f>
        <v>0</v>
      </c>
      <c r="L299" s="79" t="str">
        <f ca="1">IFERROR(__xludf.DUMMYFUNCTION("""COMPUTED_VALUE"""),"TRIMESTRE 1")</f>
        <v>TRIMESTRE 1</v>
      </c>
      <c r="M299" s="79" t="str">
        <f ca="1">IFERROR(__xludf.DUMMYFUNCTION("""COMPUTED_VALUE"""),"NIÑOS")</f>
        <v>NIÑOS</v>
      </c>
    </row>
    <row r="300" spans="1:26">
      <c r="A300" s="79" t="str">
        <f ca="1">IFERROR(__xludf.DUMMYFUNCTION("""COMPUTED_VALUE"""),"6.1.3.2")</f>
        <v>6.1.3.2</v>
      </c>
      <c r="B300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0" s="79" t="str">
        <f ca="1">IFERROR(__xludf.DUMMYFUNCTION("""COMPUTED_VALUE"""),"5. Inclusión")</f>
        <v>5. Inclusión</v>
      </c>
      <c r="D300" s="79" t="str">
        <f ca="1">IFERROR(__xludf.DUMMYFUNCTION("""COMPUTED_VALUE"""),"Guadalajara sin Barreras")</f>
        <v>Guadalajara sin Barreras</v>
      </c>
      <c r="E300" s="79" t="str">
        <f ca="1">IFERROR(__xludf.DUMMYFUNCTION("""COMPUTED_VALUE"""),"Cultura para la Inclusión")</f>
        <v>Cultura para la Inclusión</v>
      </c>
      <c r="F300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00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00" s="79" t="str">
        <f ca="1">IFERROR(__xludf.DUMMYFUNCTION("""COMPUTED_VALUE"""),"AM enero")</f>
        <v>AM enero</v>
      </c>
      <c r="I300" s="79" t="str">
        <f ca="1">IFERROR(__xludf.DUMMYFUNCTION("""COMPUTED_VALUE"""),"Enero")</f>
        <v>Enero</v>
      </c>
      <c r="J300" s="79" t="str">
        <f ca="1">IFERROR(__xludf.DUMMYFUNCTION("""COMPUTED_VALUE"""),"AM")</f>
        <v>AM</v>
      </c>
      <c r="K300" s="80">
        <f ca="1">IFERROR(__xludf.DUMMYFUNCTION("""COMPUTED_VALUE"""),0)</f>
        <v>0</v>
      </c>
      <c r="L300" s="79" t="str">
        <f ca="1">IFERROR(__xludf.DUMMYFUNCTION("""COMPUTED_VALUE"""),"TRIMESTRE 1")</f>
        <v>TRIMESTRE 1</v>
      </c>
      <c r="M300" s="79" t="str">
        <f ca="1">IFERROR(__xludf.DUMMYFUNCTION("""COMPUTED_VALUE"""),"ADOLESCENTES MUJERES")</f>
        <v>ADOLESCENTES MUJERES</v>
      </c>
    </row>
    <row r="301" spans="1:26">
      <c r="A301" s="79" t="str">
        <f ca="1">IFERROR(__xludf.DUMMYFUNCTION("""COMPUTED_VALUE"""),"6.1.3.2")</f>
        <v>6.1.3.2</v>
      </c>
      <c r="B301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1" s="79" t="str">
        <f ca="1">IFERROR(__xludf.DUMMYFUNCTION("""COMPUTED_VALUE"""),"5. Inclusión")</f>
        <v>5. Inclusión</v>
      </c>
      <c r="D301" s="79" t="str">
        <f ca="1">IFERROR(__xludf.DUMMYFUNCTION("""COMPUTED_VALUE"""),"Guadalajara sin Barreras")</f>
        <v>Guadalajara sin Barreras</v>
      </c>
      <c r="E301" s="79" t="str">
        <f ca="1">IFERROR(__xludf.DUMMYFUNCTION("""COMPUTED_VALUE"""),"Cultura para la Inclusión")</f>
        <v>Cultura para la Inclusión</v>
      </c>
      <c r="F301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01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01" s="79" t="str">
        <f ca="1">IFERROR(__xludf.DUMMYFUNCTION("""COMPUTED_VALUE"""),"AH enero")</f>
        <v>AH enero</v>
      </c>
      <c r="I301" s="79" t="str">
        <f ca="1">IFERROR(__xludf.DUMMYFUNCTION("""COMPUTED_VALUE"""),"Enero")</f>
        <v>Enero</v>
      </c>
      <c r="J301" s="79" t="str">
        <f ca="1">IFERROR(__xludf.DUMMYFUNCTION("""COMPUTED_VALUE"""),"AH")</f>
        <v>AH</v>
      </c>
      <c r="K301" s="80">
        <f ca="1">IFERROR(__xludf.DUMMYFUNCTION("""COMPUTED_VALUE"""),0)</f>
        <v>0</v>
      </c>
      <c r="L301" s="79" t="str">
        <f ca="1">IFERROR(__xludf.DUMMYFUNCTION("""COMPUTED_VALUE"""),"TRIMESTRE 1")</f>
        <v>TRIMESTRE 1</v>
      </c>
      <c r="M301" s="79" t="str">
        <f ca="1">IFERROR(__xludf.DUMMYFUNCTION("""COMPUTED_VALUE"""),"ADOLESCENTES HOMBRES")</f>
        <v>ADOLESCENTES HOMBRES</v>
      </c>
    </row>
    <row r="302" spans="1:26">
      <c r="A302" s="79" t="str">
        <f ca="1">IFERROR(__xludf.DUMMYFUNCTION("""COMPUTED_VALUE"""),"6.1.3.2")</f>
        <v>6.1.3.2</v>
      </c>
      <c r="B302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2" s="79" t="str">
        <f ca="1">IFERROR(__xludf.DUMMYFUNCTION("""COMPUTED_VALUE"""),"5. Inclusión")</f>
        <v>5. Inclusión</v>
      </c>
      <c r="D302" s="79" t="str">
        <f ca="1">IFERROR(__xludf.DUMMYFUNCTION("""COMPUTED_VALUE"""),"Guadalajara sin Barreras")</f>
        <v>Guadalajara sin Barreras</v>
      </c>
      <c r="E302" s="79" t="str">
        <f ca="1">IFERROR(__xludf.DUMMYFUNCTION("""COMPUTED_VALUE"""),"Cultura para la Inclusión")</f>
        <v>Cultura para la Inclusión</v>
      </c>
      <c r="F302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02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02" s="79" t="str">
        <f ca="1">IFERROR(__xludf.DUMMYFUNCTION("""COMPUTED_VALUE"""),"MUJ enero")</f>
        <v>MUJ enero</v>
      </c>
      <c r="I302" s="79" t="str">
        <f ca="1">IFERROR(__xludf.DUMMYFUNCTION("""COMPUTED_VALUE"""),"Enero")</f>
        <v>Enero</v>
      </c>
      <c r="J302" s="79" t="str">
        <f ca="1">IFERROR(__xludf.DUMMYFUNCTION("""COMPUTED_VALUE"""),"MUJ")</f>
        <v>MUJ</v>
      </c>
      <c r="K302" s="80">
        <f ca="1">IFERROR(__xludf.DUMMYFUNCTION("""COMPUTED_VALUE"""),19)</f>
        <v>19</v>
      </c>
      <c r="L302" s="79" t="str">
        <f ca="1">IFERROR(__xludf.DUMMYFUNCTION("""COMPUTED_VALUE"""),"TRIMESTRE 1")</f>
        <v>TRIMESTRE 1</v>
      </c>
      <c r="M302" s="79" t="str">
        <f ca="1">IFERROR(__xludf.DUMMYFUNCTION("""COMPUTED_VALUE"""),"MUJERES ADULTAS")</f>
        <v>MUJERES ADULTAS</v>
      </c>
    </row>
    <row r="303" spans="1:26">
      <c r="A303" s="79" t="str">
        <f ca="1">IFERROR(__xludf.DUMMYFUNCTION("""COMPUTED_VALUE"""),"6.1.3.2")</f>
        <v>6.1.3.2</v>
      </c>
      <c r="B303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3" s="79" t="str">
        <f ca="1">IFERROR(__xludf.DUMMYFUNCTION("""COMPUTED_VALUE"""),"5. Inclusión")</f>
        <v>5. Inclusión</v>
      </c>
      <c r="D303" s="79" t="str">
        <f ca="1">IFERROR(__xludf.DUMMYFUNCTION("""COMPUTED_VALUE"""),"Guadalajara sin Barreras")</f>
        <v>Guadalajara sin Barreras</v>
      </c>
      <c r="E303" s="79" t="str">
        <f ca="1">IFERROR(__xludf.DUMMYFUNCTION("""COMPUTED_VALUE"""),"Cultura para la Inclusión")</f>
        <v>Cultura para la Inclusión</v>
      </c>
      <c r="F303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03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03" s="79" t="str">
        <f ca="1">IFERROR(__xludf.DUMMYFUNCTION("""COMPUTED_VALUE"""),"HOM enero")</f>
        <v>HOM enero</v>
      </c>
      <c r="I303" s="79" t="str">
        <f ca="1">IFERROR(__xludf.DUMMYFUNCTION("""COMPUTED_VALUE"""),"Enero")</f>
        <v>Enero</v>
      </c>
      <c r="J303" s="79" t="str">
        <f ca="1">IFERROR(__xludf.DUMMYFUNCTION("""COMPUTED_VALUE"""),"HOM")</f>
        <v>HOM</v>
      </c>
      <c r="K303" s="80">
        <f ca="1">IFERROR(__xludf.DUMMYFUNCTION("""COMPUTED_VALUE"""),16)</f>
        <v>16</v>
      </c>
      <c r="L303" s="79" t="str">
        <f ca="1">IFERROR(__xludf.DUMMYFUNCTION("""COMPUTED_VALUE"""),"TRIMESTRE 1")</f>
        <v>TRIMESTRE 1</v>
      </c>
      <c r="M303" s="79" t="str">
        <f ca="1">IFERROR(__xludf.DUMMYFUNCTION("""COMPUTED_VALUE"""),"HOMBRES ADULTOS")</f>
        <v>HOMBRES ADULTOS</v>
      </c>
    </row>
    <row r="304" spans="1:26">
      <c r="A304" s="79" t="str">
        <f ca="1">IFERROR(__xludf.DUMMYFUNCTION("""COMPUTED_VALUE"""),"6.1.3.2")</f>
        <v>6.1.3.2</v>
      </c>
      <c r="B304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4" s="79" t="str">
        <f ca="1">IFERROR(__xludf.DUMMYFUNCTION("""COMPUTED_VALUE"""),"5. Inclusión")</f>
        <v>5. Inclusión</v>
      </c>
      <c r="D304" s="79" t="str">
        <f ca="1">IFERROR(__xludf.DUMMYFUNCTION("""COMPUTED_VALUE"""),"Guadalajara sin Barreras")</f>
        <v>Guadalajara sin Barreras</v>
      </c>
      <c r="E304" s="79" t="str">
        <f ca="1">IFERROR(__xludf.DUMMYFUNCTION("""COMPUTED_VALUE"""),"Cultura para la Inclusión")</f>
        <v>Cultura para la Inclusión</v>
      </c>
      <c r="F304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04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04" s="79" t="str">
        <f ca="1">IFERROR(__xludf.DUMMYFUNCTION("""COMPUTED_VALUE"""),"AMM enero")</f>
        <v>AMM enero</v>
      </c>
      <c r="I304" s="79" t="str">
        <f ca="1">IFERROR(__xludf.DUMMYFUNCTION("""COMPUTED_VALUE"""),"Enero")</f>
        <v>Enero</v>
      </c>
      <c r="J304" s="79" t="str">
        <f ca="1">IFERROR(__xludf.DUMMYFUNCTION("""COMPUTED_VALUE"""),"AMM")</f>
        <v>AMM</v>
      </c>
      <c r="K304" s="80">
        <f ca="1">IFERROR(__xludf.DUMMYFUNCTION("""COMPUTED_VALUE"""),0)</f>
        <v>0</v>
      </c>
      <c r="L304" s="79" t="str">
        <f ca="1">IFERROR(__xludf.DUMMYFUNCTION("""COMPUTED_VALUE"""),"TRIMESTRE 1")</f>
        <v>TRIMESTRE 1</v>
      </c>
      <c r="M304" s="79" t="str">
        <f ca="1">IFERROR(__xludf.DUMMYFUNCTION("""COMPUTED_VALUE"""),"ADULTA MAYOR MUJER")</f>
        <v>ADULTA MAYOR MUJER</v>
      </c>
    </row>
    <row r="305" spans="1:13">
      <c r="A305" s="79" t="str">
        <f ca="1">IFERROR(__xludf.DUMMYFUNCTION("""COMPUTED_VALUE"""),"6.1.3.2")</f>
        <v>6.1.3.2</v>
      </c>
      <c r="B305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5" s="79" t="str">
        <f ca="1">IFERROR(__xludf.DUMMYFUNCTION("""COMPUTED_VALUE"""),"5. Inclusión")</f>
        <v>5. Inclusión</v>
      </c>
      <c r="D305" s="79" t="str">
        <f ca="1">IFERROR(__xludf.DUMMYFUNCTION("""COMPUTED_VALUE"""),"Guadalajara sin Barreras")</f>
        <v>Guadalajara sin Barreras</v>
      </c>
      <c r="E305" s="79" t="str">
        <f ca="1">IFERROR(__xludf.DUMMYFUNCTION("""COMPUTED_VALUE"""),"Cultura para la Inclusión")</f>
        <v>Cultura para la Inclusión</v>
      </c>
      <c r="F305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05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05" s="79" t="str">
        <f ca="1">IFERROR(__xludf.DUMMYFUNCTION("""COMPUTED_VALUE"""),"AMH enero")</f>
        <v>AMH enero</v>
      </c>
      <c r="I305" s="79" t="str">
        <f ca="1">IFERROR(__xludf.DUMMYFUNCTION("""COMPUTED_VALUE"""),"Enero")</f>
        <v>Enero</v>
      </c>
      <c r="J305" s="79" t="str">
        <f ca="1">IFERROR(__xludf.DUMMYFUNCTION("""COMPUTED_VALUE"""),"AMH")</f>
        <v>AMH</v>
      </c>
      <c r="K305" s="80">
        <f ca="1">IFERROR(__xludf.DUMMYFUNCTION("""COMPUTED_VALUE"""),0)</f>
        <v>0</v>
      </c>
      <c r="L305" s="79" t="str">
        <f ca="1">IFERROR(__xludf.DUMMYFUNCTION("""COMPUTED_VALUE"""),"TRIMESTRE 1")</f>
        <v>TRIMESTRE 1</v>
      </c>
      <c r="M305" s="79" t="str">
        <f ca="1">IFERROR(__xludf.DUMMYFUNCTION("""COMPUTED_VALUE"""),"ADULTO MAYOR HOMBRE")</f>
        <v>ADULTO MAYOR HOMBRE</v>
      </c>
    </row>
    <row r="306" spans="1:13">
      <c r="A306" s="79" t="str">
        <f ca="1">IFERROR(__xludf.DUMMYFUNCTION("""COMPUTED_VALUE"""),"6.1.3.1")</f>
        <v>6.1.3.1</v>
      </c>
      <c r="B306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6" s="79" t="str">
        <f ca="1">IFERROR(__xludf.DUMMYFUNCTION("""COMPUTED_VALUE"""),"5. Inclusión")</f>
        <v>5. Inclusión</v>
      </c>
      <c r="D306" s="79" t="str">
        <f ca="1">IFERROR(__xludf.DUMMYFUNCTION("""COMPUTED_VALUE"""),"Guadalajara sin Barreras")</f>
        <v>Guadalajara sin Barreras</v>
      </c>
      <c r="E306" s="79" t="str">
        <f ca="1">IFERROR(__xludf.DUMMYFUNCTION("""COMPUTED_VALUE"""),"Cultura para la Inclusión")</f>
        <v>Cultura para la Inclusión</v>
      </c>
      <c r="F306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06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06" s="79" t="str">
        <f ca="1">IFERROR(__xludf.DUMMYFUNCTION("""COMPUTED_VALUE"""),"NAS Febrero")</f>
        <v>NAS Febrero</v>
      </c>
      <c r="I306" s="79" t="str">
        <f ca="1">IFERROR(__xludf.DUMMYFUNCTION("""COMPUTED_VALUE"""),"Febrero")</f>
        <v>Febrero</v>
      </c>
      <c r="J306" s="79" t="str">
        <f ca="1">IFERROR(__xludf.DUMMYFUNCTION("""COMPUTED_VALUE"""),"NAS")</f>
        <v>NAS</v>
      </c>
      <c r="K306" s="80">
        <f ca="1">IFERROR(__xludf.DUMMYFUNCTION("""COMPUTED_VALUE"""),0)</f>
        <v>0</v>
      </c>
      <c r="L306" s="79" t="str">
        <f ca="1">IFERROR(__xludf.DUMMYFUNCTION("""COMPUTED_VALUE"""),"TRIMESTRE 1")</f>
        <v>TRIMESTRE 1</v>
      </c>
      <c r="M306" s="79" t="str">
        <f ca="1">IFERROR(__xludf.DUMMYFUNCTION("""COMPUTED_VALUE"""),"NIÑAS")</f>
        <v>NIÑAS</v>
      </c>
    </row>
    <row r="307" spans="1:13">
      <c r="A307" s="79" t="str">
        <f ca="1">IFERROR(__xludf.DUMMYFUNCTION("""COMPUTED_VALUE"""),"6.1.3.1")</f>
        <v>6.1.3.1</v>
      </c>
      <c r="B307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7" s="79" t="str">
        <f ca="1">IFERROR(__xludf.DUMMYFUNCTION("""COMPUTED_VALUE"""),"5. Inclusión")</f>
        <v>5. Inclusión</v>
      </c>
      <c r="D307" s="79" t="str">
        <f ca="1">IFERROR(__xludf.DUMMYFUNCTION("""COMPUTED_VALUE"""),"Guadalajara sin Barreras")</f>
        <v>Guadalajara sin Barreras</v>
      </c>
      <c r="E307" s="79" t="str">
        <f ca="1">IFERROR(__xludf.DUMMYFUNCTION("""COMPUTED_VALUE"""),"Cultura para la Inclusión")</f>
        <v>Cultura para la Inclusión</v>
      </c>
      <c r="F307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07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07" s="79" t="str">
        <f ca="1">IFERROR(__xludf.DUMMYFUNCTION("""COMPUTED_VALUE"""),"NOS Febrero")</f>
        <v>NOS Febrero</v>
      </c>
      <c r="I307" s="79" t="str">
        <f ca="1">IFERROR(__xludf.DUMMYFUNCTION("""COMPUTED_VALUE"""),"Febrero")</f>
        <v>Febrero</v>
      </c>
      <c r="J307" s="79" t="str">
        <f ca="1">IFERROR(__xludf.DUMMYFUNCTION("""COMPUTED_VALUE"""),"NOS")</f>
        <v>NOS</v>
      </c>
      <c r="K307" s="80">
        <f ca="1">IFERROR(__xludf.DUMMYFUNCTION("""COMPUTED_VALUE"""),0)</f>
        <v>0</v>
      </c>
      <c r="L307" s="79" t="str">
        <f ca="1">IFERROR(__xludf.DUMMYFUNCTION("""COMPUTED_VALUE"""),"TRIMESTRE 1")</f>
        <v>TRIMESTRE 1</v>
      </c>
      <c r="M307" s="79" t="str">
        <f ca="1">IFERROR(__xludf.DUMMYFUNCTION("""COMPUTED_VALUE"""),"NIÑOS")</f>
        <v>NIÑOS</v>
      </c>
    </row>
    <row r="308" spans="1:13">
      <c r="A308" s="79" t="str">
        <f ca="1">IFERROR(__xludf.DUMMYFUNCTION("""COMPUTED_VALUE"""),"6.1.3.1")</f>
        <v>6.1.3.1</v>
      </c>
      <c r="B308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8" s="79" t="str">
        <f ca="1">IFERROR(__xludf.DUMMYFUNCTION("""COMPUTED_VALUE"""),"5. Inclusión")</f>
        <v>5. Inclusión</v>
      </c>
      <c r="D308" s="79" t="str">
        <f ca="1">IFERROR(__xludf.DUMMYFUNCTION("""COMPUTED_VALUE"""),"Guadalajara sin Barreras")</f>
        <v>Guadalajara sin Barreras</v>
      </c>
      <c r="E308" s="79" t="str">
        <f ca="1">IFERROR(__xludf.DUMMYFUNCTION("""COMPUTED_VALUE"""),"Cultura para la Inclusión")</f>
        <v>Cultura para la Inclusión</v>
      </c>
      <c r="F308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08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08" s="79" t="str">
        <f ca="1">IFERROR(__xludf.DUMMYFUNCTION("""COMPUTED_VALUE"""),"AM FEBRERO")</f>
        <v>AM FEBRERO</v>
      </c>
      <c r="I308" s="79" t="str">
        <f ca="1">IFERROR(__xludf.DUMMYFUNCTION("""COMPUTED_VALUE"""),"Febrero")</f>
        <v>Febrero</v>
      </c>
      <c r="J308" s="79" t="str">
        <f ca="1">IFERROR(__xludf.DUMMYFUNCTION("""COMPUTED_VALUE"""),"AM")</f>
        <v>AM</v>
      </c>
      <c r="K308" s="80">
        <f ca="1">IFERROR(__xludf.DUMMYFUNCTION("""COMPUTED_VALUE"""),0)</f>
        <v>0</v>
      </c>
      <c r="L308" s="79" t="str">
        <f ca="1">IFERROR(__xludf.DUMMYFUNCTION("""COMPUTED_VALUE"""),"TRIMESTRE 1")</f>
        <v>TRIMESTRE 1</v>
      </c>
      <c r="M308" s="79" t="str">
        <f ca="1">IFERROR(__xludf.DUMMYFUNCTION("""COMPUTED_VALUE"""),"ADOLESCENTES MUJERES")</f>
        <v>ADOLESCENTES MUJERES</v>
      </c>
    </row>
    <row r="309" spans="1:13">
      <c r="A309" s="79" t="str">
        <f ca="1">IFERROR(__xludf.DUMMYFUNCTION("""COMPUTED_VALUE"""),"6.1.3.1")</f>
        <v>6.1.3.1</v>
      </c>
      <c r="B309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09" s="79" t="str">
        <f ca="1">IFERROR(__xludf.DUMMYFUNCTION("""COMPUTED_VALUE"""),"5. Inclusión")</f>
        <v>5. Inclusión</v>
      </c>
      <c r="D309" s="79" t="str">
        <f ca="1">IFERROR(__xludf.DUMMYFUNCTION("""COMPUTED_VALUE"""),"Guadalajara sin Barreras")</f>
        <v>Guadalajara sin Barreras</v>
      </c>
      <c r="E309" s="79" t="str">
        <f ca="1">IFERROR(__xludf.DUMMYFUNCTION("""COMPUTED_VALUE"""),"Cultura para la Inclusión")</f>
        <v>Cultura para la Inclusión</v>
      </c>
      <c r="F309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09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09" s="79" t="str">
        <f ca="1">IFERROR(__xludf.DUMMYFUNCTION("""COMPUTED_VALUE"""),"AH FEBRERO")</f>
        <v>AH FEBRERO</v>
      </c>
      <c r="I309" s="79" t="str">
        <f ca="1">IFERROR(__xludf.DUMMYFUNCTION("""COMPUTED_VALUE"""),"Febrero")</f>
        <v>Febrero</v>
      </c>
      <c r="J309" s="79" t="str">
        <f ca="1">IFERROR(__xludf.DUMMYFUNCTION("""COMPUTED_VALUE"""),"AH")</f>
        <v>AH</v>
      </c>
      <c r="K309" s="80">
        <f ca="1">IFERROR(__xludf.DUMMYFUNCTION("""COMPUTED_VALUE"""),0)</f>
        <v>0</v>
      </c>
      <c r="L309" s="79" t="str">
        <f ca="1">IFERROR(__xludf.DUMMYFUNCTION("""COMPUTED_VALUE"""),"TRIMESTRE 1")</f>
        <v>TRIMESTRE 1</v>
      </c>
      <c r="M309" s="79" t="str">
        <f ca="1">IFERROR(__xludf.DUMMYFUNCTION("""COMPUTED_VALUE"""),"ADOLESCENTES HOMBRES")</f>
        <v>ADOLESCENTES HOMBRES</v>
      </c>
    </row>
    <row r="310" spans="1:13">
      <c r="A310" s="79" t="str">
        <f ca="1">IFERROR(__xludf.DUMMYFUNCTION("""COMPUTED_VALUE"""),"6.1.3.1")</f>
        <v>6.1.3.1</v>
      </c>
      <c r="B310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0" s="79" t="str">
        <f ca="1">IFERROR(__xludf.DUMMYFUNCTION("""COMPUTED_VALUE"""),"5. Inclusión")</f>
        <v>5. Inclusión</v>
      </c>
      <c r="D310" s="79" t="str">
        <f ca="1">IFERROR(__xludf.DUMMYFUNCTION("""COMPUTED_VALUE"""),"Guadalajara sin Barreras")</f>
        <v>Guadalajara sin Barreras</v>
      </c>
      <c r="E310" s="79" t="str">
        <f ca="1">IFERROR(__xludf.DUMMYFUNCTION("""COMPUTED_VALUE"""),"Cultura para la Inclusión")</f>
        <v>Cultura para la Inclusión</v>
      </c>
      <c r="F310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10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10" s="79" t="str">
        <f ca="1">IFERROR(__xludf.DUMMYFUNCTION("""COMPUTED_VALUE"""),"MUJ Febrero")</f>
        <v>MUJ Febrero</v>
      </c>
      <c r="I310" s="79" t="str">
        <f ca="1">IFERROR(__xludf.DUMMYFUNCTION("""COMPUTED_VALUE"""),"Febrero")</f>
        <v>Febrero</v>
      </c>
      <c r="J310" s="79" t="str">
        <f ca="1">IFERROR(__xludf.DUMMYFUNCTION("""COMPUTED_VALUE"""),"MUJ")</f>
        <v>MUJ</v>
      </c>
      <c r="K310" s="80">
        <f ca="1">IFERROR(__xludf.DUMMYFUNCTION("""COMPUTED_VALUE"""),13)</f>
        <v>13</v>
      </c>
      <c r="L310" s="79" t="str">
        <f ca="1">IFERROR(__xludf.DUMMYFUNCTION("""COMPUTED_VALUE"""),"TRIMESTRE 1")</f>
        <v>TRIMESTRE 1</v>
      </c>
      <c r="M310" s="79" t="str">
        <f ca="1">IFERROR(__xludf.DUMMYFUNCTION("""COMPUTED_VALUE"""),"MUJERES ADULTAS")</f>
        <v>MUJERES ADULTAS</v>
      </c>
    </row>
    <row r="311" spans="1:13">
      <c r="A311" s="79" t="str">
        <f ca="1">IFERROR(__xludf.DUMMYFUNCTION("""COMPUTED_VALUE"""),"6.1.3.1")</f>
        <v>6.1.3.1</v>
      </c>
      <c r="B311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1" s="79" t="str">
        <f ca="1">IFERROR(__xludf.DUMMYFUNCTION("""COMPUTED_VALUE"""),"5. Inclusión")</f>
        <v>5. Inclusión</v>
      </c>
      <c r="D311" s="79" t="str">
        <f ca="1">IFERROR(__xludf.DUMMYFUNCTION("""COMPUTED_VALUE"""),"Guadalajara sin Barreras")</f>
        <v>Guadalajara sin Barreras</v>
      </c>
      <c r="E311" s="79" t="str">
        <f ca="1">IFERROR(__xludf.DUMMYFUNCTION("""COMPUTED_VALUE"""),"Cultura para la Inclusión")</f>
        <v>Cultura para la Inclusión</v>
      </c>
      <c r="F311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11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11" s="79" t="str">
        <f ca="1">IFERROR(__xludf.DUMMYFUNCTION("""COMPUTED_VALUE"""),"HOM Febrero")</f>
        <v>HOM Febrero</v>
      </c>
      <c r="I311" s="79" t="str">
        <f ca="1">IFERROR(__xludf.DUMMYFUNCTION("""COMPUTED_VALUE"""),"Febrero")</f>
        <v>Febrero</v>
      </c>
      <c r="J311" s="79" t="str">
        <f ca="1">IFERROR(__xludf.DUMMYFUNCTION("""COMPUTED_VALUE"""),"HOM")</f>
        <v>HOM</v>
      </c>
      <c r="K311" s="80">
        <f ca="1">IFERROR(__xludf.DUMMYFUNCTION("""COMPUTED_VALUE"""),18)</f>
        <v>18</v>
      </c>
      <c r="L311" s="79" t="str">
        <f ca="1">IFERROR(__xludf.DUMMYFUNCTION("""COMPUTED_VALUE"""),"TRIMESTRE 1")</f>
        <v>TRIMESTRE 1</v>
      </c>
      <c r="M311" s="79" t="str">
        <f ca="1">IFERROR(__xludf.DUMMYFUNCTION("""COMPUTED_VALUE"""),"HOMBRES ADULTOS")</f>
        <v>HOMBRES ADULTOS</v>
      </c>
    </row>
    <row r="312" spans="1:13">
      <c r="A312" s="79" t="str">
        <f ca="1">IFERROR(__xludf.DUMMYFUNCTION("""COMPUTED_VALUE"""),"6.1.3.1")</f>
        <v>6.1.3.1</v>
      </c>
      <c r="B312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2" s="79" t="str">
        <f ca="1">IFERROR(__xludf.DUMMYFUNCTION("""COMPUTED_VALUE"""),"5. Inclusión")</f>
        <v>5. Inclusión</v>
      </c>
      <c r="D312" s="79" t="str">
        <f ca="1">IFERROR(__xludf.DUMMYFUNCTION("""COMPUTED_VALUE"""),"Guadalajara sin Barreras")</f>
        <v>Guadalajara sin Barreras</v>
      </c>
      <c r="E312" s="79" t="str">
        <f ca="1">IFERROR(__xludf.DUMMYFUNCTION("""COMPUTED_VALUE"""),"Cultura para la Inclusión")</f>
        <v>Cultura para la Inclusión</v>
      </c>
      <c r="F312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12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12" s="79" t="str">
        <f ca="1">IFERROR(__xludf.DUMMYFUNCTION("""COMPUTED_VALUE"""),"AMM Febrero")</f>
        <v>AMM Febrero</v>
      </c>
      <c r="I312" s="79" t="str">
        <f ca="1">IFERROR(__xludf.DUMMYFUNCTION("""COMPUTED_VALUE"""),"Febrero")</f>
        <v>Febrero</v>
      </c>
      <c r="J312" s="79" t="str">
        <f ca="1">IFERROR(__xludf.DUMMYFUNCTION("""COMPUTED_VALUE"""),"AMM")</f>
        <v>AMM</v>
      </c>
      <c r="K312" s="80">
        <f ca="1">IFERROR(__xludf.DUMMYFUNCTION("""COMPUTED_VALUE"""),0)</f>
        <v>0</v>
      </c>
      <c r="L312" s="79" t="str">
        <f ca="1">IFERROR(__xludf.DUMMYFUNCTION("""COMPUTED_VALUE"""),"TRIMESTRE 1")</f>
        <v>TRIMESTRE 1</v>
      </c>
      <c r="M312" s="79" t="str">
        <f ca="1">IFERROR(__xludf.DUMMYFUNCTION("""COMPUTED_VALUE"""),"ADULTA MAYOR MUJER")</f>
        <v>ADULTA MAYOR MUJER</v>
      </c>
    </row>
    <row r="313" spans="1:13">
      <c r="A313" s="79" t="str">
        <f ca="1">IFERROR(__xludf.DUMMYFUNCTION("""COMPUTED_VALUE"""),"6.1.3.1")</f>
        <v>6.1.3.1</v>
      </c>
      <c r="B313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3" s="79" t="str">
        <f ca="1">IFERROR(__xludf.DUMMYFUNCTION("""COMPUTED_VALUE"""),"5. Inclusión")</f>
        <v>5. Inclusión</v>
      </c>
      <c r="D313" s="79" t="str">
        <f ca="1">IFERROR(__xludf.DUMMYFUNCTION("""COMPUTED_VALUE"""),"Guadalajara sin Barreras")</f>
        <v>Guadalajara sin Barreras</v>
      </c>
      <c r="E313" s="79" t="str">
        <f ca="1">IFERROR(__xludf.DUMMYFUNCTION("""COMPUTED_VALUE"""),"Cultura para la Inclusión")</f>
        <v>Cultura para la Inclusión</v>
      </c>
      <c r="F313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13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13" s="79" t="str">
        <f ca="1">IFERROR(__xludf.DUMMYFUNCTION("""COMPUTED_VALUE"""),"AMH Febrero")</f>
        <v>AMH Febrero</v>
      </c>
      <c r="I313" s="79" t="str">
        <f ca="1">IFERROR(__xludf.DUMMYFUNCTION("""COMPUTED_VALUE"""),"Febrero")</f>
        <v>Febrero</v>
      </c>
      <c r="J313" s="79" t="str">
        <f ca="1">IFERROR(__xludf.DUMMYFUNCTION("""COMPUTED_VALUE"""),"AMH")</f>
        <v>AMH</v>
      </c>
      <c r="K313" s="80">
        <f ca="1">IFERROR(__xludf.DUMMYFUNCTION("""COMPUTED_VALUE"""),0)</f>
        <v>0</v>
      </c>
      <c r="L313" s="79" t="str">
        <f ca="1">IFERROR(__xludf.DUMMYFUNCTION("""COMPUTED_VALUE"""),"TRIMESTRE 1")</f>
        <v>TRIMESTRE 1</v>
      </c>
      <c r="M313" s="79" t="str">
        <f ca="1">IFERROR(__xludf.DUMMYFUNCTION("""COMPUTED_VALUE"""),"ADULTO MAYOR HOMBRE")</f>
        <v>ADULTO MAYOR HOMBRE</v>
      </c>
    </row>
    <row r="314" spans="1:13">
      <c r="A314" s="79" t="str">
        <f ca="1">IFERROR(__xludf.DUMMYFUNCTION("""COMPUTED_VALUE"""),"6.1.3.2")</f>
        <v>6.1.3.2</v>
      </c>
      <c r="B314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4" s="79" t="str">
        <f ca="1">IFERROR(__xludf.DUMMYFUNCTION("""COMPUTED_VALUE"""),"5. Inclusión")</f>
        <v>5. Inclusión</v>
      </c>
      <c r="D314" s="79" t="str">
        <f ca="1">IFERROR(__xludf.DUMMYFUNCTION("""COMPUTED_VALUE"""),"Guadalajara sin Barreras")</f>
        <v>Guadalajara sin Barreras</v>
      </c>
      <c r="E314" s="79" t="str">
        <f ca="1">IFERROR(__xludf.DUMMYFUNCTION("""COMPUTED_VALUE"""),"Cultura para la Inclusión")</f>
        <v>Cultura para la Inclusión</v>
      </c>
      <c r="F314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14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14" s="79" t="str">
        <f ca="1">IFERROR(__xludf.DUMMYFUNCTION("""COMPUTED_VALUE"""),"NAS Febrero")</f>
        <v>NAS Febrero</v>
      </c>
      <c r="I314" s="79" t="str">
        <f ca="1">IFERROR(__xludf.DUMMYFUNCTION("""COMPUTED_VALUE"""),"Febrero")</f>
        <v>Febrero</v>
      </c>
      <c r="J314" s="79" t="str">
        <f ca="1">IFERROR(__xludf.DUMMYFUNCTION("""COMPUTED_VALUE"""),"NAS")</f>
        <v>NAS</v>
      </c>
      <c r="K314" s="80">
        <f ca="1">IFERROR(__xludf.DUMMYFUNCTION("""COMPUTED_VALUE"""),0)</f>
        <v>0</v>
      </c>
      <c r="L314" s="79" t="str">
        <f ca="1">IFERROR(__xludf.DUMMYFUNCTION("""COMPUTED_VALUE"""),"TRIMESTRE 1")</f>
        <v>TRIMESTRE 1</v>
      </c>
      <c r="M314" s="79" t="str">
        <f ca="1">IFERROR(__xludf.DUMMYFUNCTION("""COMPUTED_VALUE"""),"NIÑAS")</f>
        <v>NIÑAS</v>
      </c>
    </row>
    <row r="315" spans="1:13">
      <c r="A315" s="79" t="str">
        <f ca="1">IFERROR(__xludf.DUMMYFUNCTION("""COMPUTED_VALUE"""),"6.1.3.2")</f>
        <v>6.1.3.2</v>
      </c>
      <c r="B315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5" s="79" t="str">
        <f ca="1">IFERROR(__xludf.DUMMYFUNCTION("""COMPUTED_VALUE"""),"5. Inclusión")</f>
        <v>5. Inclusión</v>
      </c>
      <c r="D315" s="79" t="str">
        <f ca="1">IFERROR(__xludf.DUMMYFUNCTION("""COMPUTED_VALUE"""),"Guadalajara sin Barreras")</f>
        <v>Guadalajara sin Barreras</v>
      </c>
      <c r="E315" s="79" t="str">
        <f ca="1">IFERROR(__xludf.DUMMYFUNCTION("""COMPUTED_VALUE"""),"Cultura para la Inclusión")</f>
        <v>Cultura para la Inclusión</v>
      </c>
      <c r="F315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15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15" s="79" t="str">
        <f ca="1">IFERROR(__xludf.DUMMYFUNCTION("""COMPUTED_VALUE"""),"NOS Febrero")</f>
        <v>NOS Febrero</v>
      </c>
      <c r="I315" s="79" t="str">
        <f ca="1">IFERROR(__xludf.DUMMYFUNCTION("""COMPUTED_VALUE"""),"Febrero")</f>
        <v>Febrero</v>
      </c>
      <c r="J315" s="79" t="str">
        <f ca="1">IFERROR(__xludf.DUMMYFUNCTION("""COMPUTED_VALUE"""),"NOS")</f>
        <v>NOS</v>
      </c>
      <c r="K315" s="80">
        <f ca="1">IFERROR(__xludf.DUMMYFUNCTION("""COMPUTED_VALUE"""),0)</f>
        <v>0</v>
      </c>
      <c r="L315" s="79" t="str">
        <f ca="1">IFERROR(__xludf.DUMMYFUNCTION("""COMPUTED_VALUE"""),"TRIMESTRE 1")</f>
        <v>TRIMESTRE 1</v>
      </c>
      <c r="M315" s="79" t="str">
        <f ca="1">IFERROR(__xludf.DUMMYFUNCTION("""COMPUTED_VALUE"""),"NIÑOS")</f>
        <v>NIÑOS</v>
      </c>
    </row>
    <row r="316" spans="1:13">
      <c r="A316" s="79" t="str">
        <f ca="1">IFERROR(__xludf.DUMMYFUNCTION("""COMPUTED_VALUE"""),"6.1.3.2")</f>
        <v>6.1.3.2</v>
      </c>
      <c r="B316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6" s="79" t="str">
        <f ca="1">IFERROR(__xludf.DUMMYFUNCTION("""COMPUTED_VALUE"""),"5. Inclusión")</f>
        <v>5. Inclusión</v>
      </c>
      <c r="D316" s="79" t="str">
        <f ca="1">IFERROR(__xludf.DUMMYFUNCTION("""COMPUTED_VALUE"""),"Guadalajara sin Barreras")</f>
        <v>Guadalajara sin Barreras</v>
      </c>
      <c r="E316" s="79" t="str">
        <f ca="1">IFERROR(__xludf.DUMMYFUNCTION("""COMPUTED_VALUE"""),"Cultura para la Inclusión")</f>
        <v>Cultura para la Inclusión</v>
      </c>
      <c r="F316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16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16" s="79" t="str">
        <f ca="1">IFERROR(__xludf.DUMMYFUNCTION("""COMPUTED_VALUE"""),"AM FEBRERO")</f>
        <v>AM FEBRERO</v>
      </c>
      <c r="I316" s="79" t="str">
        <f ca="1">IFERROR(__xludf.DUMMYFUNCTION("""COMPUTED_VALUE"""),"Febrero")</f>
        <v>Febrero</v>
      </c>
      <c r="J316" s="79" t="str">
        <f ca="1">IFERROR(__xludf.DUMMYFUNCTION("""COMPUTED_VALUE"""),"AM")</f>
        <v>AM</v>
      </c>
      <c r="K316" s="80">
        <f ca="1">IFERROR(__xludf.DUMMYFUNCTION("""COMPUTED_VALUE"""),0)</f>
        <v>0</v>
      </c>
      <c r="L316" s="79" t="str">
        <f ca="1">IFERROR(__xludf.DUMMYFUNCTION("""COMPUTED_VALUE"""),"TRIMESTRE 1")</f>
        <v>TRIMESTRE 1</v>
      </c>
      <c r="M316" s="79" t="str">
        <f ca="1">IFERROR(__xludf.DUMMYFUNCTION("""COMPUTED_VALUE"""),"ADOLESCENTES MUJERES")</f>
        <v>ADOLESCENTES MUJERES</v>
      </c>
    </row>
    <row r="317" spans="1:13">
      <c r="A317" s="79" t="str">
        <f ca="1">IFERROR(__xludf.DUMMYFUNCTION("""COMPUTED_VALUE"""),"6.1.3.2")</f>
        <v>6.1.3.2</v>
      </c>
      <c r="B317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7" s="79" t="str">
        <f ca="1">IFERROR(__xludf.DUMMYFUNCTION("""COMPUTED_VALUE"""),"5. Inclusión")</f>
        <v>5. Inclusión</v>
      </c>
      <c r="D317" s="79" t="str">
        <f ca="1">IFERROR(__xludf.DUMMYFUNCTION("""COMPUTED_VALUE"""),"Guadalajara sin Barreras")</f>
        <v>Guadalajara sin Barreras</v>
      </c>
      <c r="E317" s="79" t="str">
        <f ca="1">IFERROR(__xludf.DUMMYFUNCTION("""COMPUTED_VALUE"""),"Cultura para la Inclusión")</f>
        <v>Cultura para la Inclusión</v>
      </c>
      <c r="F317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17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17" s="79" t="str">
        <f ca="1">IFERROR(__xludf.DUMMYFUNCTION("""COMPUTED_VALUE"""),"AH FEBRERO")</f>
        <v>AH FEBRERO</v>
      </c>
      <c r="I317" s="79" t="str">
        <f ca="1">IFERROR(__xludf.DUMMYFUNCTION("""COMPUTED_VALUE"""),"Febrero")</f>
        <v>Febrero</v>
      </c>
      <c r="J317" s="79" t="str">
        <f ca="1">IFERROR(__xludf.DUMMYFUNCTION("""COMPUTED_VALUE"""),"AH")</f>
        <v>AH</v>
      </c>
      <c r="K317" s="80">
        <f ca="1">IFERROR(__xludf.DUMMYFUNCTION("""COMPUTED_VALUE"""),0)</f>
        <v>0</v>
      </c>
      <c r="L317" s="79" t="str">
        <f ca="1">IFERROR(__xludf.DUMMYFUNCTION("""COMPUTED_VALUE"""),"TRIMESTRE 1")</f>
        <v>TRIMESTRE 1</v>
      </c>
      <c r="M317" s="79" t="str">
        <f ca="1">IFERROR(__xludf.DUMMYFUNCTION("""COMPUTED_VALUE"""),"ADOLESCENTES HOMBRES")</f>
        <v>ADOLESCENTES HOMBRES</v>
      </c>
    </row>
    <row r="318" spans="1:13">
      <c r="A318" s="79" t="str">
        <f ca="1">IFERROR(__xludf.DUMMYFUNCTION("""COMPUTED_VALUE"""),"6.1.3.2")</f>
        <v>6.1.3.2</v>
      </c>
      <c r="B318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8" s="79" t="str">
        <f ca="1">IFERROR(__xludf.DUMMYFUNCTION("""COMPUTED_VALUE"""),"5. Inclusión")</f>
        <v>5. Inclusión</v>
      </c>
      <c r="D318" s="79" t="str">
        <f ca="1">IFERROR(__xludf.DUMMYFUNCTION("""COMPUTED_VALUE"""),"Guadalajara sin Barreras")</f>
        <v>Guadalajara sin Barreras</v>
      </c>
      <c r="E318" s="79" t="str">
        <f ca="1">IFERROR(__xludf.DUMMYFUNCTION("""COMPUTED_VALUE"""),"Cultura para la Inclusión")</f>
        <v>Cultura para la Inclusión</v>
      </c>
      <c r="F318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18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18" s="79" t="str">
        <f ca="1">IFERROR(__xludf.DUMMYFUNCTION("""COMPUTED_VALUE"""),"MUJ Febrero")</f>
        <v>MUJ Febrero</v>
      </c>
      <c r="I318" s="79" t="str">
        <f ca="1">IFERROR(__xludf.DUMMYFUNCTION("""COMPUTED_VALUE"""),"Febrero")</f>
        <v>Febrero</v>
      </c>
      <c r="J318" s="79" t="str">
        <f ca="1">IFERROR(__xludf.DUMMYFUNCTION("""COMPUTED_VALUE"""),"MUJ")</f>
        <v>MUJ</v>
      </c>
      <c r="K318" s="80">
        <f ca="1">IFERROR(__xludf.DUMMYFUNCTION("""COMPUTED_VALUE"""),1)</f>
        <v>1</v>
      </c>
      <c r="L318" s="79" t="str">
        <f ca="1">IFERROR(__xludf.DUMMYFUNCTION("""COMPUTED_VALUE"""),"TRIMESTRE 1")</f>
        <v>TRIMESTRE 1</v>
      </c>
      <c r="M318" s="79" t="str">
        <f ca="1">IFERROR(__xludf.DUMMYFUNCTION("""COMPUTED_VALUE"""),"MUJERES ADULTAS")</f>
        <v>MUJERES ADULTAS</v>
      </c>
    </row>
    <row r="319" spans="1:13">
      <c r="A319" s="79" t="str">
        <f ca="1">IFERROR(__xludf.DUMMYFUNCTION("""COMPUTED_VALUE"""),"6.1.3.2")</f>
        <v>6.1.3.2</v>
      </c>
      <c r="B319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19" s="79" t="str">
        <f ca="1">IFERROR(__xludf.DUMMYFUNCTION("""COMPUTED_VALUE"""),"5. Inclusión")</f>
        <v>5. Inclusión</v>
      </c>
      <c r="D319" s="79" t="str">
        <f ca="1">IFERROR(__xludf.DUMMYFUNCTION("""COMPUTED_VALUE"""),"Guadalajara sin Barreras")</f>
        <v>Guadalajara sin Barreras</v>
      </c>
      <c r="E319" s="79" t="str">
        <f ca="1">IFERROR(__xludf.DUMMYFUNCTION("""COMPUTED_VALUE"""),"Cultura para la Inclusión")</f>
        <v>Cultura para la Inclusión</v>
      </c>
      <c r="F319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19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19" s="79" t="str">
        <f ca="1">IFERROR(__xludf.DUMMYFUNCTION("""COMPUTED_VALUE"""),"HOM Febrero")</f>
        <v>HOM Febrero</v>
      </c>
      <c r="I319" s="79" t="str">
        <f ca="1">IFERROR(__xludf.DUMMYFUNCTION("""COMPUTED_VALUE"""),"Febrero")</f>
        <v>Febrero</v>
      </c>
      <c r="J319" s="79" t="str">
        <f ca="1">IFERROR(__xludf.DUMMYFUNCTION("""COMPUTED_VALUE"""),"HOM")</f>
        <v>HOM</v>
      </c>
      <c r="K319" s="80">
        <f ca="1">IFERROR(__xludf.DUMMYFUNCTION("""COMPUTED_VALUE"""),0)</f>
        <v>0</v>
      </c>
      <c r="L319" s="79" t="str">
        <f ca="1">IFERROR(__xludf.DUMMYFUNCTION("""COMPUTED_VALUE"""),"TRIMESTRE 1")</f>
        <v>TRIMESTRE 1</v>
      </c>
      <c r="M319" s="79" t="str">
        <f ca="1">IFERROR(__xludf.DUMMYFUNCTION("""COMPUTED_VALUE"""),"HOMBRES ADULTOS")</f>
        <v>HOMBRES ADULTOS</v>
      </c>
    </row>
    <row r="320" spans="1:13">
      <c r="A320" s="79" t="str">
        <f ca="1">IFERROR(__xludf.DUMMYFUNCTION("""COMPUTED_VALUE"""),"6.1.3.2")</f>
        <v>6.1.3.2</v>
      </c>
      <c r="B320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0" s="79" t="str">
        <f ca="1">IFERROR(__xludf.DUMMYFUNCTION("""COMPUTED_VALUE"""),"5. Inclusión")</f>
        <v>5. Inclusión</v>
      </c>
      <c r="D320" s="79" t="str">
        <f ca="1">IFERROR(__xludf.DUMMYFUNCTION("""COMPUTED_VALUE"""),"Guadalajara sin Barreras")</f>
        <v>Guadalajara sin Barreras</v>
      </c>
      <c r="E320" s="79" t="str">
        <f ca="1">IFERROR(__xludf.DUMMYFUNCTION("""COMPUTED_VALUE"""),"Cultura para la Inclusión")</f>
        <v>Cultura para la Inclusión</v>
      </c>
      <c r="F320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20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20" s="79" t="str">
        <f ca="1">IFERROR(__xludf.DUMMYFUNCTION("""COMPUTED_VALUE"""),"AMM Febrero")</f>
        <v>AMM Febrero</v>
      </c>
      <c r="I320" s="79" t="str">
        <f ca="1">IFERROR(__xludf.DUMMYFUNCTION("""COMPUTED_VALUE"""),"Febrero")</f>
        <v>Febrero</v>
      </c>
      <c r="J320" s="79" t="str">
        <f ca="1">IFERROR(__xludf.DUMMYFUNCTION("""COMPUTED_VALUE"""),"AMM")</f>
        <v>AMM</v>
      </c>
      <c r="K320" s="80">
        <f ca="1">IFERROR(__xludf.DUMMYFUNCTION("""COMPUTED_VALUE"""),0)</f>
        <v>0</v>
      </c>
      <c r="L320" s="79" t="str">
        <f ca="1">IFERROR(__xludf.DUMMYFUNCTION("""COMPUTED_VALUE"""),"TRIMESTRE 1")</f>
        <v>TRIMESTRE 1</v>
      </c>
      <c r="M320" s="79" t="str">
        <f ca="1">IFERROR(__xludf.DUMMYFUNCTION("""COMPUTED_VALUE"""),"ADULTA MAYOR MUJER")</f>
        <v>ADULTA MAYOR MUJER</v>
      </c>
    </row>
    <row r="321" spans="1:26">
      <c r="A321" s="79" t="str">
        <f ca="1">IFERROR(__xludf.DUMMYFUNCTION("""COMPUTED_VALUE"""),"6.1.3.2")</f>
        <v>6.1.3.2</v>
      </c>
      <c r="B321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1" s="79" t="str">
        <f ca="1">IFERROR(__xludf.DUMMYFUNCTION("""COMPUTED_VALUE"""),"5. Inclusión")</f>
        <v>5. Inclusión</v>
      </c>
      <c r="D321" s="79" t="str">
        <f ca="1">IFERROR(__xludf.DUMMYFUNCTION("""COMPUTED_VALUE"""),"Guadalajara sin Barreras")</f>
        <v>Guadalajara sin Barreras</v>
      </c>
      <c r="E321" s="79" t="str">
        <f ca="1">IFERROR(__xludf.DUMMYFUNCTION("""COMPUTED_VALUE"""),"Cultura para la Inclusión")</f>
        <v>Cultura para la Inclusión</v>
      </c>
      <c r="F321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21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21" s="79" t="str">
        <f ca="1">IFERROR(__xludf.DUMMYFUNCTION("""COMPUTED_VALUE"""),"AMH Febrero")</f>
        <v>AMH Febrero</v>
      </c>
      <c r="I321" s="79" t="str">
        <f ca="1">IFERROR(__xludf.DUMMYFUNCTION("""COMPUTED_VALUE"""),"Febrero")</f>
        <v>Febrero</v>
      </c>
      <c r="J321" s="79" t="str">
        <f ca="1">IFERROR(__xludf.DUMMYFUNCTION("""COMPUTED_VALUE"""),"AMH")</f>
        <v>AMH</v>
      </c>
      <c r="K321" s="80">
        <f ca="1">IFERROR(__xludf.DUMMYFUNCTION("""COMPUTED_VALUE"""),0)</f>
        <v>0</v>
      </c>
      <c r="L321" s="79" t="str">
        <f ca="1">IFERROR(__xludf.DUMMYFUNCTION("""COMPUTED_VALUE"""),"TRIMESTRE 1")</f>
        <v>TRIMESTRE 1</v>
      </c>
      <c r="M321" s="79" t="str">
        <f ca="1">IFERROR(__xludf.DUMMYFUNCTION("""COMPUTED_VALUE"""),"ADULTO MAYOR HOMBRE")</f>
        <v>ADULTO MAYOR HOMBRE</v>
      </c>
    </row>
    <row r="322" spans="1:26">
      <c r="A322" s="81" t="str">
        <f ca="1">IFERROR(__xludf.DUMMYFUNCTION("""COMPUTED_VALUE"""),"6.1.3.1")</f>
        <v>6.1.3.1</v>
      </c>
      <c r="B322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2" s="81" t="str">
        <f ca="1">IFERROR(__xludf.DUMMYFUNCTION("""COMPUTED_VALUE"""),"5. Inclusión")</f>
        <v>5. Inclusión</v>
      </c>
      <c r="D322" s="81" t="str">
        <f ca="1">IFERROR(__xludf.DUMMYFUNCTION("""COMPUTED_VALUE"""),"Guadalajara sin Barreras")</f>
        <v>Guadalajara sin Barreras</v>
      </c>
      <c r="E322" s="81" t="str">
        <f ca="1">IFERROR(__xludf.DUMMYFUNCTION("""COMPUTED_VALUE"""),"Cultura para la Inclusión")</f>
        <v>Cultura para la Inclusión</v>
      </c>
      <c r="F322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2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2" s="81" t="str">
        <f ca="1">IFERROR(__xludf.DUMMYFUNCTION("""COMPUTED_VALUE"""),"NAS Marzo")</f>
        <v>NAS Marzo</v>
      </c>
      <c r="I322" s="81" t="str">
        <f ca="1">IFERROR(__xludf.DUMMYFUNCTION("""COMPUTED_VALUE"""),"Marzo")</f>
        <v>Marzo</v>
      </c>
      <c r="J322" s="81" t="str">
        <f ca="1">IFERROR(__xludf.DUMMYFUNCTION("""COMPUTED_VALUE"""),"NAS")</f>
        <v>NAS</v>
      </c>
      <c r="K322" s="80">
        <f ca="1">IFERROR(__xludf.DUMMYFUNCTION("""COMPUTED_VALUE"""),0)</f>
        <v>0</v>
      </c>
      <c r="L322" s="81" t="str">
        <f ca="1">IFERROR(__xludf.DUMMYFUNCTION("""COMPUTED_VALUE"""),"TRIMESTRE 1")</f>
        <v>TRIMESTRE 1</v>
      </c>
      <c r="M322" s="81" t="str">
        <f ca="1">IFERROR(__xludf.DUMMYFUNCTION("""COMPUTED_VALUE"""),"NIÑAS")</f>
        <v>NIÑAS</v>
      </c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</row>
    <row r="323" spans="1:26">
      <c r="A323" s="81" t="str">
        <f ca="1">IFERROR(__xludf.DUMMYFUNCTION("""COMPUTED_VALUE"""),"6.1.3.1")</f>
        <v>6.1.3.1</v>
      </c>
      <c r="B323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3" s="81" t="str">
        <f ca="1">IFERROR(__xludf.DUMMYFUNCTION("""COMPUTED_VALUE"""),"5. Inclusión")</f>
        <v>5. Inclusión</v>
      </c>
      <c r="D323" s="81" t="str">
        <f ca="1">IFERROR(__xludf.DUMMYFUNCTION("""COMPUTED_VALUE"""),"Guadalajara sin Barreras")</f>
        <v>Guadalajara sin Barreras</v>
      </c>
      <c r="E323" s="81" t="str">
        <f ca="1">IFERROR(__xludf.DUMMYFUNCTION("""COMPUTED_VALUE"""),"Cultura para la Inclusión")</f>
        <v>Cultura para la Inclusión</v>
      </c>
      <c r="F323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3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3" s="81" t="str">
        <f ca="1">IFERROR(__xludf.DUMMYFUNCTION("""COMPUTED_VALUE"""),"NOS Marzo")</f>
        <v>NOS Marzo</v>
      </c>
      <c r="I323" s="81" t="str">
        <f ca="1">IFERROR(__xludf.DUMMYFUNCTION("""COMPUTED_VALUE"""),"Marzo")</f>
        <v>Marzo</v>
      </c>
      <c r="J323" s="81" t="str">
        <f ca="1">IFERROR(__xludf.DUMMYFUNCTION("""COMPUTED_VALUE"""),"NOS")</f>
        <v>NOS</v>
      </c>
      <c r="K323" s="80">
        <f ca="1">IFERROR(__xludf.DUMMYFUNCTION("""COMPUTED_VALUE"""),0)</f>
        <v>0</v>
      </c>
      <c r="L323" s="81" t="str">
        <f ca="1">IFERROR(__xludf.DUMMYFUNCTION("""COMPUTED_VALUE"""),"TRIMESTRE 1")</f>
        <v>TRIMESTRE 1</v>
      </c>
      <c r="M323" s="81" t="str">
        <f ca="1">IFERROR(__xludf.DUMMYFUNCTION("""COMPUTED_VALUE"""),"NIÑOS")</f>
        <v>NIÑOS</v>
      </c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</row>
    <row r="324" spans="1:26">
      <c r="A324" s="81" t="str">
        <f ca="1">IFERROR(__xludf.DUMMYFUNCTION("""COMPUTED_VALUE"""),"6.1.3.1")</f>
        <v>6.1.3.1</v>
      </c>
      <c r="B324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4" s="81" t="str">
        <f ca="1">IFERROR(__xludf.DUMMYFUNCTION("""COMPUTED_VALUE"""),"5. Inclusión")</f>
        <v>5. Inclusión</v>
      </c>
      <c r="D324" s="81" t="str">
        <f ca="1">IFERROR(__xludf.DUMMYFUNCTION("""COMPUTED_VALUE"""),"Guadalajara sin Barreras")</f>
        <v>Guadalajara sin Barreras</v>
      </c>
      <c r="E324" s="81" t="str">
        <f ca="1">IFERROR(__xludf.DUMMYFUNCTION("""COMPUTED_VALUE"""),"Cultura para la Inclusión")</f>
        <v>Cultura para la Inclusión</v>
      </c>
      <c r="F324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4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4" s="81" t="str">
        <f ca="1">IFERROR(__xludf.DUMMYFUNCTION("""COMPUTED_VALUE"""),"AM MARZO")</f>
        <v>AM MARZO</v>
      </c>
      <c r="I324" s="81" t="str">
        <f ca="1">IFERROR(__xludf.DUMMYFUNCTION("""COMPUTED_VALUE"""),"Marzo")</f>
        <v>Marzo</v>
      </c>
      <c r="J324" s="81" t="str">
        <f ca="1">IFERROR(__xludf.DUMMYFUNCTION("""COMPUTED_VALUE"""),"AM")</f>
        <v>AM</v>
      </c>
      <c r="K324" s="80">
        <f ca="1">IFERROR(__xludf.DUMMYFUNCTION("""COMPUTED_VALUE"""),0)</f>
        <v>0</v>
      </c>
      <c r="L324" s="81" t="str">
        <f ca="1">IFERROR(__xludf.DUMMYFUNCTION("""COMPUTED_VALUE"""),"TRIMESTRE 1")</f>
        <v>TRIMESTRE 1</v>
      </c>
      <c r="M324" s="81" t="str">
        <f ca="1">IFERROR(__xludf.DUMMYFUNCTION("""COMPUTED_VALUE"""),"ADOLESCENTES MUJERES")</f>
        <v>ADOLESCENTES MUJERES</v>
      </c>
      <c r="N324" s="81"/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  <c r="Z324" s="81"/>
    </row>
    <row r="325" spans="1:26">
      <c r="A325" s="81" t="str">
        <f ca="1">IFERROR(__xludf.DUMMYFUNCTION("""COMPUTED_VALUE"""),"6.1.3.1")</f>
        <v>6.1.3.1</v>
      </c>
      <c r="B325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5" s="81" t="str">
        <f ca="1">IFERROR(__xludf.DUMMYFUNCTION("""COMPUTED_VALUE"""),"5. Inclusión")</f>
        <v>5. Inclusión</v>
      </c>
      <c r="D325" s="81" t="str">
        <f ca="1">IFERROR(__xludf.DUMMYFUNCTION("""COMPUTED_VALUE"""),"Guadalajara sin Barreras")</f>
        <v>Guadalajara sin Barreras</v>
      </c>
      <c r="E325" s="81" t="str">
        <f ca="1">IFERROR(__xludf.DUMMYFUNCTION("""COMPUTED_VALUE"""),"Cultura para la Inclusión")</f>
        <v>Cultura para la Inclusión</v>
      </c>
      <c r="F325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5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5" s="81" t="str">
        <f ca="1">IFERROR(__xludf.DUMMYFUNCTION("""COMPUTED_VALUE"""),"AH MARZO")</f>
        <v>AH MARZO</v>
      </c>
      <c r="I325" s="81" t="str">
        <f ca="1">IFERROR(__xludf.DUMMYFUNCTION("""COMPUTED_VALUE"""),"Marzo")</f>
        <v>Marzo</v>
      </c>
      <c r="J325" s="81" t="str">
        <f ca="1">IFERROR(__xludf.DUMMYFUNCTION("""COMPUTED_VALUE"""),"AH")</f>
        <v>AH</v>
      </c>
      <c r="K325" s="80">
        <f ca="1">IFERROR(__xludf.DUMMYFUNCTION("""COMPUTED_VALUE"""),0)</f>
        <v>0</v>
      </c>
      <c r="L325" s="81" t="str">
        <f ca="1">IFERROR(__xludf.DUMMYFUNCTION("""COMPUTED_VALUE"""),"TRIMESTRE 1")</f>
        <v>TRIMESTRE 1</v>
      </c>
      <c r="M325" s="81" t="str">
        <f ca="1">IFERROR(__xludf.DUMMYFUNCTION("""COMPUTED_VALUE"""),"ADOLESCENTES HOMBRES")</f>
        <v>ADOLESCENTES HOMBRES</v>
      </c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</row>
    <row r="326" spans="1:26">
      <c r="A326" s="81" t="str">
        <f ca="1">IFERROR(__xludf.DUMMYFUNCTION("""COMPUTED_VALUE"""),"6.1.3.1")</f>
        <v>6.1.3.1</v>
      </c>
      <c r="B326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6" s="81" t="str">
        <f ca="1">IFERROR(__xludf.DUMMYFUNCTION("""COMPUTED_VALUE"""),"5. Inclusión")</f>
        <v>5. Inclusión</v>
      </c>
      <c r="D326" s="81" t="str">
        <f ca="1">IFERROR(__xludf.DUMMYFUNCTION("""COMPUTED_VALUE"""),"Guadalajara sin Barreras")</f>
        <v>Guadalajara sin Barreras</v>
      </c>
      <c r="E326" s="81" t="str">
        <f ca="1">IFERROR(__xludf.DUMMYFUNCTION("""COMPUTED_VALUE"""),"Cultura para la Inclusión")</f>
        <v>Cultura para la Inclusión</v>
      </c>
      <c r="F326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6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6" s="81" t="str">
        <f ca="1">IFERROR(__xludf.DUMMYFUNCTION("""COMPUTED_VALUE"""),"MUJ Marzo")</f>
        <v>MUJ Marzo</v>
      </c>
      <c r="I326" s="81" t="str">
        <f ca="1">IFERROR(__xludf.DUMMYFUNCTION("""COMPUTED_VALUE"""),"Marzo")</f>
        <v>Marzo</v>
      </c>
      <c r="J326" s="81" t="str">
        <f ca="1">IFERROR(__xludf.DUMMYFUNCTION("""COMPUTED_VALUE"""),"MUJ")</f>
        <v>MUJ</v>
      </c>
      <c r="K326" s="80">
        <f ca="1">IFERROR(__xludf.DUMMYFUNCTION("""COMPUTED_VALUE"""),11)</f>
        <v>11</v>
      </c>
      <c r="L326" s="81" t="str">
        <f ca="1">IFERROR(__xludf.DUMMYFUNCTION("""COMPUTED_VALUE"""),"TRIMESTRE 1")</f>
        <v>TRIMESTRE 1</v>
      </c>
      <c r="M326" s="81" t="str">
        <f ca="1">IFERROR(__xludf.DUMMYFUNCTION("""COMPUTED_VALUE"""),"MUJERES ADULTAS")</f>
        <v>MUJERES ADULTAS</v>
      </c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</row>
    <row r="327" spans="1:26">
      <c r="A327" s="81" t="str">
        <f ca="1">IFERROR(__xludf.DUMMYFUNCTION("""COMPUTED_VALUE"""),"6.1.3.1")</f>
        <v>6.1.3.1</v>
      </c>
      <c r="B327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7" s="81" t="str">
        <f ca="1">IFERROR(__xludf.DUMMYFUNCTION("""COMPUTED_VALUE"""),"5. Inclusión")</f>
        <v>5. Inclusión</v>
      </c>
      <c r="D327" s="81" t="str">
        <f ca="1">IFERROR(__xludf.DUMMYFUNCTION("""COMPUTED_VALUE"""),"Guadalajara sin Barreras")</f>
        <v>Guadalajara sin Barreras</v>
      </c>
      <c r="E327" s="81" t="str">
        <f ca="1">IFERROR(__xludf.DUMMYFUNCTION("""COMPUTED_VALUE"""),"Cultura para la Inclusión")</f>
        <v>Cultura para la Inclusión</v>
      </c>
      <c r="F327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7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7" s="81" t="str">
        <f ca="1">IFERROR(__xludf.DUMMYFUNCTION("""COMPUTED_VALUE"""),"HOM Marzo")</f>
        <v>HOM Marzo</v>
      </c>
      <c r="I327" s="81" t="str">
        <f ca="1">IFERROR(__xludf.DUMMYFUNCTION("""COMPUTED_VALUE"""),"Marzo")</f>
        <v>Marzo</v>
      </c>
      <c r="J327" s="81" t="str">
        <f ca="1">IFERROR(__xludf.DUMMYFUNCTION("""COMPUTED_VALUE"""),"HOM")</f>
        <v>HOM</v>
      </c>
      <c r="K327" s="80">
        <f ca="1">IFERROR(__xludf.DUMMYFUNCTION("""COMPUTED_VALUE"""),14)</f>
        <v>14</v>
      </c>
      <c r="L327" s="81" t="str">
        <f ca="1">IFERROR(__xludf.DUMMYFUNCTION("""COMPUTED_VALUE"""),"TRIMESTRE 1")</f>
        <v>TRIMESTRE 1</v>
      </c>
      <c r="M327" s="81" t="str">
        <f ca="1">IFERROR(__xludf.DUMMYFUNCTION("""COMPUTED_VALUE"""),"HOMBRES ADULTOS")</f>
        <v>HOMBRES ADULTOS</v>
      </c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</row>
    <row r="328" spans="1:26">
      <c r="A328" s="81" t="str">
        <f ca="1">IFERROR(__xludf.DUMMYFUNCTION("""COMPUTED_VALUE"""),"6.1.3.1")</f>
        <v>6.1.3.1</v>
      </c>
      <c r="B328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8" s="81" t="str">
        <f ca="1">IFERROR(__xludf.DUMMYFUNCTION("""COMPUTED_VALUE"""),"5. Inclusión")</f>
        <v>5. Inclusión</v>
      </c>
      <c r="D328" s="81" t="str">
        <f ca="1">IFERROR(__xludf.DUMMYFUNCTION("""COMPUTED_VALUE"""),"Guadalajara sin Barreras")</f>
        <v>Guadalajara sin Barreras</v>
      </c>
      <c r="E328" s="81" t="str">
        <f ca="1">IFERROR(__xludf.DUMMYFUNCTION("""COMPUTED_VALUE"""),"Cultura para la Inclusión")</f>
        <v>Cultura para la Inclusión</v>
      </c>
      <c r="F328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8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8" s="81" t="str">
        <f ca="1">IFERROR(__xludf.DUMMYFUNCTION("""COMPUTED_VALUE"""),"AMM Marzo")</f>
        <v>AMM Marzo</v>
      </c>
      <c r="I328" s="81" t="str">
        <f ca="1">IFERROR(__xludf.DUMMYFUNCTION("""COMPUTED_VALUE"""),"Marzo")</f>
        <v>Marzo</v>
      </c>
      <c r="J328" s="81" t="str">
        <f ca="1">IFERROR(__xludf.DUMMYFUNCTION("""COMPUTED_VALUE"""),"AMM")</f>
        <v>AMM</v>
      </c>
      <c r="K328" s="80">
        <f ca="1">IFERROR(__xludf.DUMMYFUNCTION("""COMPUTED_VALUE"""),0)</f>
        <v>0</v>
      </c>
      <c r="L328" s="81" t="str">
        <f ca="1">IFERROR(__xludf.DUMMYFUNCTION("""COMPUTED_VALUE"""),"TRIMESTRE 1")</f>
        <v>TRIMESTRE 1</v>
      </c>
      <c r="M328" s="81" t="str">
        <f ca="1">IFERROR(__xludf.DUMMYFUNCTION("""COMPUTED_VALUE"""),"ADULTA MAYOR MUJER")</f>
        <v>ADULTA MAYOR MUJER</v>
      </c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</row>
    <row r="329" spans="1:26">
      <c r="A329" s="81" t="str">
        <f ca="1">IFERROR(__xludf.DUMMYFUNCTION("""COMPUTED_VALUE"""),"6.1.3.1")</f>
        <v>6.1.3.1</v>
      </c>
      <c r="B329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29" s="81" t="str">
        <f ca="1">IFERROR(__xludf.DUMMYFUNCTION("""COMPUTED_VALUE"""),"5. Inclusión")</f>
        <v>5. Inclusión</v>
      </c>
      <c r="D329" s="81" t="str">
        <f ca="1">IFERROR(__xludf.DUMMYFUNCTION("""COMPUTED_VALUE"""),"Guadalajara sin Barreras")</f>
        <v>Guadalajara sin Barreras</v>
      </c>
      <c r="E329" s="81" t="str">
        <f ca="1">IFERROR(__xludf.DUMMYFUNCTION("""COMPUTED_VALUE"""),"Cultura para la Inclusión")</f>
        <v>Cultura para la Inclusión</v>
      </c>
      <c r="F329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29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29" s="81" t="str">
        <f ca="1">IFERROR(__xludf.DUMMYFUNCTION("""COMPUTED_VALUE"""),"AMH Marzo")</f>
        <v>AMH Marzo</v>
      </c>
      <c r="I329" s="81" t="str">
        <f ca="1">IFERROR(__xludf.DUMMYFUNCTION("""COMPUTED_VALUE"""),"Marzo")</f>
        <v>Marzo</v>
      </c>
      <c r="J329" s="81" t="str">
        <f ca="1">IFERROR(__xludf.DUMMYFUNCTION("""COMPUTED_VALUE"""),"AMH")</f>
        <v>AMH</v>
      </c>
      <c r="K329" s="80">
        <f ca="1">IFERROR(__xludf.DUMMYFUNCTION("""COMPUTED_VALUE"""),0)</f>
        <v>0</v>
      </c>
      <c r="L329" s="81" t="str">
        <f ca="1">IFERROR(__xludf.DUMMYFUNCTION("""COMPUTED_VALUE"""),"TRIMESTRE 1")</f>
        <v>TRIMESTRE 1</v>
      </c>
      <c r="M329" s="81" t="str">
        <f ca="1">IFERROR(__xludf.DUMMYFUNCTION("""COMPUTED_VALUE"""),"ADULTO MAYOR HOMBRE")</f>
        <v>ADULTO MAYOR HOMBRE</v>
      </c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</row>
    <row r="330" spans="1:26">
      <c r="A330" s="79" t="str">
        <f ca="1">IFERROR(__xludf.DUMMYFUNCTION("""COMPUTED_VALUE"""),"6.1.3.2")</f>
        <v>6.1.3.2</v>
      </c>
      <c r="B330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0" s="79" t="str">
        <f ca="1">IFERROR(__xludf.DUMMYFUNCTION("""COMPUTED_VALUE"""),"5. Inclusión")</f>
        <v>5. Inclusión</v>
      </c>
      <c r="D330" s="79" t="str">
        <f ca="1">IFERROR(__xludf.DUMMYFUNCTION("""COMPUTED_VALUE"""),"Guadalajara sin Barreras")</f>
        <v>Guadalajara sin Barreras</v>
      </c>
      <c r="E330" s="79" t="str">
        <f ca="1">IFERROR(__xludf.DUMMYFUNCTION("""COMPUTED_VALUE"""),"Cultura para la Inclusión")</f>
        <v>Cultura para la Inclusión</v>
      </c>
      <c r="F330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0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0" s="79" t="str">
        <f ca="1">IFERROR(__xludf.DUMMYFUNCTION("""COMPUTED_VALUE"""),"NAS Marzo")</f>
        <v>NAS Marzo</v>
      </c>
      <c r="I330" s="79" t="str">
        <f ca="1">IFERROR(__xludf.DUMMYFUNCTION("""COMPUTED_VALUE"""),"Marzo")</f>
        <v>Marzo</v>
      </c>
      <c r="J330" s="79" t="str">
        <f ca="1">IFERROR(__xludf.DUMMYFUNCTION("""COMPUTED_VALUE"""),"NAS")</f>
        <v>NAS</v>
      </c>
      <c r="K330" s="80">
        <f ca="1">IFERROR(__xludf.DUMMYFUNCTION("""COMPUTED_VALUE"""),0)</f>
        <v>0</v>
      </c>
      <c r="L330" s="79" t="str">
        <f ca="1">IFERROR(__xludf.DUMMYFUNCTION("""COMPUTED_VALUE"""),"TRIMESTRE 1")</f>
        <v>TRIMESTRE 1</v>
      </c>
      <c r="M330" s="79" t="str">
        <f ca="1">IFERROR(__xludf.DUMMYFUNCTION("""COMPUTED_VALUE"""),"NIÑAS")</f>
        <v>NIÑAS</v>
      </c>
    </row>
    <row r="331" spans="1:26">
      <c r="A331" s="79" t="str">
        <f ca="1">IFERROR(__xludf.DUMMYFUNCTION("""COMPUTED_VALUE"""),"6.1.3.2")</f>
        <v>6.1.3.2</v>
      </c>
      <c r="B331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1" s="79" t="str">
        <f ca="1">IFERROR(__xludf.DUMMYFUNCTION("""COMPUTED_VALUE"""),"5. Inclusión")</f>
        <v>5. Inclusión</v>
      </c>
      <c r="D331" s="79" t="str">
        <f ca="1">IFERROR(__xludf.DUMMYFUNCTION("""COMPUTED_VALUE"""),"Guadalajara sin Barreras")</f>
        <v>Guadalajara sin Barreras</v>
      </c>
      <c r="E331" s="79" t="str">
        <f ca="1">IFERROR(__xludf.DUMMYFUNCTION("""COMPUTED_VALUE"""),"Cultura para la Inclusión")</f>
        <v>Cultura para la Inclusión</v>
      </c>
      <c r="F331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1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1" s="79" t="str">
        <f ca="1">IFERROR(__xludf.DUMMYFUNCTION("""COMPUTED_VALUE"""),"NOS Marzo")</f>
        <v>NOS Marzo</v>
      </c>
      <c r="I331" s="79" t="str">
        <f ca="1">IFERROR(__xludf.DUMMYFUNCTION("""COMPUTED_VALUE"""),"Marzo")</f>
        <v>Marzo</v>
      </c>
      <c r="J331" s="79" t="str">
        <f ca="1">IFERROR(__xludf.DUMMYFUNCTION("""COMPUTED_VALUE"""),"NOS")</f>
        <v>NOS</v>
      </c>
      <c r="K331" s="80">
        <f ca="1">IFERROR(__xludf.DUMMYFUNCTION("""COMPUTED_VALUE"""),0)</f>
        <v>0</v>
      </c>
      <c r="L331" s="79" t="str">
        <f ca="1">IFERROR(__xludf.DUMMYFUNCTION("""COMPUTED_VALUE"""),"TRIMESTRE 1")</f>
        <v>TRIMESTRE 1</v>
      </c>
      <c r="M331" s="79" t="str">
        <f ca="1">IFERROR(__xludf.DUMMYFUNCTION("""COMPUTED_VALUE"""),"NIÑOS")</f>
        <v>NIÑOS</v>
      </c>
    </row>
    <row r="332" spans="1:26">
      <c r="A332" s="79" t="str">
        <f ca="1">IFERROR(__xludf.DUMMYFUNCTION("""COMPUTED_VALUE"""),"6.1.3.2")</f>
        <v>6.1.3.2</v>
      </c>
      <c r="B332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2" s="79" t="str">
        <f ca="1">IFERROR(__xludf.DUMMYFUNCTION("""COMPUTED_VALUE"""),"5. Inclusión")</f>
        <v>5. Inclusión</v>
      </c>
      <c r="D332" s="79" t="str">
        <f ca="1">IFERROR(__xludf.DUMMYFUNCTION("""COMPUTED_VALUE"""),"Guadalajara sin Barreras")</f>
        <v>Guadalajara sin Barreras</v>
      </c>
      <c r="E332" s="79" t="str">
        <f ca="1">IFERROR(__xludf.DUMMYFUNCTION("""COMPUTED_VALUE"""),"Cultura para la Inclusión")</f>
        <v>Cultura para la Inclusión</v>
      </c>
      <c r="F332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2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2" s="79" t="str">
        <f ca="1">IFERROR(__xludf.DUMMYFUNCTION("""COMPUTED_VALUE"""),"AM MARZO")</f>
        <v>AM MARZO</v>
      </c>
      <c r="I332" s="79" t="str">
        <f ca="1">IFERROR(__xludf.DUMMYFUNCTION("""COMPUTED_VALUE"""),"Marzo")</f>
        <v>Marzo</v>
      </c>
      <c r="J332" s="79" t="str">
        <f ca="1">IFERROR(__xludf.DUMMYFUNCTION("""COMPUTED_VALUE"""),"AM")</f>
        <v>AM</v>
      </c>
      <c r="K332" s="80">
        <f ca="1">IFERROR(__xludf.DUMMYFUNCTION("""COMPUTED_VALUE"""),0)</f>
        <v>0</v>
      </c>
      <c r="L332" s="79" t="str">
        <f ca="1">IFERROR(__xludf.DUMMYFUNCTION("""COMPUTED_VALUE"""),"TRIMESTRE 1")</f>
        <v>TRIMESTRE 1</v>
      </c>
      <c r="M332" s="79" t="str">
        <f ca="1">IFERROR(__xludf.DUMMYFUNCTION("""COMPUTED_VALUE"""),"ADOLESCENTES MUJERES")</f>
        <v>ADOLESCENTES MUJERES</v>
      </c>
    </row>
    <row r="333" spans="1:26">
      <c r="A333" s="79" t="str">
        <f ca="1">IFERROR(__xludf.DUMMYFUNCTION("""COMPUTED_VALUE"""),"6.1.3.2")</f>
        <v>6.1.3.2</v>
      </c>
      <c r="B333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3" s="79" t="str">
        <f ca="1">IFERROR(__xludf.DUMMYFUNCTION("""COMPUTED_VALUE"""),"5. Inclusión")</f>
        <v>5. Inclusión</v>
      </c>
      <c r="D333" s="79" t="str">
        <f ca="1">IFERROR(__xludf.DUMMYFUNCTION("""COMPUTED_VALUE"""),"Guadalajara sin Barreras")</f>
        <v>Guadalajara sin Barreras</v>
      </c>
      <c r="E333" s="79" t="str">
        <f ca="1">IFERROR(__xludf.DUMMYFUNCTION("""COMPUTED_VALUE"""),"Cultura para la Inclusión")</f>
        <v>Cultura para la Inclusión</v>
      </c>
      <c r="F333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3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3" s="79" t="str">
        <f ca="1">IFERROR(__xludf.DUMMYFUNCTION("""COMPUTED_VALUE"""),"AH MARZO")</f>
        <v>AH MARZO</v>
      </c>
      <c r="I333" s="79" t="str">
        <f ca="1">IFERROR(__xludf.DUMMYFUNCTION("""COMPUTED_VALUE"""),"Marzo")</f>
        <v>Marzo</v>
      </c>
      <c r="J333" s="79" t="str">
        <f ca="1">IFERROR(__xludf.DUMMYFUNCTION("""COMPUTED_VALUE"""),"AH")</f>
        <v>AH</v>
      </c>
      <c r="K333" s="80">
        <f ca="1">IFERROR(__xludf.DUMMYFUNCTION("""COMPUTED_VALUE"""),0)</f>
        <v>0</v>
      </c>
      <c r="L333" s="79" t="str">
        <f ca="1">IFERROR(__xludf.DUMMYFUNCTION("""COMPUTED_VALUE"""),"TRIMESTRE 1")</f>
        <v>TRIMESTRE 1</v>
      </c>
      <c r="M333" s="79" t="str">
        <f ca="1">IFERROR(__xludf.DUMMYFUNCTION("""COMPUTED_VALUE"""),"ADOLESCENTES HOMBRES")</f>
        <v>ADOLESCENTES HOMBRES</v>
      </c>
    </row>
    <row r="334" spans="1:26">
      <c r="A334" s="79" t="str">
        <f ca="1">IFERROR(__xludf.DUMMYFUNCTION("""COMPUTED_VALUE"""),"6.1.3.2")</f>
        <v>6.1.3.2</v>
      </c>
      <c r="B334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4" s="79" t="str">
        <f ca="1">IFERROR(__xludf.DUMMYFUNCTION("""COMPUTED_VALUE"""),"5. Inclusión")</f>
        <v>5. Inclusión</v>
      </c>
      <c r="D334" s="79" t="str">
        <f ca="1">IFERROR(__xludf.DUMMYFUNCTION("""COMPUTED_VALUE"""),"Guadalajara sin Barreras")</f>
        <v>Guadalajara sin Barreras</v>
      </c>
      <c r="E334" s="79" t="str">
        <f ca="1">IFERROR(__xludf.DUMMYFUNCTION("""COMPUTED_VALUE"""),"Cultura para la Inclusión")</f>
        <v>Cultura para la Inclusión</v>
      </c>
      <c r="F334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4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4" s="79" t="str">
        <f ca="1">IFERROR(__xludf.DUMMYFUNCTION("""COMPUTED_VALUE"""),"MUJ Marzo")</f>
        <v>MUJ Marzo</v>
      </c>
      <c r="I334" s="79" t="str">
        <f ca="1">IFERROR(__xludf.DUMMYFUNCTION("""COMPUTED_VALUE"""),"Marzo")</f>
        <v>Marzo</v>
      </c>
      <c r="J334" s="79" t="str">
        <f ca="1">IFERROR(__xludf.DUMMYFUNCTION("""COMPUTED_VALUE"""),"MUJ")</f>
        <v>MUJ</v>
      </c>
      <c r="K334" s="80">
        <f ca="1">IFERROR(__xludf.DUMMYFUNCTION("""COMPUTED_VALUE"""),0)</f>
        <v>0</v>
      </c>
      <c r="L334" s="79" t="str">
        <f ca="1">IFERROR(__xludf.DUMMYFUNCTION("""COMPUTED_VALUE"""),"TRIMESTRE 1")</f>
        <v>TRIMESTRE 1</v>
      </c>
      <c r="M334" s="79" t="str">
        <f ca="1">IFERROR(__xludf.DUMMYFUNCTION("""COMPUTED_VALUE"""),"MUJERES ADULTAS")</f>
        <v>MUJERES ADULTAS</v>
      </c>
    </row>
    <row r="335" spans="1:26">
      <c r="A335" s="79" t="str">
        <f ca="1">IFERROR(__xludf.DUMMYFUNCTION("""COMPUTED_VALUE"""),"6.1.3.2")</f>
        <v>6.1.3.2</v>
      </c>
      <c r="B335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5" s="79" t="str">
        <f ca="1">IFERROR(__xludf.DUMMYFUNCTION("""COMPUTED_VALUE"""),"5. Inclusión")</f>
        <v>5. Inclusión</v>
      </c>
      <c r="D335" s="79" t="str">
        <f ca="1">IFERROR(__xludf.DUMMYFUNCTION("""COMPUTED_VALUE"""),"Guadalajara sin Barreras")</f>
        <v>Guadalajara sin Barreras</v>
      </c>
      <c r="E335" s="79" t="str">
        <f ca="1">IFERROR(__xludf.DUMMYFUNCTION("""COMPUTED_VALUE"""),"Cultura para la Inclusión")</f>
        <v>Cultura para la Inclusión</v>
      </c>
      <c r="F335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5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5" s="79" t="str">
        <f ca="1">IFERROR(__xludf.DUMMYFUNCTION("""COMPUTED_VALUE"""),"HOM Marzo")</f>
        <v>HOM Marzo</v>
      </c>
      <c r="I335" s="79" t="str">
        <f ca="1">IFERROR(__xludf.DUMMYFUNCTION("""COMPUTED_VALUE"""),"Marzo")</f>
        <v>Marzo</v>
      </c>
      <c r="J335" s="79" t="str">
        <f ca="1">IFERROR(__xludf.DUMMYFUNCTION("""COMPUTED_VALUE"""),"HOM")</f>
        <v>HOM</v>
      </c>
      <c r="K335" s="80">
        <f ca="1">IFERROR(__xludf.DUMMYFUNCTION("""COMPUTED_VALUE"""),0)</f>
        <v>0</v>
      </c>
      <c r="L335" s="79" t="str">
        <f ca="1">IFERROR(__xludf.DUMMYFUNCTION("""COMPUTED_VALUE"""),"TRIMESTRE 1")</f>
        <v>TRIMESTRE 1</v>
      </c>
      <c r="M335" s="79" t="str">
        <f ca="1">IFERROR(__xludf.DUMMYFUNCTION("""COMPUTED_VALUE"""),"HOMBRES ADULTOS")</f>
        <v>HOMBRES ADULTOS</v>
      </c>
    </row>
    <row r="336" spans="1:26">
      <c r="A336" s="79" t="str">
        <f ca="1">IFERROR(__xludf.DUMMYFUNCTION("""COMPUTED_VALUE"""),"6.1.3.2")</f>
        <v>6.1.3.2</v>
      </c>
      <c r="B336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6" s="79" t="str">
        <f ca="1">IFERROR(__xludf.DUMMYFUNCTION("""COMPUTED_VALUE"""),"5. Inclusión")</f>
        <v>5. Inclusión</v>
      </c>
      <c r="D336" s="79" t="str">
        <f ca="1">IFERROR(__xludf.DUMMYFUNCTION("""COMPUTED_VALUE"""),"Guadalajara sin Barreras")</f>
        <v>Guadalajara sin Barreras</v>
      </c>
      <c r="E336" s="79" t="str">
        <f ca="1">IFERROR(__xludf.DUMMYFUNCTION("""COMPUTED_VALUE"""),"Cultura para la Inclusión")</f>
        <v>Cultura para la Inclusión</v>
      </c>
      <c r="F336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6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6" s="79" t="str">
        <f ca="1">IFERROR(__xludf.DUMMYFUNCTION("""COMPUTED_VALUE"""),"AMM Marzo")</f>
        <v>AMM Marzo</v>
      </c>
      <c r="I336" s="79" t="str">
        <f ca="1">IFERROR(__xludf.DUMMYFUNCTION("""COMPUTED_VALUE"""),"Marzo")</f>
        <v>Marzo</v>
      </c>
      <c r="J336" s="79" t="str">
        <f ca="1">IFERROR(__xludf.DUMMYFUNCTION("""COMPUTED_VALUE"""),"AMM")</f>
        <v>AMM</v>
      </c>
      <c r="K336" s="80">
        <f ca="1">IFERROR(__xludf.DUMMYFUNCTION("""COMPUTED_VALUE"""),0)</f>
        <v>0</v>
      </c>
      <c r="L336" s="79" t="str">
        <f ca="1">IFERROR(__xludf.DUMMYFUNCTION("""COMPUTED_VALUE"""),"TRIMESTRE 1")</f>
        <v>TRIMESTRE 1</v>
      </c>
      <c r="M336" s="79" t="str">
        <f ca="1">IFERROR(__xludf.DUMMYFUNCTION("""COMPUTED_VALUE"""),"ADULTA MAYOR MUJER")</f>
        <v>ADULTA MAYOR MUJER</v>
      </c>
    </row>
    <row r="337" spans="1:13">
      <c r="A337" s="79" t="str">
        <f ca="1">IFERROR(__xludf.DUMMYFUNCTION("""COMPUTED_VALUE"""),"6.1.3.2")</f>
        <v>6.1.3.2</v>
      </c>
      <c r="B337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7" s="79" t="str">
        <f ca="1">IFERROR(__xludf.DUMMYFUNCTION("""COMPUTED_VALUE"""),"5. Inclusión")</f>
        <v>5. Inclusión</v>
      </c>
      <c r="D337" s="79" t="str">
        <f ca="1">IFERROR(__xludf.DUMMYFUNCTION("""COMPUTED_VALUE"""),"Guadalajara sin Barreras")</f>
        <v>Guadalajara sin Barreras</v>
      </c>
      <c r="E337" s="79" t="str">
        <f ca="1">IFERROR(__xludf.DUMMYFUNCTION("""COMPUTED_VALUE"""),"Cultura para la Inclusión")</f>
        <v>Cultura para la Inclusión</v>
      </c>
      <c r="F337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37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37" s="79" t="str">
        <f ca="1">IFERROR(__xludf.DUMMYFUNCTION("""COMPUTED_VALUE"""),"AMH Marzo")</f>
        <v>AMH Marzo</v>
      </c>
      <c r="I337" s="79" t="str">
        <f ca="1">IFERROR(__xludf.DUMMYFUNCTION("""COMPUTED_VALUE"""),"Marzo")</f>
        <v>Marzo</v>
      </c>
      <c r="J337" s="79" t="str">
        <f ca="1">IFERROR(__xludf.DUMMYFUNCTION("""COMPUTED_VALUE"""),"AMH")</f>
        <v>AMH</v>
      </c>
      <c r="K337" s="80">
        <f ca="1">IFERROR(__xludf.DUMMYFUNCTION("""COMPUTED_VALUE"""),0)</f>
        <v>0</v>
      </c>
      <c r="L337" s="79" t="str">
        <f ca="1">IFERROR(__xludf.DUMMYFUNCTION("""COMPUTED_VALUE"""),"TRIMESTRE 1")</f>
        <v>TRIMESTRE 1</v>
      </c>
      <c r="M337" s="79" t="str">
        <f ca="1">IFERROR(__xludf.DUMMYFUNCTION("""COMPUTED_VALUE"""),"ADULTO MAYOR HOMBRE")</f>
        <v>ADULTO MAYOR HOMBRE</v>
      </c>
    </row>
    <row r="338" spans="1:13">
      <c r="A338" s="79" t="str">
        <f ca="1">IFERROR(__xludf.DUMMYFUNCTION("""COMPUTED_VALUE"""),"6.1.3.1")</f>
        <v>6.1.3.1</v>
      </c>
      <c r="B338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8" s="79" t="str">
        <f ca="1">IFERROR(__xludf.DUMMYFUNCTION("""COMPUTED_VALUE"""),"5. Inclusión")</f>
        <v>5. Inclusión</v>
      </c>
      <c r="D338" s="79" t="str">
        <f ca="1">IFERROR(__xludf.DUMMYFUNCTION("""COMPUTED_VALUE"""),"Guadalajara sin Barreras")</f>
        <v>Guadalajara sin Barreras</v>
      </c>
      <c r="E338" s="79" t="str">
        <f ca="1">IFERROR(__xludf.DUMMYFUNCTION("""COMPUTED_VALUE"""),"Cultura para la Inclusión")</f>
        <v>Cultura para la Inclusión</v>
      </c>
      <c r="F338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38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38" s="79" t="str">
        <f ca="1">IFERROR(__xludf.DUMMYFUNCTION("""COMPUTED_VALUE"""),"NAS Abril")</f>
        <v>NAS Abril</v>
      </c>
      <c r="I338" s="79" t="str">
        <f ca="1">IFERROR(__xludf.DUMMYFUNCTION("""COMPUTED_VALUE"""),"Abril")</f>
        <v>Abril</v>
      </c>
      <c r="J338" s="79" t="str">
        <f ca="1">IFERROR(__xludf.DUMMYFUNCTION("""COMPUTED_VALUE"""),"NAS")</f>
        <v>NAS</v>
      </c>
      <c r="K338" s="80">
        <f ca="1">IFERROR(__xludf.DUMMYFUNCTION("""COMPUTED_VALUE"""),0)</f>
        <v>0</v>
      </c>
      <c r="L338" s="79" t="str">
        <f ca="1">IFERROR(__xludf.DUMMYFUNCTION("""COMPUTED_VALUE"""),"TRIMESTRE 2")</f>
        <v>TRIMESTRE 2</v>
      </c>
      <c r="M338" s="79" t="str">
        <f ca="1">IFERROR(__xludf.DUMMYFUNCTION("""COMPUTED_VALUE"""),"NIÑAS")</f>
        <v>NIÑAS</v>
      </c>
    </row>
    <row r="339" spans="1:13">
      <c r="A339" s="79" t="str">
        <f ca="1">IFERROR(__xludf.DUMMYFUNCTION("""COMPUTED_VALUE"""),"6.1.3.1")</f>
        <v>6.1.3.1</v>
      </c>
      <c r="B339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39" s="79" t="str">
        <f ca="1">IFERROR(__xludf.DUMMYFUNCTION("""COMPUTED_VALUE"""),"5. Inclusión")</f>
        <v>5. Inclusión</v>
      </c>
      <c r="D339" s="79" t="str">
        <f ca="1">IFERROR(__xludf.DUMMYFUNCTION("""COMPUTED_VALUE"""),"Guadalajara sin Barreras")</f>
        <v>Guadalajara sin Barreras</v>
      </c>
      <c r="E339" s="79" t="str">
        <f ca="1">IFERROR(__xludf.DUMMYFUNCTION("""COMPUTED_VALUE"""),"Cultura para la Inclusión")</f>
        <v>Cultura para la Inclusión</v>
      </c>
      <c r="F339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39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39" s="79" t="str">
        <f ca="1">IFERROR(__xludf.DUMMYFUNCTION("""COMPUTED_VALUE"""),"NOS Abril")</f>
        <v>NOS Abril</v>
      </c>
      <c r="I339" s="79" t="str">
        <f ca="1">IFERROR(__xludf.DUMMYFUNCTION("""COMPUTED_VALUE"""),"Abril")</f>
        <v>Abril</v>
      </c>
      <c r="J339" s="79" t="str">
        <f ca="1">IFERROR(__xludf.DUMMYFUNCTION("""COMPUTED_VALUE"""),"NOS")</f>
        <v>NOS</v>
      </c>
      <c r="K339" s="80">
        <f ca="1">IFERROR(__xludf.DUMMYFUNCTION("""COMPUTED_VALUE"""),0)</f>
        <v>0</v>
      </c>
      <c r="L339" s="79" t="str">
        <f ca="1">IFERROR(__xludf.DUMMYFUNCTION("""COMPUTED_VALUE"""),"TRIMESTRE 2")</f>
        <v>TRIMESTRE 2</v>
      </c>
      <c r="M339" s="79" t="str">
        <f ca="1">IFERROR(__xludf.DUMMYFUNCTION("""COMPUTED_VALUE"""),"NIÑOS")</f>
        <v>NIÑOS</v>
      </c>
    </row>
    <row r="340" spans="1:13">
      <c r="A340" s="79" t="str">
        <f ca="1">IFERROR(__xludf.DUMMYFUNCTION("""COMPUTED_VALUE"""),"6.1.3.1")</f>
        <v>6.1.3.1</v>
      </c>
      <c r="B340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0" s="79" t="str">
        <f ca="1">IFERROR(__xludf.DUMMYFUNCTION("""COMPUTED_VALUE"""),"5. Inclusión")</f>
        <v>5. Inclusión</v>
      </c>
      <c r="D340" s="79" t="str">
        <f ca="1">IFERROR(__xludf.DUMMYFUNCTION("""COMPUTED_VALUE"""),"Guadalajara sin Barreras")</f>
        <v>Guadalajara sin Barreras</v>
      </c>
      <c r="E340" s="79" t="str">
        <f ca="1">IFERROR(__xludf.DUMMYFUNCTION("""COMPUTED_VALUE"""),"Cultura para la Inclusión")</f>
        <v>Cultura para la Inclusión</v>
      </c>
      <c r="F340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40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40" s="79" t="str">
        <f ca="1">IFERROR(__xludf.DUMMYFUNCTION("""COMPUTED_VALUE"""),"AM ABRIL")</f>
        <v>AM ABRIL</v>
      </c>
      <c r="I340" s="79" t="str">
        <f ca="1">IFERROR(__xludf.DUMMYFUNCTION("""COMPUTED_VALUE"""),"Abril")</f>
        <v>Abril</v>
      </c>
      <c r="J340" s="79" t="str">
        <f ca="1">IFERROR(__xludf.DUMMYFUNCTION("""COMPUTED_VALUE"""),"AM")</f>
        <v>AM</v>
      </c>
      <c r="K340" s="80">
        <f ca="1">IFERROR(__xludf.DUMMYFUNCTION("""COMPUTED_VALUE"""),0)</f>
        <v>0</v>
      </c>
      <c r="L340" s="79" t="str">
        <f ca="1">IFERROR(__xludf.DUMMYFUNCTION("""COMPUTED_VALUE"""),"TRIMESTRE 2")</f>
        <v>TRIMESTRE 2</v>
      </c>
      <c r="M340" s="79" t="str">
        <f ca="1">IFERROR(__xludf.DUMMYFUNCTION("""COMPUTED_VALUE"""),"ADOLESCENTES MUJERES")</f>
        <v>ADOLESCENTES MUJERES</v>
      </c>
    </row>
    <row r="341" spans="1:13">
      <c r="A341" s="79" t="str">
        <f ca="1">IFERROR(__xludf.DUMMYFUNCTION("""COMPUTED_VALUE"""),"6.1.3.1")</f>
        <v>6.1.3.1</v>
      </c>
      <c r="B341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1" s="79" t="str">
        <f ca="1">IFERROR(__xludf.DUMMYFUNCTION("""COMPUTED_VALUE"""),"5. Inclusión")</f>
        <v>5. Inclusión</v>
      </c>
      <c r="D341" s="79" t="str">
        <f ca="1">IFERROR(__xludf.DUMMYFUNCTION("""COMPUTED_VALUE"""),"Guadalajara sin Barreras")</f>
        <v>Guadalajara sin Barreras</v>
      </c>
      <c r="E341" s="79" t="str">
        <f ca="1">IFERROR(__xludf.DUMMYFUNCTION("""COMPUTED_VALUE"""),"Cultura para la Inclusión")</f>
        <v>Cultura para la Inclusión</v>
      </c>
      <c r="F341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41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41" s="79" t="str">
        <f ca="1">IFERROR(__xludf.DUMMYFUNCTION("""COMPUTED_VALUE"""),"AH ABRIL")</f>
        <v>AH ABRIL</v>
      </c>
      <c r="I341" s="79" t="str">
        <f ca="1">IFERROR(__xludf.DUMMYFUNCTION("""COMPUTED_VALUE"""),"Abril")</f>
        <v>Abril</v>
      </c>
      <c r="J341" s="79" t="str">
        <f ca="1">IFERROR(__xludf.DUMMYFUNCTION("""COMPUTED_VALUE"""),"AH")</f>
        <v>AH</v>
      </c>
      <c r="K341" s="80">
        <f ca="1">IFERROR(__xludf.DUMMYFUNCTION("""COMPUTED_VALUE"""),0)</f>
        <v>0</v>
      </c>
      <c r="L341" s="79" t="str">
        <f ca="1">IFERROR(__xludf.DUMMYFUNCTION("""COMPUTED_VALUE"""),"TRIMESTRE 2")</f>
        <v>TRIMESTRE 2</v>
      </c>
      <c r="M341" s="79" t="str">
        <f ca="1">IFERROR(__xludf.DUMMYFUNCTION("""COMPUTED_VALUE"""),"ADOLESCENTES HOMBRES")</f>
        <v>ADOLESCENTES HOMBRES</v>
      </c>
    </row>
    <row r="342" spans="1:13">
      <c r="A342" s="79" t="str">
        <f ca="1">IFERROR(__xludf.DUMMYFUNCTION("""COMPUTED_VALUE"""),"6.1.3.1")</f>
        <v>6.1.3.1</v>
      </c>
      <c r="B342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2" s="79" t="str">
        <f ca="1">IFERROR(__xludf.DUMMYFUNCTION("""COMPUTED_VALUE"""),"5. Inclusión")</f>
        <v>5. Inclusión</v>
      </c>
      <c r="D342" s="79" t="str">
        <f ca="1">IFERROR(__xludf.DUMMYFUNCTION("""COMPUTED_VALUE"""),"Guadalajara sin Barreras")</f>
        <v>Guadalajara sin Barreras</v>
      </c>
      <c r="E342" s="79" t="str">
        <f ca="1">IFERROR(__xludf.DUMMYFUNCTION("""COMPUTED_VALUE"""),"Cultura para la Inclusión")</f>
        <v>Cultura para la Inclusión</v>
      </c>
      <c r="F342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42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42" s="79" t="str">
        <f ca="1">IFERROR(__xludf.DUMMYFUNCTION("""COMPUTED_VALUE"""),"MUJ Abril")</f>
        <v>MUJ Abril</v>
      </c>
      <c r="I342" s="79" t="str">
        <f ca="1">IFERROR(__xludf.DUMMYFUNCTION("""COMPUTED_VALUE"""),"Abril")</f>
        <v>Abril</v>
      </c>
      <c r="J342" s="79" t="str">
        <f ca="1">IFERROR(__xludf.DUMMYFUNCTION("""COMPUTED_VALUE"""),"MUJ")</f>
        <v>MUJ</v>
      </c>
      <c r="K342" s="80">
        <f ca="1">IFERROR(__xludf.DUMMYFUNCTION("""COMPUTED_VALUE"""),16)</f>
        <v>16</v>
      </c>
      <c r="L342" s="79" t="str">
        <f ca="1">IFERROR(__xludf.DUMMYFUNCTION("""COMPUTED_VALUE"""),"TRIMESTRE 2")</f>
        <v>TRIMESTRE 2</v>
      </c>
      <c r="M342" s="79" t="str">
        <f ca="1">IFERROR(__xludf.DUMMYFUNCTION("""COMPUTED_VALUE"""),"MUJERES ADULTAS")</f>
        <v>MUJERES ADULTAS</v>
      </c>
    </row>
    <row r="343" spans="1:13">
      <c r="A343" s="79" t="str">
        <f ca="1">IFERROR(__xludf.DUMMYFUNCTION("""COMPUTED_VALUE"""),"6.1.3.1")</f>
        <v>6.1.3.1</v>
      </c>
      <c r="B343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3" s="79" t="str">
        <f ca="1">IFERROR(__xludf.DUMMYFUNCTION("""COMPUTED_VALUE"""),"5. Inclusión")</f>
        <v>5. Inclusión</v>
      </c>
      <c r="D343" s="79" t="str">
        <f ca="1">IFERROR(__xludf.DUMMYFUNCTION("""COMPUTED_VALUE"""),"Guadalajara sin Barreras")</f>
        <v>Guadalajara sin Barreras</v>
      </c>
      <c r="E343" s="79" t="str">
        <f ca="1">IFERROR(__xludf.DUMMYFUNCTION("""COMPUTED_VALUE"""),"Cultura para la Inclusión")</f>
        <v>Cultura para la Inclusión</v>
      </c>
      <c r="F343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43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43" s="79" t="str">
        <f ca="1">IFERROR(__xludf.DUMMYFUNCTION("""COMPUTED_VALUE"""),"HOM Abril")</f>
        <v>HOM Abril</v>
      </c>
      <c r="I343" s="79" t="str">
        <f ca="1">IFERROR(__xludf.DUMMYFUNCTION("""COMPUTED_VALUE"""),"Abril")</f>
        <v>Abril</v>
      </c>
      <c r="J343" s="79" t="str">
        <f ca="1">IFERROR(__xludf.DUMMYFUNCTION("""COMPUTED_VALUE"""),"HOM")</f>
        <v>HOM</v>
      </c>
      <c r="K343" s="80">
        <f ca="1">IFERROR(__xludf.DUMMYFUNCTION("""COMPUTED_VALUE"""),17)</f>
        <v>17</v>
      </c>
      <c r="L343" s="79" t="str">
        <f ca="1">IFERROR(__xludf.DUMMYFUNCTION("""COMPUTED_VALUE"""),"TRIMESTRE 2")</f>
        <v>TRIMESTRE 2</v>
      </c>
      <c r="M343" s="79" t="str">
        <f ca="1">IFERROR(__xludf.DUMMYFUNCTION("""COMPUTED_VALUE"""),"HOMBRES ADULTOS")</f>
        <v>HOMBRES ADULTOS</v>
      </c>
    </row>
    <row r="344" spans="1:13">
      <c r="A344" s="79" t="str">
        <f ca="1">IFERROR(__xludf.DUMMYFUNCTION("""COMPUTED_VALUE"""),"6.1.3.1")</f>
        <v>6.1.3.1</v>
      </c>
      <c r="B344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4" s="79" t="str">
        <f ca="1">IFERROR(__xludf.DUMMYFUNCTION("""COMPUTED_VALUE"""),"5. Inclusión")</f>
        <v>5. Inclusión</v>
      </c>
      <c r="D344" s="79" t="str">
        <f ca="1">IFERROR(__xludf.DUMMYFUNCTION("""COMPUTED_VALUE"""),"Guadalajara sin Barreras")</f>
        <v>Guadalajara sin Barreras</v>
      </c>
      <c r="E344" s="79" t="str">
        <f ca="1">IFERROR(__xludf.DUMMYFUNCTION("""COMPUTED_VALUE"""),"Cultura para la Inclusión")</f>
        <v>Cultura para la Inclusión</v>
      </c>
      <c r="F344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44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44" s="79" t="str">
        <f ca="1">IFERROR(__xludf.DUMMYFUNCTION("""COMPUTED_VALUE"""),"AMM Abril")</f>
        <v>AMM Abril</v>
      </c>
      <c r="I344" s="79" t="str">
        <f ca="1">IFERROR(__xludf.DUMMYFUNCTION("""COMPUTED_VALUE"""),"Abril")</f>
        <v>Abril</v>
      </c>
      <c r="J344" s="79" t="str">
        <f ca="1">IFERROR(__xludf.DUMMYFUNCTION("""COMPUTED_VALUE"""),"AMM")</f>
        <v>AMM</v>
      </c>
      <c r="K344" s="80">
        <f ca="1">IFERROR(__xludf.DUMMYFUNCTION("""COMPUTED_VALUE"""),0)</f>
        <v>0</v>
      </c>
      <c r="L344" s="79" t="str">
        <f ca="1">IFERROR(__xludf.DUMMYFUNCTION("""COMPUTED_VALUE"""),"TRIMESTRE 2")</f>
        <v>TRIMESTRE 2</v>
      </c>
      <c r="M344" s="79" t="str">
        <f ca="1">IFERROR(__xludf.DUMMYFUNCTION("""COMPUTED_VALUE"""),"ADULTA MAYOR MUJER")</f>
        <v>ADULTA MAYOR MUJER</v>
      </c>
    </row>
    <row r="345" spans="1:13">
      <c r="A345" s="79" t="str">
        <f ca="1">IFERROR(__xludf.DUMMYFUNCTION("""COMPUTED_VALUE"""),"6.1.3.1")</f>
        <v>6.1.3.1</v>
      </c>
      <c r="B345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5" s="79" t="str">
        <f ca="1">IFERROR(__xludf.DUMMYFUNCTION("""COMPUTED_VALUE"""),"5. Inclusión")</f>
        <v>5. Inclusión</v>
      </c>
      <c r="D345" s="79" t="str">
        <f ca="1">IFERROR(__xludf.DUMMYFUNCTION("""COMPUTED_VALUE"""),"Guadalajara sin Barreras")</f>
        <v>Guadalajara sin Barreras</v>
      </c>
      <c r="E345" s="79" t="str">
        <f ca="1">IFERROR(__xludf.DUMMYFUNCTION("""COMPUTED_VALUE"""),"Cultura para la Inclusión")</f>
        <v>Cultura para la Inclusión</v>
      </c>
      <c r="F345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45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45" s="79" t="str">
        <f ca="1">IFERROR(__xludf.DUMMYFUNCTION("""COMPUTED_VALUE"""),"AMH Abril")</f>
        <v>AMH Abril</v>
      </c>
      <c r="I345" s="79" t="str">
        <f ca="1">IFERROR(__xludf.DUMMYFUNCTION("""COMPUTED_VALUE"""),"Abril")</f>
        <v>Abril</v>
      </c>
      <c r="J345" s="79" t="str">
        <f ca="1">IFERROR(__xludf.DUMMYFUNCTION("""COMPUTED_VALUE"""),"AMH")</f>
        <v>AMH</v>
      </c>
      <c r="K345" s="80">
        <f ca="1">IFERROR(__xludf.DUMMYFUNCTION("""COMPUTED_VALUE"""),0)</f>
        <v>0</v>
      </c>
      <c r="L345" s="79" t="str">
        <f ca="1">IFERROR(__xludf.DUMMYFUNCTION("""COMPUTED_VALUE"""),"TRIMESTRE 2")</f>
        <v>TRIMESTRE 2</v>
      </c>
      <c r="M345" s="79" t="str">
        <f ca="1">IFERROR(__xludf.DUMMYFUNCTION("""COMPUTED_VALUE"""),"ADULTO MAYOR HOMBRE")</f>
        <v>ADULTO MAYOR HOMBRE</v>
      </c>
    </row>
    <row r="346" spans="1:13">
      <c r="A346" s="79" t="str">
        <f ca="1">IFERROR(__xludf.DUMMYFUNCTION("""COMPUTED_VALUE"""),"6.1.3.2")</f>
        <v>6.1.3.2</v>
      </c>
      <c r="B346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6" s="79" t="str">
        <f ca="1">IFERROR(__xludf.DUMMYFUNCTION("""COMPUTED_VALUE"""),"5. Inclusión")</f>
        <v>5. Inclusión</v>
      </c>
      <c r="D346" s="79" t="str">
        <f ca="1">IFERROR(__xludf.DUMMYFUNCTION("""COMPUTED_VALUE"""),"Guadalajara sin Barreras")</f>
        <v>Guadalajara sin Barreras</v>
      </c>
      <c r="E346" s="79" t="str">
        <f ca="1">IFERROR(__xludf.DUMMYFUNCTION("""COMPUTED_VALUE"""),"Cultura para la Inclusión")</f>
        <v>Cultura para la Inclusión</v>
      </c>
      <c r="F346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46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46" s="79" t="str">
        <f ca="1">IFERROR(__xludf.DUMMYFUNCTION("""COMPUTED_VALUE"""),"NAS Abril")</f>
        <v>NAS Abril</v>
      </c>
      <c r="I346" s="79" t="str">
        <f ca="1">IFERROR(__xludf.DUMMYFUNCTION("""COMPUTED_VALUE"""),"Abril")</f>
        <v>Abril</v>
      </c>
      <c r="J346" s="79" t="str">
        <f ca="1">IFERROR(__xludf.DUMMYFUNCTION("""COMPUTED_VALUE"""),"NAS")</f>
        <v>NAS</v>
      </c>
      <c r="K346" s="80">
        <f ca="1">IFERROR(__xludf.DUMMYFUNCTION("""COMPUTED_VALUE"""),0)</f>
        <v>0</v>
      </c>
      <c r="L346" s="79" t="str">
        <f ca="1">IFERROR(__xludf.DUMMYFUNCTION("""COMPUTED_VALUE"""),"TRIMESTRE 2")</f>
        <v>TRIMESTRE 2</v>
      </c>
      <c r="M346" s="79" t="str">
        <f ca="1">IFERROR(__xludf.DUMMYFUNCTION("""COMPUTED_VALUE"""),"NIÑAS")</f>
        <v>NIÑAS</v>
      </c>
    </row>
    <row r="347" spans="1:13">
      <c r="A347" s="79" t="str">
        <f ca="1">IFERROR(__xludf.DUMMYFUNCTION("""COMPUTED_VALUE"""),"6.1.3.2")</f>
        <v>6.1.3.2</v>
      </c>
      <c r="B347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7" s="79" t="str">
        <f ca="1">IFERROR(__xludf.DUMMYFUNCTION("""COMPUTED_VALUE"""),"5. Inclusión")</f>
        <v>5. Inclusión</v>
      </c>
      <c r="D347" s="79" t="str">
        <f ca="1">IFERROR(__xludf.DUMMYFUNCTION("""COMPUTED_VALUE"""),"Guadalajara sin Barreras")</f>
        <v>Guadalajara sin Barreras</v>
      </c>
      <c r="E347" s="79" t="str">
        <f ca="1">IFERROR(__xludf.DUMMYFUNCTION("""COMPUTED_VALUE"""),"Cultura para la Inclusión")</f>
        <v>Cultura para la Inclusión</v>
      </c>
      <c r="F347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47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47" s="79" t="str">
        <f ca="1">IFERROR(__xludf.DUMMYFUNCTION("""COMPUTED_VALUE"""),"NOS Abril")</f>
        <v>NOS Abril</v>
      </c>
      <c r="I347" s="79" t="str">
        <f ca="1">IFERROR(__xludf.DUMMYFUNCTION("""COMPUTED_VALUE"""),"Abril")</f>
        <v>Abril</v>
      </c>
      <c r="J347" s="79" t="str">
        <f ca="1">IFERROR(__xludf.DUMMYFUNCTION("""COMPUTED_VALUE"""),"NOS")</f>
        <v>NOS</v>
      </c>
      <c r="K347" s="80">
        <f ca="1">IFERROR(__xludf.DUMMYFUNCTION("""COMPUTED_VALUE"""),0)</f>
        <v>0</v>
      </c>
      <c r="L347" s="79" t="str">
        <f ca="1">IFERROR(__xludf.DUMMYFUNCTION("""COMPUTED_VALUE"""),"TRIMESTRE 2")</f>
        <v>TRIMESTRE 2</v>
      </c>
      <c r="M347" s="79" t="str">
        <f ca="1">IFERROR(__xludf.DUMMYFUNCTION("""COMPUTED_VALUE"""),"NIÑOS")</f>
        <v>NIÑOS</v>
      </c>
    </row>
    <row r="348" spans="1:13">
      <c r="A348" s="79" t="str">
        <f ca="1">IFERROR(__xludf.DUMMYFUNCTION("""COMPUTED_VALUE"""),"6.1.3.2")</f>
        <v>6.1.3.2</v>
      </c>
      <c r="B348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8" s="79" t="str">
        <f ca="1">IFERROR(__xludf.DUMMYFUNCTION("""COMPUTED_VALUE"""),"5. Inclusión")</f>
        <v>5. Inclusión</v>
      </c>
      <c r="D348" s="79" t="str">
        <f ca="1">IFERROR(__xludf.DUMMYFUNCTION("""COMPUTED_VALUE"""),"Guadalajara sin Barreras")</f>
        <v>Guadalajara sin Barreras</v>
      </c>
      <c r="E348" s="79" t="str">
        <f ca="1">IFERROR(__xludf.DUMMYFUNCTION("""COMPUTED_VALUE"""),"Cultura para la Inclusión")</f>
        <v>Cultura para la Inclusión</v>
      </c>
      <c r="F348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48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48" s="79" t="str">
        <f ca="1">IFERROR(__xludf.DUMMYFUNCTION("""COMPUTED_VALUE"""),"AM ABRIL")</f>
        <v>AM ABRIL</v>
      </c>
      <c r="I348" s="79" t="str">
        <f ca="1">IFERROR(__xludf.DUMMYFUNCTION("""COMPUTED_VALUE"""),"Abril")</f>
        <v>Abril</v>
      </c>
      <c r="J348" s="79" t="str">
        <f ca="1">IFERROR(__xludf.DUMMYFUNCTION("""COMPUTED_VALUE"""),"AM")</f>
        <v>AM</v>
      </c>
      <c r="K348" s="80">
        <f ca="1">IFERROR(__xludf.DUMMYFUNCTION("""COMPUTED_VALUE"""),0)</f>
        <v>0</v>
      </c>
      <c r="L348" s="79" t="str">
        <f ca="1">IFERROR(__xludf.DUMMYFUNCTION("""COMPUTED_VALUE"""),"TRIMESTRE 2")</f>
        <v>TRIMESTRE 2</v>
      </c>
      <c r="M348" s="79" t="str">
        <f ca="1">IFERROR(__xludf.DUMMYFUNCTION("""COMPUTED_VALUE"""),"ADOLESCENTES MUJERES")</f>
        <v>ADOLESCENTES MUJERES</v>
      </c>
    </row>
    <row r="349" spans="1:13">
      <c r="A349" s="79" t="str">
        <f ca="1">IFERROR(__xludf.DUMMYFUNCTION("""COMPUTED_VALUE"""),"6.1.3.2")</f>
        <v>6.1.3.2</v>
      </c>
      <c r="B349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49" s="79" t="str">
        <f ca="1">IFERROR(__xludf.DUMMYFUNCTION("""COMPUTED_VALUE"""),"5. Inclusión")</f>
        <v>5. Inclusión</v>
      </c>
      <c r="D349" s="79" t="str">
        <f ca="1">IFERROR(__xludf.DUMMYFUNCTION("""COMPUTED_VALUE"""),"Guadalajara sin Barreras")</f>
        <v>Guadalajara sin Barreras</v>
      </c>
      <c r="E349" s="79" t="str">
        <f ca="1">IFERROR(__xludf.DUMMYFUNCTION("""COMPUTED_VALUE"""),"Cultura para la Inclusión")</f>
        <v>Cultura para la Inclusión</v>
      </c>
      <c r="F349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49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49" s="79" t="str">
        <f ca="1">IFERROR(__xludf.DUMMYFUNCTION("""COMPUTED_VALUE"""),"AH ABRIL")</f>
        <v>AH ABRIL</v>
      </c>
      <c r="I349" s="79" t="str">
        <f ca="1">IFERROR(__xludf.DUMMYFUNCTION("""COMPUTED_VALUE"""),"Abril")</f>
        <v>Abril</v>
      </c>
      <c r="J349" s="79" t="str">
        <f ca="1">IFERROR(__xludf.DUMMYFUNCTION("""COMPUTED_VALUE"""),"AH")</f>
        <v>AH</v>
      </c>
      <c r="K349" s="80">
        <f ca="1">IFERROR(__xludf.DUMMYFUNCTION("""COMPUTED_VALUE"""),0)</f>
        <v>0</v>
      </c>
      <c r="L349" s="79" t="str">
        <f ca="1">IFERROR(__xludf.DUMMYFUNCTION("""COMPUTED_VALUE"""),"TRIMESTRE 2")</f>
        <v>TRIMESTRE 2</v>
      </c>
      <c r="M349" s="79" t="str">
        <f ca="1">IFERROR(__xludf.DUMMYFUNCTION("""COMPUTED_VALUE"""),"ADOLESCENTES HOMBRES")</f>
        <v>ADOLESCENTES HOMBRES</v>
      </c>
    </row>
    <row r="350" spans="1:13">
      <c r="A350" s="79" t="str">
        <f ca="1">IFERROR(__xludf.DUMMYFUNCTION("""COMPUTED_VALUE"""),"6.1.3.2")</f>
        <v>6.1.3.2</v>
      </c>
      <c r="B350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0" s="79" t="str">
        <f ca="1">IFERROR(__xludf.DUMMYFUNCTION("""COMPUTED_VALUE"""),"5. Inclusión")</f>
        <v>5. Inclusión</v>
      </c>
      <c r="D350" s="79" t="str">
        <f ca="1">IFERROR(__xludf.DUMMYFUNCTION("""COMPUTED_VALUE"""),"Guadalajara sin Barreras")</f>
        <v>Guadalajara sin Barreras</v>
      </c>
      <c r="E350" s="79" t="str">
        <f ca="1">IFERROR(__xludf.DUMMYFUNCTION("""COMPUTED_VALUE"""),"Cultura para la Inclusión")</f>
        <v>Cultura para la Inclusión</v>
      </c>
      <c r="F350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50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50" s="79" t="str">
        <f ca="1">IFERROR(__xludf.DUMMYFUNCTION("""COMPUTED_VALUE"""),"MUJ Abril")</f>
        <v>MUJ Abril</v>
      </c>
      <c r="I350" s="79" t="str">
        <f ca="1">IFERROR(__xludf.DUMMYFUNCTION("""COMPUTED_VALUE"""),"Abril")</f>
        <v>Abril</v>
      </c>
      <c r="J350" s="79" t="str">
        <f ca="1">IFERROR(__xludf.DUMMYFUNCTION("""COMPUTED_VALUE"""),"MUJ")</f>
        <v>MUJ</v>
      </c>
      <c r="K350" s="80">
        <f ca="1">IFERROR(__xludf.DUMMYFUNCTION("""COMPUTED_VALUE"""),0)</f>
        <v>0</v>
      </c>
      <c r="L350" s="79" t="str">
        <f ca="1">IFERROR(__xludf.DUMMYFUNCTION("""COMPUTED_VALUE"""),"TRIMESTRE 2")</f>
        <v>TRIMESTRE 2</v>
      </c>
      <c r="M350" s="79" t="str">
        <f ca="1">IFERROR(__xludf.DUMMYFUNCTION("""COMPUTED_VALUE"""),"MUJERES ADULTAS")</f>
        <v>MUJERES ADULTAS</v>
      </c>
    </row>
    <row r="351" spans="1:13">
      <c r="A351" s="79" t="str">
        <f ca="1">IFERROR(__xludf.DUMMYFUNCTION("""COMPUTED_VALUE"""),"6.1.3.2")</f>
        <v>6.1.3.2</v>
      </c>
      <c r="B351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1" s="79" t="str">
        <f ca="1">IFERROR(__xludf.DUMMYFUNCTION("""COMPUTED_VALUE"""),"5. Inclusión")</f>
        <v>5. Inclusión</v>
      </c>
      <c r="D351" s="79" t="str">
        <f ca="1">IFERROR(__xludf.DUMMYFUNCTION("""COMPUTED_VALUE"""),"Guadalajara sin Barreras")</f>
        <v>Guadalajara sin Barreras</v>
      </c>
      <c r="E351" s="79" t="str">
        <f ca="1">IFERROR(__xludf.DUMMYFUNCTION("""COMPUTED_VALUE"""),"Cultura para la Inclusión")</f>
        <v>Cultura para la Inclusión</v>
      </c>
      <c r="F351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51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51" s="79" t="str">
        <f ca="1">IFERROR(__xludf.DUMMYFUNCTION("""COMPUTED_VALUE"""),"HOM Abril")</f>
        <v>HOM Abril</v>
      </c>
      <c r="I351" s="79" t="str">
        <f ca="1">IFERROR(__xludf.DUMMYFUNCTION("""COMPUTED_VALUE"""),"Abril")</f>
        <v>Abril</v>
      </c>
      <c r="J351" s="79" t="str">
        <f ca="1">IFERROR(__xludf.DUMMYFUNCTION("""COMPUTED_VALUE"""),"HOM")</f>
        <v>HOM</v>
      </c>
      <c r="K351" s="80">
        <f ca="1">IFERROR(__xludf.DUMMYFUNCTION("""COMPUTED_VALUE"""),0)</f>
        <v>0</v>
      </c>
      <c r="L351" s="79" t="str">
        <f ca="1">IFERROR(__xludf.DUMMYFUNCTION("""COMPUTED_VALUE"""),"TRIMESTRE 2")</f>
        <v>TRIMESTRE 2</v>
      </c>
      <c r="M351" s="79" t="str">
        <f ca="1">IFERROR(__xludf.DUMMYFUNCTION("""COMPUTED_VALUE"""),"HOMBRES ADULTOS")</f>
        <v>HOMBRES ADULTOS</v>
      </c>
    </row>
    <row r="352" spans="1:13">
      <c r="A352" s="79" t="str">
        <f ca="1">IFERROR(__xludf.DUMMYFUNCTION("""COMPUTED_VALUE"""),"6.1.3.2")</f>
        <v>6.1.3.2</v>
      </c>
      <c r="B352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2" s="79" t="str">
        <f ca="1">IFERROR(__xludf.DUMMYFUNCTION("""COMPUTED_VALUE"""),"5. Inclusión")</f>
        <v>5. Inclusión</v>
      </c>
      <c r="D352" s="79" t="str">
        <f ca="1">IFERROR(__xludf.DUMMYFUNCTION("""COMPUTED_VALUE"""),"Guadalajara sin Barreras")</f>
        <v>Guadalajara sin Barreras</v>
      </c>
      <c r="E352" s="79" t="str">
        <f ca="1">IFERROR(__xludf.DUMMYFUNCTION("""COMPUTED_VALUE"""),"Cultura para la Inclusión")</f>
        <v>Cultura para la Inclusión</v>
      </c>
      <c r="F352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52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52" s="79" t="str">
        <f ca="1">IFERROR(__xludf.DUMMYFUNCTION("""COMPUTED_VALUE"""),"AMM Abril")</f>
        <v>AMM Abril</v>
      </c>
      <c r="I352" s="79" t="str">
        <f ca="1">IFERROR(__xludf.DUMMYFUNCTION("""COMPUTED_VALUE"""),"Abril")</f>
        <v>Abril</v>
      </c>
      <c r="J352" s="79" t="str">
        <f ca="1">IFERROR(__xludf.DUMMYFUNCTION("""COMPUTED_VALUE"""),"AMM")</f>
        <v>AMM</v>
      </c>
      <c r="K352" s="80">
        <f ca="1">IFERROR(__xludf.DUMMYFUNCTION("""COMPUTED_VALUE"""),0)</f>
        <v>0</v>
      </c>
      <c r="L352" s="79" t="str">
        <f ca="1">IFERROR(__xludf.DUMMYFUNCTION("""COMPUTED_VALUE"""),"TRIMESTRE 2")</f>
        <v>TRIMESTRE 2</v>
      </c>
      <c r="M352" s="79" t="str">
        <f ca="1">IFERROR(__xludf.DUMMYFUNCTION("""COMPUTED_VALUE"""),"ADULTA MAYOR MUJER")</f>
        <v>ADULTA MAYOR MUJER</v>
      </c>
    </row>
    <row r="353" spans="1:26">
      <c r="A353" s="79" t="str">
        <f ca="1">IFERROR(__xludf.DUMMYFUNCTION("""COMPUTED_VALUE"""),"6.1.3.2")</f>
        <v>6.1.3.2</v>
      </c>
      <c r="B353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3" s="79" t="str">
        <f ca="1">IFERROR(__xludf.DUMMYFUNCTION("""COMPUTED_VALUE"""),"5. Inclusión")</f>
        <v>5. Inclusión</v>
      </c>
      <c r="D353" s="79" t="str">
        <f ca="1">IFERROR(__xludf.DUMMYFUNCTION("""COMPUTED_VALUE"""),"Guadalajara sin Barreras")</f>
        <v>Guadalajara sin Barreras</v>
      </c>
      <c r="E353" s="79" t="str">
        <f ca="1">IFERROR(__xludf.DUMMYFUNCTION("""COMPUTED_VALUE"""),"Cultura para la Inclusión")</f>
        <v>Cultura para la Inclusión</v>
      </c>
      <c r="F353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53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53" s="79" t="str">
        <f ca="1">IFERROR(__xludf.DUMMYFUNCTION("""COMPUTED_VALUE"""),"AMH Abril")</f>
        <v>AMH Abril</v>
      </c>
      <c r="I353" s="79" t="str">
        <f ca="1">IFERROR(__xludf.DUMMYFUNCTION("""COMPUTED_VALUE"""),"Abril")</f>
        <v>Abril</v>
      </c>
      <c r="J353" s="79" t="str">
        <f ca="1">IFERROR(__xludf.DUMMYFUNCTION("""COMPUTED_VALUE"""),"AMH")</f>
        <v>AMH</v>
      </c>
      <c r="K353" s="80">
        <f ca="1">IFERROR(__xludf.DUMMYFUNCTION("""COMPUTED_VALUE"""),0)</f>
        <v>0</v>
      </c>
      <c r="L353" s="79" t="str">
        <f ca="1">IFERROR(__xludf.DUMMYFUNCTION("""COMPUTED_VALUE"""),"TRIMESTRE 2")</f>
        <v>TRIMESTRE 2</v>
      </c>
      <c r="M353" s="79" t="str">
        <f ca="1">IFERROR(__xludf.DUMMYFUNCTION("""COMPUTED_VALUE"""),"ADULTO MAYOR HOMBRE")</f>
        <v>ADULTO MAYOR HOMBRE</v>
      </c>
    </row>
    <row r="354" spans="1:26">
      <c r="A354" s="81" t="str">
        <f ca="1">IFERROR(__xludf.DUMMYFUNCTION("""COMPUTED_VALUE"""),"6.1.3.1")</f>
        <v>6.1.3.1</v>
      </c>
      <c r="B354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4" s="81" t="str">
        <f ca="1">IFERROR(__xludf.DUMMYFUNCTION("""COMPUTED_VALUE"""),"5. Inclusión")</f>
        <v>5. Inclusión</v>
      </c>
      <c r="D354" s="81" t="str">
        <f ca="1">IFERROR(__xludf.DUMMYFUNCTION("""COMPUTED_VALUE"""),"Guadalajara sin Barreras")</f>
        <v>Guadalajara sin Barreras</v>
      </c>
      <c r="E354" s="81" t="str">
        <f ca="1">IFERROR(__xludf.DUMMYFUNCTION("""COMPUTED_VALUE"""),"Cultura para la Inclusión")</f>
        <v>Cultura para la Inclusión</v>
      </c>
      <c r="F354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54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54" s="81" t="str">
        <f ca="1">IFERROR(__xludf.DUMMYFUNCTION("""COMPUTED_VALUE"""),"NAS Mayo")</f>
        <v>NAS Mayo</v>
      </c>
      <c r="I354" s="81" t="str">
        <f ca="1">IFERROR(__xludf.DUMMYFUNCTION("""COMPUTED_VALUE"""),"Mayo")</f>
        <v>Mayo</v>
      </c>
      <c r="J354" s="81" t="str">
        <f ca="1">IFERROR(__xludf.DUMMYFUNCTION("""COMPUTED_VALUE"""),"NAS")</f>
        <v>NAS</v>
      </c>
      <c r="K354" s="80">
        <f ca="1">IFERROR(__xludf.DUMMYFUNCTION("""COMPUTED_VALUE"""),0)</f>
        <v>0</v>
      </c>
      <c r="L354" s="81" t="str">
        <f ca="1">IFERROR(__xludf.DUMMYFUNCTION("""COMPUTED_VALUE"""),"TRIMESTRE 2")</f>
        <v>TRIMESTRE 2</v>
      </c>
      <c r="M354" s="81" t="str">
        <f ca="1">IFERROR(__xludf.DUMMYFUNCTION("""COMPUTED_VALUE"""),"NIÑAS")</f>
        <v>NIÑAS</v>
      </c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</row>
    <row r="355" spans="1:26">
      <c r="A355" s="81" t="str">
        <f ca="1">IFERROR(__xludf.DUMMYFUNCTION("""COMPUTED_VALUE"""),"6.1.3.1")</f>
        <v>6.1.3.1</v>
      </c>
      <c r="B355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5" s="81" t="str">
        <f ca="1">IFERROR(__xludf.DUMMYFUNCTION("""COMPUTED_VALUE"""),"5. Inclusión")</f>
        <v>5. Inclusión</v>
      </c>
      <c r="D355" s="81" t="str">
        <f ca="1">IFERROR(__xludf.DUMMYFUNCTION("""COMPUTED_VALUE"""),"Guadalajara sin Barreras")</f>
        <v>Guadalajara sin Barreras</v>
      </c>
      <c r="E355" s="81" t="str">
        <f ca="1">IFERROR(__xludf.DUMMYFUNCTION("""COMPUTED_VALUE"""),"Cultura para la Inclusión")</f>
        <v>Cultura para la Inclusión</v>
      </c>
      <c r="F355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55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55" s="81" t="str">
        <f ca="1">IFERROR(__xludf.DUMMYFUNCTION("""COMPUTED_VALUE"""),"NOS Mayo")</f>
        <v>NOS Mayo</v>
      </c>
      <c r="I355" s="81" t="str">
        <f ca="1">IFERROR(__xludf.DUMMYFUNCTION("""COMPUTED_VALUE"""),"Mayo")</f>
        <v>Mayo</v>
      </c>
      <c r="J355" s="81" t="str">
        <f ca="1">IFERROR(__xludf.DUMMYFUNCTION("""COMPUTED_VALUE"""),"NOS")</f>
        <v>NOS</v>
      </c>
      <c r="K355" s="80">
        <f ca="1">IFERROR(__xludf.DUMMYFUNCTION("""COMPUTED_VALUE"""),0)</f>
        <v>0</v>
      </c>
      <c r="L355" s="81" t="str">
        <f ca="1">IFERROR(__xludf.DUMMYFUNCTION("""COMPUTED_VALUE"""),"TRIMESTRE 2")</f>
        <v>TRIMESTRE 2</v>
      </c>
      <c r="M355" s="81" t="str">
        <f ca="1">IFERROR(__xludf.DUMMYFUNCTION("""COMPUTED_VALUE"""),"NIÑOS")</f>
        <v>NIÑOS</v>
      </c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</row>
    <row r="356" spans="1:26">
      <c r="A356" s="81" t="str">
        <f ca="1">IFERROR(__xludf.DUMMYFUNCTION("""COMPUTED_VALUE"""),"6.1.3.1")</f>
        <v>6.1.3.1</v>
      </c>
      <c r="B356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6" s="81" t="str">
        <f ca="1">IFERROR(__xludf.DUMMYFUNCTION("""COMPUTED_VALUE"""),"5. Inclusión")</f>
        <v>5. Inclusión</v>
      </c>
      <c r="D356" s="81" t="str">
        <f ca="1">IFERROR(__xludf.DUMMYFUNCTION("""COMPUTED_VALUE"""),"Guadalajara sin Barreras")</f>
        <v>Guadalajara sin Barreras</v>
      </c>
      <c r="E356" s="81" t="str">
        <f ca="1">IFERROR(__xludf.DUMMYFUNCTION("""COMPUTED_VALUE"""),"Cultura para la Inclusión")</f>
        <v>Cultura para la Inclusión</v>
      </c>
      <c r="F356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56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56" s="81" t="str">
        <f ca="1">IFERROR(__xludf.DUMMYFUNCTION("""COMPUTED_VALUE"""),"AM MAYO")</f>
        <v>AM MAYO</v>
      </c>
      <c r="I356" s="81" t="str">
        <f ca="1">IFERROR(__xludf.DUMMYFUNCTION("""COMPUTED_VALUE"""),"Mayo")</f>
        <v>Mayo</v>
      </c>
      <c r="J356" s="81" t="str">
        <f ca="1">IFERROR(__xludf.DUMMYFUNCTION("""COMPUTED_VALUE"""),"AM")</f>
        <v>AM</v>
      </c>
      <c r="K356" s="80">
        <f ca="1">IFERROR(__xludf.DUMMYFUNCTION("""COMPUTED_VALUE"""),0)</f>
        <v>0</v>
      </c>
      <c r="L356" s="81" t="str">
        <f ca="1">IFERROR(__xludf.DUMMYFUNCTION("""COMPUTED_VALUE"""),"TRIMESTRE 2")</f>
        <v>TRIMESTRE 2</v>
      </c>
      <c r="M356" s="81" t="str">
        <f ca="1">IFERROR(__xludf.DUMMYFUNCTION("""COMPUTED_VALUE"""),"ADOLESCENTES MUJERES")</f>
        <v>ADOLESCENTES MUJERES</v>
      </c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</row>
    <row r="357" spans="1:26">
      <c r="A357" s="81" t="str">
        <f ca="1">IFERROR(__xludf.DUMMYFUNCTION("""COMPUTED_VALUE"""),"6.1.3.1")</f>
        <v>6.1.3.1</v>
      </c>
      <c r="B357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7" s="81" t="str">
        <f ca="1">IFERROR(__xludf.DUMMYFUNCTION("""COMPUTED_VALUE"""),"5. Inclusión")</f>
        <v>5. Inclusión</v>
      </c>
      <c r="D357" s="81" t="str">
        <f ca="1">IFERROR(__xludf.DUMMYFUNCTION("""COMPUTED_VALUE"""),"Guadalajara sin Barreras")</f>
        <v>Guadalajara sin Barreras</v>
      </c>
      <c r="E357" s="81" t="str">
        <f ca="1">IFERROR(__xludf.DUMMYFUNCTION("""COMPUTED_VALUE"""),"Cultura para la Inclusión")</f>
        <v>Cultura para la Inclusión</v>
      </c>
      <c r="F357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57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57" s="81" t="str">
        <f ca="1">IFERROR(__xludf.DUMMYFUNCTION("""COMPUTED_VALUE"""),"AH MAYO")</f>
        <v>AH MAYO</v>
      </c>
      <c r="I357" s="81" t="str">
        <f ca="1">IFERROR(__xludf.DUMMYFUNCTION("""COMPUTED_VALUE"""),"Mayo")</f>
        <v>Mayo</v>
      </c>
      <c r="J357" s="81" t="str">
        <f ca="1">IFERROR(__xludf.DUMMYFUNCTION("""COMPUTED_VALUE"""),"AH")</f>
        <v>AH</v>
      </c>
      <c r="K357" s="80">
        <f ca="1">IFERROR(__xludf.DUMMYFUNCTION("""COMPUTED_VALUE"""),0)</f>
        <v>0</v>
      </c>
      <c r="L357" s="81" t="str">
        <f ca="1">IFERROR(__xludf.DUMMYFUNCTION("""COMPUTED_VALUE"""),"TRIMESTRE 2")</f>
        <v>TRIMESTRE 2</v>
      </c>
      <c r="M357" s="81" t="str">
        <f ca="1">IFERROR(__xludf.DUMMYFUNCTION("""COMPUTED_VALUE"""),"ADOLESCENTES HOMBRES")</f>
        <v>ADOLESCENTES HOMBRES</v>
      </c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</row>
    <row r="358" spans="1:26">
      <c r="A358" s="81" t="str">
        <f ca="1">IFERROR(__xludf.DUMMYFUNCTION("""COMPUTED_VALUE"""),"6.1.3.1")</f>
        <v>6.1.3.1</v>
      </c>
      <c r="B358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8" s="81" t="str">
        <f ca="1">IFERROR(__xludf.DUMMYFUNCTION("""COMPUTED_VALUE"""),"5. Inclusión")</f>
        <v>5. Inclusión</v>
      </c>
      <c r="D358" s="81" t="str">
        <f ca="1">IFERROR(__xludf.DUMMYFUNCTION("""COMPUTED_VALUE"""),"Guadalajara sin Barreras")</f>
        <v>Guadalajara sin Barreras</v>
      </c>
      <c r="E358" s="81" t="str">
        <f ca="1">IFERROR(__xludf.DUMMYFUNCTION("""COMPUTED_VALUE"""),"Cultura para la Inclusión")</f>
        <v>Cultura para la Inclusión</v>
      </c>
      <c r="F358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58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58" s="81" t="str">
        <f ca="1">IFERROR(__xludf.DUMMYFUNCTION("""COMPUTED_VALUE"""),"MUJ Mayo")</f>
        <v>MUJ Mayo</v>
      </c>
      <c r="I358" s="81" t="str">
        <f ca="1">IFERROR(__xludf.DUMMYFUNCTION("""COMPUTED_VALUE"""),"Mayo")</f>
        <v>Mayo</v>
      </c>
      <c r="J358" s="81" t="str">
        <f ca="1">IFERROR(__xludf.DUMMYFUNCTION("""COMPUTED_VALUE"""),"MUJ")</f>
        <v>MUJ</v>
      </c>
      <c r="K358" s="80">
        <f ca="1">IFERROR(__xludf.DUMMYFUNCTION("""COMPUTED_VALUE"""),28)</f>
        <v>28</v>
      </c>
      <c r="L358" s="81" t="str">
        <f ca="1">IFERROR(__xludf.DUMMYFUNCTION("""COMPUTED_VALUE"""),"TRIMESTRE 2")</f>
        <v>TRIMESTRE 2</v>
      </c>
      <c r="M358" s="81" t="str">
        <f ca="1">IFERROR(__xludf.DUMMYFUNCTION("""COMPUTED_VALUE"""),"MUJERES ADULTAS")</f>
        <v>MUJERES ADULTAS</v>
      </c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</row>
    <row r="359" spans="1:26">
      <c r="A359" s="81" t="str">
        <f ca="1">IFERROR(__xludf.DUMMYFUNCTION("""COMPUTED_VALUE"""),"6.1.3.1")</f>
        <v>6.1.3.1</v>
      </c>
      <c r="B359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59" s="81" t="str">
        <f ca="1">IFERROR(__xludf.DUMMYFUNCTION("""COMPUTED_VALUE"""),"5. Inclusión")</f>
        <v>5. Inclusión</v>
      </c>
      <c r="D359" s="81" t="str">
        <f ca="1">IFERROR(__xludf.DUMMYFUNCTION("""COMPUTED_VALUE"""),"Guadalajara sin Barreras")</f>
        <v>Guadalajara sin Barreras</v>
      </c>
      <c r="E359" s="81" t="str">
        <f ca="1">IFERROR(__xludf.DUMMYFUNCTION("""COMPUTED_VALUE"""),"Cultura para la Inclusión")</f>
        <v>Cultura para la Inclusión</v>
      </c>
      <c r="F359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59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59" s="81" t="str">
        <f ca="1">IFERROR(__xludf.DUMMYFUNCTION("""COMPUTED_VALUE"""),"HOM Mayo")</f>
        <v>HOM Mayo</v>
      </c>
      <c r="I359" s="81" t="str">
        <f ca="1">IFERROR(__xludf.DUMMYFUNCTION("""COMPUTED_VALUE"""),"Mayo")</f>
        <v>Mayo</v>
      </c>
      <c r="J359" s="81" t="str">
        <f ca="1">IFERROR(__xludf.DUMMYFUNCTION("""COMPUTED_VALUE"""),"HOM")</f>
        <v>HOM</v>
      </c>
      <c r="K359" s="80">
        <f ca="1">IFERROR(__xludf.DUMMYFUNCTION("""COMPUTED_VALUE"""),13)</f>
        <v>13</v>
      </c>
      <c r="L359" s="81" t="str">
        <f ca="1">IFERROR(__xludf.DUMMYFUNCTION("""COMPUTED_VALUE"""),"TRIMESTRE 2")</f>
        <v>TRIMESTRE 2</v>
      </c>
      <c r="M359" s="81" t="str">
        <f ca="1">IFERROR(__xludf.DUMMYFUNCTION("""COMPUTED_VALUE"""),"HOMBRES ADULTOS")</f>
        <v>HOMBRES ADULTOS</v>
      </c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</row>
    <row r="360" spans="1:26">
      <c r="A360" s="81" t="str">
        <f ca="1">IFERROR(__xludf.DUMMYFUNCTION("""COMPUTED_VALUE"""),"6.1.3.1")</f>
        <v>6.1.3.1</v>
      </c>
      <c r="B360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0" s="81" t="str">
        <f ca="1">IFERROR(__xludf.DUMMYFUNCTION("""COMPUTED_VALUE"""),"5. Inclusión")</f>
        <v>5. Inclusión</v>
      </c>
      <c r="D360" s="81" t="str">
        <f ca="1">IFERROR(__xludf.DUMMYFUNCTION("""COMPUTED_VALUE"""),"Guadalajara sin Barreras")</f>
        <v>Guadalajara sin Barreras</v>
      </c>
      <c r="E360" s="81" t="str">
        <f ca="1">IFERROR(__xludf.DUMMYFUNCTION("""COMPUTED_VALUE"""),"Cultura para la Inclusión")</f>
        <v>Cultura para la Inclusión</v>
      </c>
      <c r="F360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60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60" s="81" t="str">
        <f ca="1">IFERROR(__xludf.DUMMYFUNCTION("""COMPUTED_VALUE"""),"AMM Mayo")</f>
        <v>AMM Mayo</v>
      </c>
      <c r="I360" s="81" t="str">
        <f ca="1">IFERROR(__xludf.DUMMYFUNCTION("""COMPUTED_VALUE"""),"Mayo")</f>
        <v>Mayo</v>
      </c>
      <c r="J360" s="81" t="str">
        <f ca="1">IFERROR(__xludf.DUMMYFUNCTION("""COMPUTED_VALUE"""),"AMM")</f>
        <v>AMM</v>
      </c>
      <c r="K360" s="80">
        <f ca="1">IFERROR(__xludf.DUMMYFUNCTION("""COMPUTED_VALUE"""),0)</f>
        <v>0</v>
      </c>
      <c r="L360" s="81" t="str">
        <f ca="1">IFERROR(__xludf.DUMMYFUNCTION("""COMPUTED_VALUE"""),"TRIMESTRE 2")</f>
        <v>TRIMESTRE 2</v>
      </c>
      <c r="M360" s="81" t="str">
        <f ca="1">IFERROR(__xludf.DUMMYFUNCTION("""COMPUTED_VALUE"""),"ADULTA MAYOR MUJER")</f>
        <v>ADULTA MAYOR MUJER</v>
      </c>
      <c r="N360" s="81"/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</row>
    <row r="361" spans="1:26">
      <c r="A361" s="81" t="str">
        <f ca="1">IFERROR(__xludf.DUMMYFUNCTION("""COMPUTED_VALUE"""),"6.1.3.1")</f>
        <v>6.1.3.1</v>
      </c>
      <c r="B361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1" s="81" t="str">
        <f ca="1">IFERROR(__xludf.DUMMYFUNCTION("""COMPUTED_VALUE"""),"5. Inclusión")</f>
        <v>5. Inclusión</v>
      </c>
      <c r="D361" s="81" t="str">
        <f ca="1">IFERROR(__xludf.DUMMYFUNCTION("""COMPUTED_VALUE"""),"Guadalajara sin Barreras")</f>
        <v>Guadalajara sin Barreras</v>
      </c>
      <c r="E361" s="81" t="str">
        <f ca="1">IFERROR(__xludf.DUMMYFUNCTION("""COMPUTED_VALUE"""),"Cultura para la Inclusión")</f>
        <v>Cultura para la Inclusión</v>
      </c>
      <c r="F361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61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61" s="81" t="str">
        <f ca="1">IFERROR(__xludf.DUMMYFUNCTION("""COMPUTED_VALUE"""),"AMH Mayo")</f>
        <v>AMH Mayo</v>
      </c>
      <c r="I361" s="81" t="str">
        <f ca="1">IFERROR(__xludf.DUMMYFUNCTION("""COMPUTED_VALUE"""),"Mayo")</f>
        <v>Mayo</v>
      </c>
      <c r="J361" s="81" t="str">
        <f ca="1">IFERROR(__xludf.DUMMYFUNCTION("""COMPUTED_VALUE"""),"AMH")</f>
        <v>AMH</v>
      </c>
      <c r="K361" s="80">
        <f ca="1">IFERROR(__xludf.DUMMYFUNCTION("""COMPUTED_VALUE"""),0)</f>
        <v>0</v>
      </c>
      <c r="L361" s="81" t="str">
        <f ca="1">IFERROR(__xludf.DUMMYFUNCTION("""COMPUTED_VALUE"""),"TRIMESTRE 2")</f>
        <v>TRIMESTRE 2</v>
      </c>
      <c r="M361" s="81" t="str">
        <f ca="1">IFERROR(__xludf.DUMMYFUNCTION("""COMPUTED_VALUE"""),"ADULTO MAYOR HOMBRE")</f>
        <v>ADULTO MAYOR HOMBRE</v>
      </c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</row>
    <row r="362" spans="1:26">
      <c r="A362" s="79" t="str">
        <f ca="1">IFERROR(__xludf.DUMMYFUNCTION("""COMPUTED_VALUE"""),"6.1.3.2")</f>
        <v>6.1.3.2</v>
      </c>
      <c r="B362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2" s="79" t="str">
        <f ca="1">IFERROR(__xludf.DUMMYFUNCTION("""COMPUTED_VALUE"""),"5. Inclusión")</f>
        <v>5. Inclusión</v>
      </c>
      <c r="D362" s="79" t="str">
        <f ca="1">IFERROR(__xludf.DUMMYFUNCTION("""COMPUTED_VALUE"""),"Guadalajara sin Barreras")</f>
        <v>Guadalajara sin Barreras</v>
      </c>
      <c r="E362" s="79" t="str">
        <f ca="1">IFERROR(__xludf.DUMMYFUNCTION("""COMPUTED_VALUE"""),"Cultura para la Inclusión")</f>
        <v>Cultura para la Inclusión</v>
      </c>
      <c r="F362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2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2" s="79" t="str">
        <f ca="1">IFERROR(__xludf.DUMMYFUNCTION("""COMPUTED_VALUE"""),"NAS Mayo")</f>
        <v>NAS Mayo</v>
      </c>
      <c r="I362" s="79" t="str">
        <f ca="1">IFERROR(__xludf.DUMMYFUNCTION("""COMPUTED_VALUE"""),"Mayo")</f>
        <v>Mayo</v>
      </c>
      <c r="J362" s="79" t="str">
        <f ca="1">IFERROR(__xludf.DUMMYFUNCTION("""COMPUTED_VALUE"""),"NAS")</f>
        <v>NAS</v>
      </c>
      <c r="K362" s="80">
        <f ca="1">IFERROR(__xludf.DUMMYFUNCTION("""COMPUTED_VALUE"""),0)</f>
        <v>0</v>
      </c>
      <c r="L362" s="79" t="str">
        <f ca="1">IFERROR(__xludf.DUMMYFUNCTION("""COMPUTED_VALUE"""),"TRIMESTRE 2")</f>
        <v>TRIMESTRE 2</v>
      </c>
      <c r="M362" s="79" t="str">
        <f ca="1">IFERROR(__xludf.DUMMYFUNCTION("""COMPUTED_VALUE"""),"NIÑAS")</f>
        <v>NIÑAS</v>
      </c>
    </row>
    <row r="363" spans="1:26">
      <c r="A363" s="79" t="str">
        <f ca="1">IFERROR(__xludf.DUMMYFUNCTION("""COMPUTED_VALUE"""),"6.1.3.2")</f>
        <v>6.1.3.2</v>
      </c>
      <c r="B363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3" s="79" t="str">
        <f ca="1">IFERROR(__xludf.DUMMYFUNCTION("""COMPUTED_VALUE"""),"5. Inclusión")</f>
        <v>5. Inclusión</v>
      </c>
      <c r="D363" s="79" t="str">
        <f ca="1">IFERROR(__xludf.DUMMYFUNCTION("""COMPUTED_VALUE"""),"Guadalajara sin Barreras")</f>
        <v>Guadalajara sin Barreras</v>
      </c>
      <c r="E363" s="79" t="str">
        <f ca="1">IFERROR(__xludf.DUMMYFUNCTION("""COMPUTED_VALUE"""),"Cultura para la Inclusión")</f>
        <v>Cultura para la Inclusión</v>
      </c>
      <c r="F363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3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3" s="79" t="str">
        <f ca="1">IFERROR(__xludf.DUMMYFUNCTION("""COMPUTED_VALUE"""),"NOS Mayo")</f>
        <v>NOS Mayo</v>
      </c>
      <c r="I363" s="79" t="str">
        <f ca="1">IFERROR(__xludf.DUMMYFUNCTION("""COMPUTED_VALUE"""),"Mayo")</f>
        <v>Mayo</v>
      </c>
      <c r="J363" s="79" t="str">
        <f ca="1">IFERROR(__xludf.DUMMYFUNCTION("""COMPUTED_VALUE"""),"NOS")</f>
        <v>NOS</v>
      </c>
      <c r="K363" s="80">
        <f ca="1">IFERROR(__xludf.DUMMYFUNCTION("""COMPUTED_VALUE"""),0)</f>
        <v>0</v>
      </c>
      <c r="L363" s="79" t="str">
        <f ca="1">IFERROR(__xludf.DUMMYFUNCTION("""COMPUTED_VALUE"""),"TRIMESTRE 2")</f>
        <v>TRIMESTRE 2</v>
      </c>
      <c r="M363" s="79" t="str">
        <f ca="1">IFERROR(__xludf.DUMMYFUNCTION("""COMPUTED_VALUE"""),"NIÑOS")</f>
        <v>NIÑOS</v>
      </c>
    </row>
    <row r="364" spans="1:26">
      <c r="A364" s="79" t="str">
        <f ca="1">IFERROR(__xludf.DUMMYFUNCTION("""COMPUTED_VALUE"""),"6.1.3.2")</f>
        <v>6.1.3.2</v>
      </c>
      <c r="B364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4" s="79" t="str">
        <f ca="1">IFERROR(__xludf.DUMMYFUNCTION("""COMPUTED_VALUE"""),"5. Inclusión")</f>
        <v>5. Inclusión</v>
      </c>
      <c r="D364" s="79" t="str">
        <f ca="1">IFERROR(__xludf.DUMMYFUNCTION("""COMPUTED_VALUE"""),"Guadalajara sin Barreras")</f>
        <v>Guadalajara sin Barreras</v>
      </c>
      <c r="E364" s="79" t="str">
        <f ca="1">IFERROR(__xludf.DUMMYFUNCTION("""COMPUTED_VALUE"""),"Cultura para la Inclusión")</f>
        <v>Cultura para la Inclusión</v>
      </c>
      <c r="F364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4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4" s="79" t="str">
        <f ca="1">IFERROR(__xludf.DUMMYFUNCTION("""COMPUTED_VALUE"""),"AM MAYO")</f>
        <v>AM MAYO</v>
      </c>
      <c r="I364" s="79" t="str">
        <f ca="1">IFERROR(__xludf.DUMMYFUNCTION("""COMPUTED_VALUE"""),"Mayo")</f>
        <v>Mayo</v>
      </c>
      <c r="J364" s="79" t="str">
        <f ca="1">IFERROR(__xludf.DUMMYFUNCTION("""COMPUTED_VALUE"""),"AM")</f>
        <v>AM</v>
      </c>
      <c r="K364" s="80">
        <f ca="1">IFERROR(__xludf.DUMMYFUNCTION("""COMPUTED_VALUE"""),0)</f>
        <v>0</v>
      </c>
      <c r="L364" s="79" t="str">
        <f ca="1">IFERROR(__xludf.DUMMYFUNCTION("""COMPUTED_VALUE"""),"TRIMESTRE 2")</f>
        <v>TRIMESTRE 2</v>
      </c>
      <c r="M364" s="79" t="str">
        <f ca="1">IFERROR(__xludf.DUMMYFUNCTION("""COMPUTED_VALUE"""),"ADOLESCENTES MUJERES")</f>
        <v>ADOLESCENTES MUJERES</v>
      </c>
    </row>
    <row r="365" spans="1:26">
      <c r="A365" s="79" t="str">
        <f ca="1">IFERROR(__xludf.DUMMYFUNCTION("""COMPUTED_VALUE"""),"6.1.3.2")</f>
        <v>6.1.3.2</v>
      </c>
      <c r="B365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5" s="79" t="str">
        <f ca="1">IFERROR(__xludf.DUMMYFUNCTION("""COMPUTED_VALUE"""),"5. Inclusión")</f>
        <v>5. Inclusión</v>
      </c>
      <c r="D365" s="79" t="str">
        <f ca="1">IFERROR(__xludf.DUMMYFUNCTION("""COMPUTED_VALUE"""),"Guadalajara sin Barreras")</f>
        <v>Guadalajara sin Barreras</v>
      </c>
      <c r="E365" s="79" t="str">
        <f ca="1">IFERROR(__xludf.DUMMYFUNCTION("""COMPUTED_VALUE"""),"Cultura para la Inclusión")</f>
        <v>Cultura para la Inclusión</v>
      </c>
      <c r="F365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5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5" s="79" t="str">
        <f ca="1">IFERROR(__xludf.DUMMYFUNCTION("""COMPUTED_VALUE"""),"AH MAYO")</f>
        <v>AH MAYO</v>
      </c>
      <c r="I365" s="79" t="str">
        <f ca="1">IFERROR(__xludf.DUMMYFUNCTION("""COMPUTED_VALUE"""),"Mayo")</f>
        <v>Mayo</v>
      </c>
      <c r="J365" s="79" t="str">
        <f ca="1">IFERROR(__xludf.DUMMYFUNCTION("""COMPUTED_VALUE"""),"AH")</f>
        <v>AH</v>
      </c>
      <c r="K365" s="80">
        <f ca="1">IFERROR(__xludf.DUMMYFUNCTION("""COMPUTED_VALUE"""),0)</f>
        <v>0</v>
      </c>
      <c r="L365" s="79" t="str">
        <f ca="1">IFERROR(__xludf.DUMMYFUNCTION("""COMPUTED_VALUE"""),"TRIMESTRE 2")</f>
        <v>TRIMESTRE 2</v>
      </c>
      <c r="M365" s="79" t="str">
        <f ca="1">IFERROR(__xludf.DUMMYFUNCTION("""COMPUTED_VALUE"""),"ADOLESCENTES HOMBRES")</f>
        <v>ADOLESCENTES HOMBRES</v>
      </c>
    </row>
    <row r="366" spans="1:26">
      <c r="A366" s="79" t="str">
        <f ca="1">IFERROR(__xludf.DUMMYFUNCTION("""COMPUTED_VALUE"""),"6.1.3.2")</f>
        <v>6.1.3.2</v>
      </c>
      <c r="B366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6" s="79" t="str">
        <f ca="1">IFERROR(__xludf.DUMMYFUNCTION("""COMPUTED_VALUE"""),"5. Inclusión")</f>
        <v>5. Inclusión</v>
      </c>
      <c r="D366" s="79" t="str">
        <f ca="1">IFERROR(__xludf.DUMMYFUNCTION("""COMPUTED_VALUE"""),"Guadalajara sin Barreras")</f>
        <v>Guadalajara sin Barreras</v>
      </c>
      <c r="E366" s="79" t="str">
        <f ca="1">IFERROR(__xludf.DUMMYFUNCTION("""COMPUTED_VALUE"""),"Cultura para la Inclusión")</f>
        <v>Cultura para la Inclusión</v>
      </c>
      <c r="F366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6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6" s="79" t="str">
        <f ca="1">IFERROR(__xludf.DUMMYFUNCTION("""COMPUTED_VALUE"""),"MUJ Mayo")</f>
        <v>MUJ Mayo</v>
      </c>
      <c r="I366" s="79" t="str">
        <f ca="1">IFERROR(__xludf.DUMMYFUNCTION("""COMPUTED_VALUE"""),"Mayo")</f>
        <v>Mayo</v>
      </c>
      <c r="J366" s="79" t="str">
        <f ca="1">IFERROR(__xludf.DUMMYFUNCTION("""COMPUTED_VALUE"""),"MUJ")</f>
        <v>MUJ</v>
      </c>
      <c r="K366" s="80">
        <f ca="1">IFERROR(__xludf.DUMMYFUNCTION("""COMPUTED_VALUE"""),0)</f>
        <v>0</v>
      </c>
      <c r="L366" s="79" t="str">
        <f ca="1">IFERROR(__xludf.DUMMYFUNCTION("""COMPUTED_VALUE"""),"TRIMESTRE 2")</f>
        <v>TRIMESTRE 2</v>
      </c>
      <c r="M366" s="79" t="str">
        <f ca="1">IFERROR(__xludf.DUMMYFUNCTION("""COMPUTED_VALUE"""),"MUJERES ADULTAS")</f>
        <v>MUJERES ADULTAS</v>
      </c>
    </row>
    <row r="367" spans="1:26">
      <c r="A367" s="79" t="str">
        <f ca="1">IFERROR(__xludf.DUMMYFUNCTION("""COMPUTED_VALUE"""),"6.1.3.2")</f>
        <v>6.1.3.2</v>
      </c>
      <c r="B367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7" s="79" t="str">
        <f ca="1">IFERROR(__xludf.DUMMYFUNCTION("""COMPUTED_VALUE"""),"5. Inclusión")</f>
        <v>5. Inclusión</v>
      </c>
      <c r="D367" s="79" t="str">
        <f ca="1">IFERROR(__xludf.DUMMYFUNCTION("""COMPUTED_VALUE"""),"Guadalajara sin Barreras")</f>
        <v>Guadalajara sin Barreras</v>
      </c>
      <c r="E367" s="79" t="str">
        <f ca="1">IFERROR(__xludf.DUMMYFUNCTION("""COMPUTED_VALUE"""),"Cultura para la Inclusión")</f>
        <v>Cultura para la Inclusión</v>
      </c>
      <c r="F367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7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7" s="79" t="str">
        <f ca="1">IFERROR(__xludf.DUMMYFUNCTION("""COMPUTED_VALUE"""),"HOM Mayo")</f>
        <v>HOM Mayo</v>
      </c>
      <c r="I367" s="79" t="str">
        <f ca="1">IFERROR(__xludf.DUMMYFUNCTION("""COMPUTED_VALUE"""),"Mayo")</f>
        <v>Mayo</v>
      </c>
      <c r="J367" s="79" t="str">
        <f ca="1">IFERROR(__xludf.DUMMYFUNCTION("""COMPUTED_VALUE"""),"HOM")</f>
        <v>HOM</v>
      </c>
      <c r="K367" s="80">
        <f ca="1">IFERROR(__xludf.DUMMYFUNCTION("""COMPUTED_VALUE"""),0)</f>
        <v>0</v>
      </c>
      <c r="L367" s="79" t="str">
        <f ca="1">IFERROR(__xludf.DUMMYFUNCTION("""COMPUTED_VALUE"""),"TRIMESTRE 2")</f>
        <v>TRIMESTRE 2</v>
      </c>
      <c r="M367" s="79" t="str">
        <f ca="1">IFERROR(__xludf.DUMMYFUNCTION("""COMPUTED_VALUE"""),"HOMBRES ADULTOS")</f>
        <v>HOMBRES ADULTOS</v>
      </c>
    </row>
    <row r="368" spans="1:26">
      <c r="A368" s="79" t="str">
        <f ca="1">IFERROR(__xludf.DUMMYFUNCTION("""COMPUTED_VALUE"""),"6.1.3.2")</f>
        <v>6.1.3.2</v>
      </c>
      <c r="B368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8" s="79" t="str">
        <f ca="1">IFERROR(__xludf.DUMMYFUNCTION("""COMPUTED_VALUE"""),"5. Inclusión")</f>
        <v>5. Inclusión</v>
      </c>
      <c r="D368" s="79" t="str">
        <f ca="1">IFERROR(__xludf.DUMMYFUNCTION("""COMPUTED_VALUE"""),"Guadalajara sin Barreras")</f>
        <v>Guadalajara sin Barreras</v>
      </c>
      <c r="E368" s="79" t="str">
        <f ca="1">IFERROR(__xludf.DUMMYFUNCTION("""COMPUTED_VALUE"""),"Cultura para la Inclusión")</f>
        <v>Cultura para la Inclusión</v>
      </c>
      <c r="F368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8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8" s="79" t="str">
        <f ca="1">IFERROR(__xludf.DUMMYFUNCTION("""COMPUTED_VALUE"""),"AMM Mayo")</f>
        <v>AMM Mayo</v>
      </c>
      <c r="I368" s="79" t="str">
        <f ca="1">IFERROR(__xludf.DUMMYFUNCTION("""COMPUTED_VALUE"""),"Mayo")</f>
        <v>Mayo</v>
      </c>
      <c r="J368" s="79" t="str">
        <f ca="1">IFERROR(__xludf.DUMMYFUNCTION("""COMPUTED_VALUE"""),"AMM")</f>
        <v>AMM</v>
      </c>
      <c r="K368" s="80">
        <f ca="1">IFERROR(__xludf.DUMMYFUNCTION("""COMPUTED_VALUE"""),0)</f>
        <v>0</v>
      </c>
      <c r="L368" s="79" t="str">
        <f ca="1">IFERROR(__xludf.DUMMYFUNCTION("""COMPUTED_VALUE"""),"TRIMESTRE 2")</f>
        <v>TRIMESTRE 2</v>
      </c>
      <c r="M368" s="79" t="str">
        <f ca="1">IFERROR(__xludf.DUMMYFUNCTION("""COMPUTED_VALUE"""),"ADULTA MAYOR MUJER")</f>
        <v>ADULTA MAYOR MUJER</v>
      </c>
    </row>
    <row r="369" spans="1:13">
      <c r="A369" s="79" t="str">
        <f ca="1">IFERROR(__xludf.DUMMYFUNCTION("""COMPUTED_VALUE"""),"6.1.3.2")</f>
        <v>6.1.3.2</v>
      </c>
      <c r="B369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69" s="79" t="str">
        <f ca="1">IFERROR(__xludf.DUMMYFUNCTION("""COMPUTED_VALUE"""),"5. Inclusión")</f>
        <v>5. Inclusión</v>
      </c>
      <c r="D369" s="79" t="str">
        <f ca="1">IFERROR(__xludf.DUMMYFUNCTION("""COMPUTED_VALUE"""),"Guadalajara sin Barreras")</f>
        <v>Guadalajara sin Barreras</v>
      </c>
      <c r="E369" s="79" t="str">
        <f ca="1">IFERROR(__xludf.DUMMYFUNCTION("""COMPUTED_VALUE"""),"Cultura para la Inclusión")</f>
        <v>Cultura para la Inclusión</v>
      </c>
      <c r="F369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69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69" s="79" t="str">
        <f ca="1">IFERROR(__xludf.DUMMYFUNCTION("""COMPUTED_VALUE"""),"AMH Mayo")</f>
        <v>AMH Mayo</v>
      </c>
      <c r="I369" s="79" t="str">
        <f ca="1">IFERROR(__xludf.DUMMYFUNCTION("""COMPUTED_VALUE"""),"Mayo")</f>
        <v>Mayo</v>
      </c>
      <c r="J369" s="79" t="str">
        <f ca="1">IFERROR(__xludf.DUMMYFUNCTION("""COMPUTED_VALUE"""),"AMH")</f>
        <v>AMH</v>
      </c>
      <c r="K369" s="80">
        <f ca="1">IFERROR(__xludf.DUMMYFUNCTION("""COMPUTED_VALUE"""),0)</f>
        <v>0</v>
      </c>
      <c r="L369" s="79" t="str">
        <f ca="1">IFERROR(__xludf.DUMMYFUNCTION("""COMPUTED_VALUE"""),"TRIMESTRE 2")</f>
        <v>TRIMESTRE 2</v>
      </c>
      <c r="M369" s="79" t="str">
        <f ca="1">IFERROR(__xludf.DUMMYFUNCTION("""COMPUTED_VALUE"""),"ADULTO MAYOR HOMBRE")</f>
        <v>ADULTO MAYOR HOMBRE</v>
      </c>
    </row>
    <row r="370" spans="1:13">
      <c r="A370" s="79" t="str">
        <f ca="1">IFERROR(__xludf.DUMMYFUNCTION("""COMPUTED_VALUE"""),"6.1.3.1")</f>
        <v>6.1.3.1</v>
      </c>
      <c r="B370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0" s="79" t="str">
        <f ca="1">IFERROR(__xludf.DUMMYFUNCTION("""COMPUTED_VALUE"""),"5. Inclusión")</f>
        <v>5. Inclusión</v>
      </c>
      <c r="D370" s="79" t="str">
        <f ca="1">IFERROR(__xludf.DUMMYFUNCTION("""COMPUTED_VALUE"""),"Guadalajara sin Barreras")</f>
        <v>Guadalajara sin Barreras</v>
      </c>
      <c r="E370" s="79" t="str">
        <f ca="1">IFERROR(__xludf.DUMMYFUNCTION("""COMPUTED_VALUE"""),"Cultura para la Inclusión")</f>
        <v>Cultura para la Inclusión</v>
      </c>
      <c r="F370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0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0" s="79" t="str">
        <f ca="1">IFERROR(__xludf.DUMMYFUNCTION("""COMPUTED_VALUE"""),"NAS Junio")</f>
        <v>NAS Junio</v>
      </c>
      <c r="I370" s="79" t="str">
        <f ca="1">IFERROR(__xludf.DUMMYFUNCTION("""COMPUTED_VALUE"""),"Junio")</f>
        <v>Junio</v>
      </c>
      <c r="J370" s="79" t="str">
        <f ca="1">IFERROR(__xludf.DUMMYFUNCTION("""COMPUTED_VALUE"""),"NAS")</f>
        <v>NAS</v>
      </c>
      <c r="K370" s="80">
        <f ca="1">IFERROR(__xludf.DUMMYFUNCTION("""COMPUTED_VALUE"""),3)</f>
        <v>3</v>
      </c>
      <c r="L370" s="79" t="str">
        <f ca="1">IFERROR(__xludf.DUMMYFUNCTION("""COMPUTED_VALUE"""),"TRIMESTRE 2")</f>
        <v>TRIMESTRE 2</v>
      </c>
      <c r="M370" s="79" t="str">
        <f ca="1">IFERROR(__xludf.DUMMYFUNCTION("""COMPUTED_VALUE"""),"NIÑAS")</f>
        <v>NIÑAS</v>
      </c>
    </row>
    <row r="371" spans="1:13">
      <c r="A371" s="79" t="str">
        <f ca="1">IFERROR(__xludf.DUMMYFUNCTION("""COMPUTED_VALUE"""),"6.1.3.1")</f>
        <v>6.1.3.1</v>
      </c>
      <c r="B371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1" s="79" t="str">
        <f ca="1">IFERROR(__xludf.DUMMYFUNCTION("""COMPUTED_VALUE"""),"5. Inclusión")</f>
        <v>5. Inclusión</v>
      </c>
      <c r="D371" s="79" t="str">
        <f ca="1">IFERROR(__xludf.DUMMYFUNCTION("""COMPUTED_VALUE"""),"Guadalajara sin Barreras")</f>
        <v>Guadalajara sin Barreras</v>
      </c>
      <c r="E371" s="79" t="str">
        <f ca="1">IFERROR(__xludf.DUMMYFUNCTION("""COMPUTED_VALUE"""),"Cultura para la Inclusión")</f>
        <v>Cultura para la Inclusión</v>
      </c>
      <c r="F371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1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1" s="79" t="str">
        <f ca="1">IFERROR(__xludf.DUMMYFUNCTION("""COMPUTED_VALUE"""),"NOS Junio")</f>
        <v>NOS Junio</v>
      </c>
      <c r="I371" s="79" t="str">
        <f ca="1">IFERROR(__xludf.DUMMYFUNCTION("""COMPUTED_VALUE"""),"Junio")</f>
        <v>Junio</v>
      </c>
      <c r="J371" s="79" t="str">
        <f ca="1">IFERROR(__xludf.DUMMYFUNCTION("""COMPUTED_VALUE"""),"NOS")</f>
        <v>NOS</v>
      </c>
      <c r="K371" s="80">
        <f ca="1">IFERROR(__xludf.DUMMYFUNCTION("""COMPUTED_VALUE"""),0)</f>
        <v>0</v>
      </c>
      <c r="L371" s="79" t="str">
        <f ca="1">IFERROR(__xludf.DUMMYFUNCTION("""COMPUTED_VALUE"""),"TRIMESTRE 2")</f>
        <v>TRIMESTRE 2</v>
      </c>
      <c r="M371" s="79" t="str">
        <f ca="1">IFERROR(__xludf.DUMMYFUNCTION("""COMPUTED_VALUE"""),"NIÑOS")</f>
        <v>NIÑOS</v>
      </c>
    </row>
    <row r="372" spans="1:13">
      <c r="A372" s="79" t="str">
        <f ca="1">IFERROR(__xludf.DUMMYFUNCTION("""COMPUTED_VALUE"""),"6.1.3.1")</f>
        <v>6.1.3.1</v>
      </c>
      <c r="B372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2" s="79" t="str">
        <f ca="1">IFERROR(__xludf.DUMMYFUNCTION("""COMPUTED_VALUE"""),"5. Inclusión")</f>
        <v>5. Inclusión</v>
      </c>
      <c r="D372" s="79" t="str">
        <f ca="1">IFERROR(__xludf.DUMMYFUNCTION("""COMPUTED_VALUE"""),"Guadalajara sin Barreras")</f>
        <v>Guadalajara sin Barreras</v>
      </c>
      <c r="E372" s="79" t="str">
        <f ca="1">IFERROR(__xludf.DUMMYFUNCTION("""COMPUTED_VALUE"""),"Cultura para la Inclusión")</f>
        <v>Cultura para la Inclusión</v>
      </c>
      <c r="F372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2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2" s="79" t="str">
        <f ca="1">IFERROR(__xludf.DUMMYFUNCTION("""COMPUTED_VALUE"""),"AM JUNIO")</f>
        <v>AM JUNIO</v>
      </c>
      <c r="I372" s="79" t="str">
        <f ca="1">IFERROR(__xludf.DUMMYFUNCTION("""COMPUTED_VALUE"""),"Junio")</f>
        <v>Junio</v>
      </c>
      <c r="J372" s="79" t="str">
        <f ca="1">IFERROR(__xludf.DUMMYFUNCTION("""COMPUTED_VALUE"""),"AM")</f>
        <v>AM</v>
      </c>
      <c r="K372" s="80">
        <f ca="1">IFERROR(__xludf.DUMMYFUNCTION("""COMPUTED_VALUE"""),2)</f>
        <v>2</v>
      </c>
      <c r="L372" s="79" t="str">
        <f ca="1">IFERROR(__xludf.DUMMYFUNCTION("""COMPUTED_VALUE"""),"TRIMESTRE 2")</f>
        <v>TRIMESTRE 2</v>
      </c>
      <c r="M372" s="79" t="str">
        <f ca="1">IFERROR(__xludf.DUMMYFUNCTION("""COMPUTED_VALUE"""),"ADOLESCENTES MUJERES")</f>
        <v>ADOLESCENTES MUJERES</v>
      </c>
    </row>
    <row r="373" spans="1:13">
      <c r="A373" s="79" t="str">
        <f ca="1">IFERROR(__xludf.DUMMYFUNCTION("""COMPUTED_VALUE"""),"6.1.3.1")</f>
        <v>6.1.3.1</v>
      </c>
      <c r="B373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3" s="79" t="str">
        <f ca="1">IFERROR(__xludf.DUMMYFUNCTION("""COMPUTED_VALUE"""),"5. Inclusión")</f>
        <v>5. Inclusión</v>
      </c>
      <c r="D373" s="79" t="str">
        <f ca="1">IFERROR(__xludf.DUMMYFUNCTION("""COMPUTED_VALUE"""),"Guadalajara sin Barreras")</f>
        <v>Guadalajara sin Barreras</v>
      </c>
      <c r="E373" s="79" t="str">
        <f ca="1">IFERROR(__xludf.DUMMYFUNCTION("""COMPUTED_VALUE"""),"Cultura para la Inclusión")</f>
        <v>Cultura para la Inclusión</v>
      </c>
      <c r="F373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3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3" s="79" t="str">
        <f ca="1">IFERROR(__xludf.DUMMYFUNCTION("""COMPUTED_VALUE"""),"AH JUNIO")</f>
        <v>AH JUNIO</v>
      </c>
      <c r="I373" s="79" t="str">
        <f ca="1">IFERROR(__xludf.DUMMYFUNCTION("""COMPUTED_VALUE"""),"Junio")</f>
        <v>Junio</v>
      </c>
      <c r="J373" s="79" t="str">
        <f ca="1">IFERROR(__xludf.DUMMYFUNCTION("""COMPUTED_VALUE"""),"AH")</f>
        <v>AH</v>
      </c>
      <c r="K373" s="80">
        <f ca="1">IFERROR(__xludf.DUMMYFUNCTION("""COMPUTED_VALUE"""),0)</f>
        <v>0</v>
      </c>
      <c r="L373" s="79" t="str">
        <f ca="1">IFERROR(__xludf.DUMMYFUNCTION("""COMPUTED_VALUE"""),"TRIMESTRE 2")</f>
        <v>TRIMESTRE 2</v>
      </c>
      <c r="M373" s="79" t="str">
        <f ca="1">IFERROR(__xludf.DUMMYFUNCTION("""COMPUTED_VALUE"""),"ADOLESCENTES HOMBRES")</f>
        <v>ADOLESCENTES HOMBRES</v>
      </c>
    </row>
    <row r="374" spans="1:13">
      <c r="A374" s="79" t="str">
        <f ca="1">IFERROR(__xludf.DUMMYFUNCTION("""COMPUTED_VALUE"""),"6.1.3.1")</f>
        <v>6.1.3.1</v>
      </c>
      <c r="B374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4" s="79" t="str">
        <f ca="1">IFERROR(__xludf.DUMMYFUNCTION("""COMPUTED_VALUE"""),"5. Inclusión")</f>
        <v>5. Inclusión</v>
      </c>
      <c r="D374" s="79" t="str">
        <f ca="1">IFERROR(__xludf.DUMMYFUNCTION("""COMPUTED_VALUE"""),"Guadalajara sin Barreras")</f>
        <v>Guadalajara sin Barreras</v>
      </c>
      <c r="E374" s="79" t="str">
        <f ca="1">IFERROR(__xludf.DUMMYFUNCTION("""COMPUTED_VALUE"""),"Cultura para la Inclusión")</f>
        <v>Cultura para la Inclusión</v>
      </c>
      <c r="F374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4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4" s="79" t="str">
        <f ca="1">IFERROR(__xludf.DUMMYFUNCTION("""COMPUTED_VALUE"""),"MUJ Junio")</f>
        <v>MUJ Junio</v>
      </c>
      <c r="I374" s="79" t="str">
        <f ca="1">IFERROR(__xludf.DUMMYFUNCTION("""COMPUTED_VALUE"""),"Junio")</f>
        <v>Junio</v>
      </c>
      <c r="J374" s="79" t="str">
        <f ca="1">IFERROR(__xludf.DUMMYFUNCTION("""COMPUTED_VALUE"""),"MUJ")</f>
        <v>MUJ</v>
      </c>
      <c r="K374" s="80">
        <f ca="1">IFERROR(__xludf.DUMMYFUNCTION("""COMPUTED_VALUE"""),24)</f>
        <v>24</v>
      </c>
      <c r="L374" s="79" t="str">
        <f ca="1">IFERROR(__xludf.DUMMYFUNCTION("""COMPUTED_VALUE"""),"TRIMESTRE 2")</f>
        <v>TRIMESTRE 2</v>
      </c>
      <c r="M374" s="79" t="str">
        <f ca="1">IFERROR(__xludf.DUMMYFUNCTION("""COMPUTED_VALUE"""),"MUJERES ADULTAS")</f>
        <v>MUJERES ADULTAS</v>
      </c>
    </row>
    <row r="375" spans="1:13">
      <c r="A375" s="79" t="str">
        <f ca="1">IFERROR(__xludf.DUMMYFUNCTION("""COMPUTED_VALUE"""),"6.1.3.1")</f>
        <v>6.1.3.1</v>
      </c>
      <c r="B375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5" s="79" t="str">
        <f ca="1">IFERROR(__xludf.DUMMYFUNCTION("""COMPUTED_VALUE"""),"5. Inclusión")</f>
        <v>5. Inclusión</v>
      </c>
      <c r="D375" s="79" t="str">
        <f ca="1">IFERROR(__xludf.DUMMYFUNCTION("""COMPUTED_VALUE"""),"Guadalajara sin Barreras")</f>
        <v>Guadalajara sin Barreras</v>
      </c>
      <c r="E375" s="79" t="str">
        <f ca="1">IFERROR(__xludf.DUMMYFUNCTION("""COMPUTED_VALUE"""),"Cultura para la Inclusión")</f>
        <v>Cultura para la Inclusión</v>
      </c>
      <c r="F375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5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5" s="79" t="str">
        <f ca="1">IFERROR(__xludf.DUMMYFUNCTION("""COMPUTED_VALUE"""),"HOM Junio")</f>
        <v>HOM Junio</v>
      </c>
      <c r="I375" s="79" t="str">
        <f ca="1">IFERROR(__xludf.DUMMYFUNCTION("""COMPUTED_VALUE"""),"Junio")</f>
        <v>Junio</v>
      </c>
      <c r="J375" s="79" t="str">
        <f ca="1">IFERROR(__xludf.DUMMYFUNCTION("""COMPUTED_VALUE"""),"HOM")</f>
        <v>HOM</v>
      </c>
      <c r="K375" s="80">
        <f ca="1">IFERROR(__xludf.DUMMYFUNCTION("""COMPUTED_VALUE"""),19)</f>
        <v>19</v>
      </c>
      <c r="L375" s="79" t="str">
        <f ca="1">IFERROR(__xludf.DUMMYFUNCTION("""COMPUTED_VALUE"""),"TRIMESTRE 2")</f>
        <v>TRIMESTRE 2</v>
      </c>
      <c r="M375" s="79" t="str">
        <f ca="1">IFERROR(__xludf.DUMMYFUNCTION("""COMPUTED_VALUE"""),"HOMBRES ADULTOS")</f>
        <v>HOMBRES ADULTOS</v>
      </c>
    </row>
    <row r="376" spans="1:13">
      <c r="A376" s="79" t="str">
        <f ca="1">IFERROR(__xludf.DUMMYFUNCTION("""COMPUTED_VALUE"""),"6.1.3.1")</f>
        <v>6.1.3.1</v>
      </c>
      <c r="B376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6" s="79" t="str">
        <f ca="1">IFERROR(__xludf.DUMMYFUNCTION("""COMPUTED_VALUE"""),"5. Inclusión")</f>
        <v>5. Inclusión</v>
      </c>
      <c r="D376" s="79" t="str">
        <f ca="1">IFERROR(__xludf.DUMMYFUNCTION("""COMPUTED_VALUE"""),"Guadalajara sin Barreras")</f>
        <v>Guadalajara sin Barreras</v>
      </c>
      <c r="E376" s="79" t="str">
        <f ca="1">IFERROR(__xludf.DUMMYFUNCTION("""COMPUTED_VALUE"""),"Cultura para la Inclusión")</f>
        <v>Cultura para la Inclusión</v>
      </c>
      <c r="F376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6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6" s="79" t="str">
        <f ca="1">IFERROR(__xludf.DUMMYFUNCTION("""COMPUTED_VALUE"""),"AMM Junio")</f>
        <v>AMM Junio</v>
      </c>
      <c r="I376" s="79" t="str">
        <f ca="1">IFERROR(__xludf.DUMMYFUNCTION("""COMPUTED_VALUE"""),"Junio")</f>
        <v>Junio</v>
      </c>
      <c r="J376" s="79" t="str">
        <f ca="1">IFERROR(__xludf.DUMMYFUNCTION("""COMPUTED_VALUE"""),"AMM")</f>
        <v>AMM</v>
      </c>
      <c r="K376" s="80">
        <f ca="1">IFERROR(__xludf.DUMMYFUNCTION("""COMPUTED_VALUE"""),0)</f>
        <v>0</v>
      </c>
      <c r="L376" s="79" t="str">
        <f ca="1">IFERROR(__xludf.DUMMYFUNCTION("""COMPUTED_VALUE"""),"TRIMESTRE 2")</f>
        <v>TRIMESTRE 2</v>
      </c>
      <c r="M376" s="79" t="str">
        <f ca="1">IFERROR(__xludf.DUMMYFUNCTION("""COMPUTED_VALUE"""),"ADULTA MAYOR MUJER")</f>
        <v>ADULTA MAYOR MUJER</v>
      </c>
    </row>
    <row r="377" spans="1:13">
      <c r="A377" s="79" t="str">
        <f ca="1">IFERROR(__xludf.DUMMYFUNCTION("""COMPUTED_VALUE"""),"6.1.3.1")</f>
        <v>6.1.3.1</v>
      </c>
      <c r="B377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7" s="79" t="str">
        <f ca="1">IFERROR(__xludf.DUMMYFUNCTION("""COMPUTED_VALUE"""),"5. Inclusión")</f>
        <v>5. Inclusión</v>
      </c>
      <c r="D377" s="79" t="str">
        <f ca="1">IFERROR(__xludf.DUMMYFUNCTION("""COMPUTED_VALUE"""),"Guadalajara sin Barreras")</f>
        <v>Guadalajara sin Barreras</v>
      </c>
      <c r="E377" s="79" t="str">
        <f ca="1">IFERROR(__xludf.DUMMYFUNCTION("""COMPUTED_VALUE"""),"Cultura para la Inclusión")</f>
        <v>Cultura para la Inclusión</v>
      </c>
      <c r="F377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77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77" s="79" t="str">
        <f ca="1">IFERROR(__xludf.DUMMYFUNCTION("""COMPUTED_VALUE"""),"AMH Junio")</f>
        <v>AMH Junio</v>
      </c>
      <c r="I377" s="79" t="str">
        <f ca="1">IFERROR(__xludf.DUMMYFUNCTION("""COMPUTED_VALUE"""),"Junio")</f>
        <v>Junio</v>
      </c>
      <c r="J377" s="79" t="str">
        <f ca="1">IFERROR(__xludf.DUMMYFUNCTION("""COMPUTED_VALUE"""),"AMH")</f>
        <v>AMH</v>
      </c>
      <c r="K377" s="80">
        <f ca="1">IFERROR(__xludf.DUMMYFUNCTION("""COMPUTED_VALUE"""),0)</f>
        <v>0</v>
      </c>
      <c r="L377" s="79" t="str">
        <f ca="1">IFERROR(__xludf.DUMMYFUNCTION("""COMPUTED_VALUE"""),"TRIMESTRE 2")</f>
        <v>TRIMESTRE 2</v>
      </c>
      <c r="M377" s="79" t="str">
        <f ca="1">IFERROR(__xludf.DUMMYFUNCTION("""COMPUTED_VALUE"""),"ADULTO MAYOR HOMBRE")</f>
        <v>ADULTO MAYOR HOMBRE</v>
      </c>
    </row>
    <row r="378" spans="1:13">
      <c r="A378" s="79" t="str">
        <f ca="1">IFERROR(__xludf.DUMMYFUNCTION("""COMPUTED_VALUE"""),"6.1.3.2")</f>
        <v>6.1.3.2</v>
      </c>
      <c r="B378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8" s="79" t="str">
        <f ca="1">IFERROR(__xludf.DUMMYFUNCTION("""COMPUTED_VALUE"""),"5. Inclusión")</f>
        <v>5. Inclusión</v>
      </c>
      <c r="D378" s="79" t="str">
        <f ca="1">IFERROR(__xludf.DUMMYFUNCTION("""COMPUTED_VALUE"""),"Guadalajara sin Barreras")</f>
        <v>Guadalajara sin Barreras</v>
      </c>
      <c r="E378" s="79" t="str">
        <f ca="1">IFERROR(__xludf.DUMMYFUNCTION("""COMPUTED_VALUE"""),"Cultura para la Inclusión")</f>
        <v>Cultura para la Inclusión</v>
      </c>
      <c r="F378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78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78" s="79" t="str">
        <f ca="1">IFERROR(__xludf.DUMMYFUNCTION("""COMPUTED_VALUE"""),"NAS Junio")</f>
        <v>NAS Junio</v>
      </c>
      <c r="I378" s="79" t="str">
        <f ca="1">IFERROR(__xludf.DUMMYFUNCTION("""COMPUTED_VALUE"""),"Junio")</f>
        <v>Junio</v>
      </c>
      <c r="J378" s="79" t="str">
        <f ca="1">IFERROR(__xludf.DUMMYFUNCTION("""COMPUTED_VALUE"""),"NAS")</f>
        <v>NAS</v>
      </c>
      <c r="K378" s="80">
        <f ca="1">IFERROR(__xludf.DUMMYFUNCTION("""COMPUTED_VALUE"""),0)</f>
        <v>0</v>
      </c>
      <c r="L378" s="79" t="str">
        <f ca="1">IFERROR(__xludf.DUMMYFUNCTION("""COMPUTED_VALUE"""),"TRIMESTRE 2")</f>
        <v>TRIMESTRE 2</v>
      </c>
      <c r="M378" s="79" t="str">
        <f ca="1">IFERROR(__xludf.DUMMYFUNCTION("""COMPUTED_VALUE"""),"NIÑAS")</f>
        <v>NIÑAS</v>
      </c>
    </row>
    <row r="379" spans="1:13">
      <c r="A379" s="79" t="str">
        <f ca="1">IFERROR(__xludf.DUMMYFUNCTION("""COMPUTED_VALUE"""),"6.1.3.2")</f>
        <v>6.1.3.2</v>
      </c>
      <c r="B379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79" s="79" t="str">
        <f ca="1">IFERROR(__xludf.DUMMYFUNCTION("""COMPUTED_VALUE"""),"5. Inclusión")</f>
        <v>5. Inclusión</v>
      </c>
      <c r="D379" s="79" t="str">
        <f ca="1">IFERROR(__xludf.DUMMYFUNCTION("""COMPUTED_VALUE"""),"Guadalajara sin Barreras")</f>
        <v>Guadalajara sin Barreras</v>
      </c>
      <c r="E379" s="79" t="str">
        <f ca="1">IFERROR(__xludf.DUMMYFUNCTION("""COMPUTED_VALUE"""),"Cultura para la Inclusión")</f>
        <v>Cultura para la Inclusión</v>
      </c>
      <c r="F379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79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79" s="79" t="str">
        <f ca="1">IFERROR(__xludf.DUMMYFUNCTION("""COMPUTED_VALUE"""),"NOS Junio")</f>
        <v>NOS Junio</v>
      </c>
      <c r="I379" s="79" t="str">
        <f ca="1">IFERROR(__xludf.DUMMYFUNCTION("""COMPUTED_VALUE"""),"Junio")</f>
        <v>Junio</v>
      </c>
      <c r="J379" s="79" t="str">
        <f ca="1">IFERROR(__xludf.DUMMYFUNCTION("""COMPUTED_VALUE"""),"NOS")</f>
        <v>NOS</v>
      </c>
      <c r="K379" s="80">
        <f ca="1">IFERROR(__xludf.DUMMYFUNCTION("""COMPUTED_VALUE"""),0)</f>
        <v>0</v>
      </c>
      <c r="L379" s="79" t="str">
        <f ca="1">IFERROR(__xludf.DUMMYFUNCTION("""COMPUTED_VALUE"""),"TRIMESTRE 2")</f>
        <v>TRIMESTRE 2</v>
      </c>
      <c r="M379" s="79" t="str">
        <f ca="1">IFERROR(__xludf.DUMMYFUNCTION("""COMPUTED_VALUE"""),"NIÑOS")</f>
        <v>NIÑOS</v>
      </c>
    </row>
    <row r="380" spans="1:13">
      <c r="A380" s="79" t="str">
        <f ca="1">IFERROR(__xludf.DUMMYFUNCTION("""COMPUTED_VALUE"""),"6.1.3.2")</f>
        <v>6.1.3.2</v>
      </c>
      <c r="B380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0" s="79" t="str">
        <f ca="1">IFERROR(__xludf.DUMMYFUNCTION("""COMPUTED_VALUE"""),"5. Inclusión")</f>
        <v>5. Inclusión</v>
      </c>
      <c r="D380" s="79" t="str">
        <f ca="1">IFERROR(__xludf.DUMMYFUNCTION("""COMPUTED_VALUE"""),"Guadalajara sin Barreras")</f>
        <v>Guadalajara sin Barreras</v>
      </c>
      <c r="E380" s="79" t="str">
        <f ca="1">IFERROR(__xludf.DUMMYFUNCTION("""COMPUTED_VALUE"""),"Cultura para la Inclusión")</f>
        <v>Cultura para la Inclusión</v>
      </c>
      <c r="F380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80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80" s="79" t="str">
        <f ca="1">IFERROR(__xludf.DUMMYFUNCTION("""COMPUTED_VALUE"""),"AM JUNIO")</f>
        <v>AM JUNIO</v>
      </c>
      <c r="I380" s="79" t="str">
        <f ca="1">IFERROR(__xludf.DUMMYFUNCTION("""COMPUTED_VALUE"""),"Junio")</f>
        <v>Junio</v>
      </c>
      <c r="J380" s="79" t="str">
        <f ca="1">IFERROR(__xludf.DUMMYFUNCTION("""COMPUTED_VALUE"""),"AM")</f>
        <v>AM</v>
      </c>
      <c r="K380" s="80">
        <f ca="1">IFERROR(__xludf.DUMMYFUNCTION("""COMPUTED_VALUE"""),0)</f>
        <v>0</v>
      </c>
      <c r="L380" s="79" t="str">
        <f ca="1">IFERROR(__xludf.DUMMYFUNCTION("""COMPUTED_VALUE"""),"TRIMESTRE 2")</f>
        <v>TRIMESTRE 2</v>
      </c>
      <c r="M380" s="79" t="str">
        <f ca="1">IFERROR(__xludf.DUMMYFUNCTION("""COMPUTED_VALUE"""),"ADOLESCENTES MUJERES")</f>
        <v>ADOLESCENTES MUJERES</v>
      </c>
    </row>
    <row r="381" spans="1:13">
      <c r="A381" s="79" t="str">
        <f ca="1">IFERROR(__xludf.DUMMYFUNCTION("""COMPUTED_VALUE"""),"6.1.3.2")</f>
        <v>6.1.3.2</v>
      </c>
      <c r="B381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1" s="79" t="str">
        <f ca="1">IFERROR(__xludf.DUMMYFUNCTION("""COMPUTED_VALUE"""),"5. Inclusión")</f>
        <v>5. Inclusión</v>
      </c>
      <c r="D381" s="79" t="str">
        <f ca="1">IFERROR(__xludf.DUMMYFUNCTION("""COMPUTED_VALUE"""),"Guadalajara sin Barreras")</f>
        <v>Guadalajara sin Barreras</v>
      </c>
      <c r="E381" s="79" t="str">
        <f ca="1">IFERROR(__xludf.DUMMYFUNCTION("""COMPUTED_VALUE"""),"Cultura para la Inclusión")</f>
        <v>Cultura para la Inclusión</v>
      </c>
      <c r="F381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81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81" s="79" t="str">
        <f ca="1">IFERROR(__xludf.DUMMYFUNCTION("""COMPUTED_VALUE"""),"AH JUNIO")</f>
        <v>AH JUNIO</v>
      </c>
      <c r="I381" s="79" t="str">
        <f ca="1">IFERROR(__xludf.DUMMYFUNCTION("""COMPUTED_VALUE"""),"Junio")</f>
        <v>Junio</v>
      </c>
      <c r="J381" s="79" t="str">
        <f ca="1">IFERROR(__xludf.DUMMYFUNCTION("""COMPUTED_VALUE"""),"AH")</f>
        <v>AH</v>
      </c>
      <c r="K381" s="80">
        <f ca="1">IFERROR(__xludf.DUMMYFUNCTION("""COMPUTED_VALUE"""),0)</f>
        <v>0</v>
      </c>
      <c r="L381" s="79" t="str">
        <f ca="1">IFERROR(__xludf.DUMMYFUNCTION("""COMPUTED_VALUE"""),"TRIMESTRE 2")</f>
        <v>TRIMESTRE 2</v>
      </c>
      <c r="M381" s="79" t="str">
        <f ca="1">IFERROR(__xludf.DUMMYFUNCTION("""COMPUTED_VALUE"""),"ADOLESCENTES HOMBRES")</f>
        <v>ADOLESCENTES HOMBRES</v>
      </c>
    </row>
    <row r="382" spans="1:13">
      <c r="A382" s="79" t="str">
        <f ca="1">IFERROR(__xludf.DUMMYFUNCTION("""COMPUTED_VALUE"""),"6.1.3.2")</f>
        <v>6.1.3.2</v>
      </c>
      <c r="B382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2" s="79" t="str">
        <f ca="1">IFERROR(__xludf.DUMMYFUNCTION("""COMPUTED_VALUE"""),"5. Inclusión")</f>
        <v>5. Inclusión</v>
      </c>
      <c r="D382" s="79" t="str">
        <f ca="1">IFERROR(__xludf.DUMMYFUNCTION("""COMPUTED_VALUE"""),"Guadalajara sin Barreras")</f>
        <v>Guadalajara sin Barreras</v>
      </c>
      <c r="E382" s="79" t="str">
        <f ca="1">IFERROR(__xludf.DUMMYFUNCTION("""COMPUTED_VALUE"""),"Cultura para la Inclusión")</f>
        <v>Cultura para la Inclusión</v>
      </c>
      <c r="F382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82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82" s="79" t="str">
        <f ca="1">IFERROR(__xludf.DUMMYFUNCTION("""COMPUTED_VALUE"""),"MUJ Junio")</f>
        <v>MUJ Junio</v>
      </c>
      <c r="I382" s="79" t="str">
        <f ca="1">IFERROR(__xludf.DUMMYFUNCTION("""COMPUTED_VALUE"""),"Junio")</f>
        <v>Junio</v>
      </c>
      <c r="J382" s="79" t="str">
        <f ca="1">IFERROR(__xludf.DUMMYFUNCTION("""COMPUTED_VALUE"""),"MUJ")</f>
        <v>MUJ</v>
      </c>
      <c r="K382" s="80">
        <f ca="1">IFERROR(__xludf.DUMMYFUNCTION("""COMPUTED_VALUE"""),0)</f>
        <v>0</v>
      </c>
      <c r="L382" s="79" t="str">
        <f ca="1">IFERROR(__xludf.DUMMYFUNCTION("""COMPUTED_VALUE"""),"TRIMESTRE 2")</f>
        <v>TRIMESTRE 2</v>
      </c>
      <c r="M382" s="79" t="str">
        <f ca="1">IFERROR(__xludf.DUMMYFUNCTION("""COMPUTED_VALUE"""),"MUJERES ADULTAS")</f>
        <v>MUJERES ADULTAS</v>
      </c>
    </row>
    <row r="383" spans="1:13">
      <c r="A383" s="79" t="str">
        <f ca="1">IFERROR(__xludf.DUMMYFUNCTION("""COMPUTED_VALUE"""),"6.1.3.2")</f>
        <v>6.1.3.2</v>
      </c>
      <c r="B383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3" s="79" t="str">
        <f ca="1">IFERROR(__xludf.DUMMYFUNCTION("""COMPUTED_VALUE"""),"5. Inclusión")</f>
        <v>5. Inclusión</v>
      </c>
      <c r="D383" s="79" t="str">
        <f ca="1">IFERROR(__xludf.DUMMYFUNCTION("""COMPUTED_VALUE"""),"Guadalajara sin Barreras")</f>
        <v>Guadalajara sin Barreras</v>
      </c>
      <c r="E383" s="79" t="str">
        <f ca="1">IFERROR(__xludf.DUMMYFUNCTION("""COMPUTED_VALUE"""),"Cultura para la Inclusión")</f>
        <v>Cultura para la Inclusión</v>
      </c>
      <c r="F383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83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83" s="79" t="str">
        <f ca="1">IFERROR(__xludf.DUMMYFUNCTION("""COMPUTED_VALUE"""),"HOM Junio")</f>
        <v>HOM Junio</v>
      </c>
      <c r="I383" s="79" t="str">
        <f ca="1">IFERROR(__xludf.DUMMYFUNCTION("""COMPUTED_VALUE"""),"Junio")</f>
        <v>Junio</v>
      </c>
      <c r="J383" s="79" t="str">
        <f ca="1">IFERROR(__xludf.DUMMYFUNCTION("""COMPUTED_VALUE"""),"HOM")</f>
        <v>HOM</v>
      </c>
      <c r="K383" s="80">
        <f ca="1">IFERROR(__xludf.DUMMYFUNCTION("""COMPUTED_VALUE"""),0)</f>
        <v>0</v>
      </c>
      <c r="L383" s="79" t="str">
        <f ca="1">IFERROR(__xludf.DUMMYFUNCTION("""COMPUTED_VALUE"""),"TRIMESTRE 2")</f>
        <v>TRIMESTRE 2</v>
      </c>
      <c r="M383" s="79" t="str">
        <f ca="1">IFERROR(__xludf.DUMMYFUNCTION("""COMPUTED_VALUE"""),"HOMBRES ADULTOS")</f>
        <v>HOMBRES ADULTOS</v>
      </c>
    </row>
    <row r="384" spans="1:13">
      <c r="A384" s="79" t="str">
        <f ca="1">IFERROR(__xludf.DUMMYFUNCTION("""COMPUTED_VALUE"""),"6.1.3.2")</f>
        <v>6.1.3.2</v>
      </c>
      <c r="B384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4" s="79" t="str">
        <f ca="1">IFERROR(__xludf.DUMMYFUNCTION("""COMPUTED_VALUE"""),"5. Inclusión")</f>
        <v>5. Inclusión</v>
      </c>
      <c r="D384" s="79" t="str">
        <f ca="1">IFERROR(__xludf.DUMMYFUNCTION("""COMPUTED_VALUE"""),"Guadalajara sin Barreras")</f>
        <v>Guadalajara sin Barreras</v>
      </c>
      <c r="E384" s="79" t="str">
        <f ca="1">IFERROR(__xludf.DUMMYFUNCTION("""COMPUTED_VALUE"""),"Cultura para la Inclusión")</f>
        <v>Cultura para la Inclusión</v>
      </c>
      <c r="F384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84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84" s="79" t="str">
        <f ca="1">IFERROR(__xludf.DUMMYFUNCTION("""COMPUTED_VALUE"""),"AMM Junio")</f>
        <v>AMM Junio</v>
      </c>
      <c r="I384" s="79" t="str">
        <f ca="1">IFERROR(__xludf.DUMMYFUNCTION("""COMPUTED_VALUE"""),"Junio")</f>
        <v>Junio</v>
      </c>
      <c r="J384" s="79" t="str">
        <f ca="1">IFERROR(__xludf.DUMMYFUNCTION("""COMPUTED_VALUE"""),"AMM")</f>
        <v>AMM</v>
      </c>
      <c r="K384" s="80">
        <f ca="1">IFERROR(__xludf.DUMMYFUNCTION("""COMPUTED_VALUE"""),0)</f>
        <v>0</v>
      </c>
      <c r="L384" s="79" t="str">
        <f ca="1">IFERROR(__xludf.DUMMYFUNCTION("""COMPUTED_VALUE"""),"TRIMESTRE 2")</f>
        <v>TRIMESTRE 2</v>
      </c>
      <c r="M384" s="79" t="str">
        <f ca="1">IFERROR(__xludf.DUMMYFUNCTION("""COMPUTED_VALUE"""),"ADULTA MAYOR MUJER")</f>
        <v>ADULTA MAYOR MUJER</v>
      </c>
    </row>
    <row r="385" spans="1:26">
      <c r="A385" s="79" t="str">
        <f ca="1">IFERROR(__xludf.DUMMYFUNCTION("""COMPUTED_VALUE"""),"6.1.3.2")</f>
        <v>6.1.3.2</v>
      </c>
      <c r="B385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5" s="79" t="str">
        <f ca="1">IFERROR(__xludf.DUMMYFUNCTION("""COMPUTED_VALUE"""),"5. Inclusión")</f>
        <v>5. Inclusión</v>
      </c>
      <c r="D385" s="79" t="str">
        <f ca="1">IFERROR(__xludf.DUMMYFUNCTION("""COMPUTED_VALUE"""),"Guadalajara sin Barreras")</f>
        <v>Guadalajara sin Barreras</v>
      </c>
      <c r="E385" s="79" t="str">
        <f ca="1">IFERROR(__xludf.DUMMYFUNCTION("""COMPUTED_VALUE"""),"Cultura para la Inclusión")</f>
        <v>Cultura para la Inclusión</v>
      </c>
      <c r="F385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85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85" s="79" t="str">
        <f ca="1">IFERROR(__xludf.DUMMYFUNCTION("""COMPUTED_VALUE"""),"AMH Junio")</f>
        <v>AMH Junio</v>
      </c>
      <c r="I385" s="79" t="str">
        <f ca="1">IFERROR(__xludf.DUMMYFUNCTION("""COMPUTED_VALUE"""),"Junio")</f>
        <v>Junio</v>
      </c>
      <c r="J385" s="79" t="str">
        <f ca="1">IFERROR(__xludf.DUMMYFUNCTION("""COMPUTED_VALUE"""),"AMH")</f>
        <v>AMH</v>
      </c>
      <c r="K385" s="80">
        <f ca="1">IFERROR(__xludf.DUMMYFUNCTION("""COMPUTED_VALUE"""),0)</f>
        <v>0</v>
      </c>
      <c r="L385" s="79" t="str">
        <f ca="1">IFERROR(__xludf.DUMMYFUNCTION("""COMPUTED_VALUE"""),"TRIMESTRE 2")</f>
        <v>TRIMESTRE 2</v>
      </c>
      <c r="M385" s="79" t="str">
        <f ca="1">IFERROR(__xludf.DUMMYFUNCTION("""COMPUTED_VALUE"""),"ADULTO MAYOR HOMBRE")</f>
        <v>ADULTO MAYOR HOMBRE</v>
      </c>
    </row>
    <row r="386" spans="1:26">
      <c r="A386" s="81" t="str">
        <f ca="1">IFERROR(__xludf.DUMMYFUNCTION("""COMPUTED_VALUE"""),"6.1.3.1")</f>
        <v>6.1.3.1</v>
      </c>
      <c r="B386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6" s="81" t="str">
        <f ca="1">IFERROR(__xludf.DUMMYFUNCTION("""COMPUTED_VALUE"""),"5. Inclusión")</f>
        <v>5. Inclusión</v>
      </c>
      <c r="D386" s="81" t="str">
        <f ca="1">IFERROR(__xludf.DUMMYFUNCTION("""COMPUTED_VALUE"""),"Guadalajara sin Barreras")</f>
        <v>Guadalajara sin Barreras</v>
      </c>
      <c r="E386" s="81" t="str">
        <f ca="1">IFERROR(__xludf.DUMMYFUNCTION("""COMPUTED_VALUE"""),"Cultura para la Inclusión")</f>
        <v>Cultura para la Inclusión</v>
      </c>
      <c r="F386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86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86" s="81" t="str">
        <f ca="1">IFERROR(__xludf.DUMMYFUNCTION("""COMPUTED_VALUE"""),"NAS Julio")</f>
        <v>NAS Julio</v>
      </c>
      <c r="I386" s="81" t="str">
        <f ca="1">IFERROR(__xludf.DUMMYFUNCTION("""COMPUTED_VALUE"""),"Julio")</f>
        <v>Julio</v>
      </c>
      <c r="J386" s="81" t="str">
        <f ca="1">IFERROR(__xludf.DUMMYFUNCTION("""COMPUTED_VALUE"""),"NAS")</f>
        <v>NAS</v>
      </c>
      <c r="K386" s="80">
        <f ca="1">IFERROR(__xludf.DUMMYFUNCTION("""COMPUTED_VALUE"""),0)</f>
        <v>0</v>
      </c>
      <c r="L386" s="81" t="str">
        <f ca="1">IFERROR(__xludf.DUMMYFUNCTION("""COMPUTED_VALUE"""),"TRIMESTRE 3")</f>
        <v>TRIMESTRE 3</v>
      </c>
      <c r="M386" s="81" t="str">
        <f ca="1">IFERROR(__xludf.DUMMYFUNCTION("""COMPUTED_VALUE"""),"NIÑAS")</f>
        <v>NIÑAS</v>
      </c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</row>
    <row r="387" spans="1:26">
      <c r="A387" s="81" t="str">
        <f ca="1">IFERROR(__xludf.DUMMYFUNCTION("""COMPUTED_VALUE"""),"6.1.3.1")</f>
        <v>6.1.3.1</v>
      </c>
      <c r="B387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7" s="81" t="str">
        <f ca="1">IFERROR(__xludf.DUMMYFUNCTION("""COMPUTED_VALUE"""),"5. Inclusión")</f>
        <v>5. Inclusión</v>
      </c>
      <c r="D387" s="81" t="str">
        <f ca="1">IFERROR(__xludf.DUMMYFUNCTION("""COMPUTED_VALUE"""),"Guadalajara sin Barreras")</f>
        <v>Guadalajara sin Barreras</v>
      </c>
      <c r="E387" s="81" t="str">
        <f ca="1">IFERROR(__xludf.DUMMYFUNCTION("""COMPUTED_VALUE"""),"Cultura para la Inclusión")</f>
        <v>Cultura para la Inclusión</v>
      </c>
      <c r="F387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87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87" s="81" t="str">
        <f ca="1">IFERROR(__xludf.DUMMYFUNCTION("""COMPUTED_VALUE"""),"NOS Julio")</f>
        <v>NOS Julio</v>
      </c>
      <c r="I387" s="81" t="str">
        <f ca="1">IFERROR(__xludf.DUMMYFUNCTION("""COMPUTED_VALUE"""),"Julio")</f>
        <v>Julio</v>
      </c>
      <c r="J387" s="81" t="str">
        <f ca="1">IFERROR(__xludf.DUMMYFUNCTION("""COMPUTED_VALUE"""),"NOS")</f>
        <v>NOS</v>
      </c>
      <c r="K387" s="80">
        <f ca="1">IFERROR(__xludf.DUMMYFUNCTION("""COMPUTED_VALUE"""),0)</f>
        <v>0</v>
      </c>
      <c r="L387" s="81" t="str">
        <f ca="1">IFERROR(__xludf.DUMMYFUNCTION("""COMPUTED_VALUE"""),"TRIMESTRE 3")</f>
        <v>TRIMESTRE 3</v>
      </c>
      <c r="M387" s="81" t="str">
        <f ca="1">IFERROR(__xludf.DUMMYFUNCTION("""COMPUTED_VALUE"""),"NIÑOS")</f>
        <v>NIÑOS</v>
      </c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</row>
    <row r="388" spans="1:26">
      <c r="A388" s="81" t="str">
        <f ca="1">IFERROR(__xludf.DUMMYFUNCTION("""COMPUTED_VALUE"""),"6.1.3.1")</f>
        <v>6.1.3.1</v>
      </c>
      <c r="B388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8" s="81" t="str">
        <f ca="1">IFERROR(__xludf.DUMMYFUNCTION("""COMPUTED_VALUE"""),"5. Inclusión")</f>
        <v>5. Inclusión</v>
      </c>
      <c r="D388" s="81" t="str">
        <f ca="1">IFERROR(__xludf.DUMMYFUNCTION("""COMPUTED_VALUE"""),"Guadalajara sin Barreras")</f>
        <v>Guadalajara sin Barreras</v>
      </c>
      <c r="E388" s="81" t="str">
        <f ca="1">IFERROR(__xludf.DUMMYFUNCTION("""COMPUTED_VALUE"""),"Cultura para la Inclusión")</f>
        <v>Cultura para la Inclusión</v>
      </c>
      <c r="F388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88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88" s="81" t="str">
        <f ca="1">IFERROR(__xludf.DUMMYFUNCTION("""COMPUTED_VALUE"""),"AM JULIO")</f>
        <v>AM JULIO</v>
      </c>
      <c r="I388" s="81" t="str">
        <f ca="1">IFERROR(__xludf.DUMMYFUNCTION("""COMPUTED_VALUE"""),"Julio")</f>
        <v>Julio</v>
      </c>
      <c r="J388" s="81" t="str">
        <f ca="1">IFERROR(__xludf.DUMMYFUNCTION("""COMPUTED_VALUE"""),"AM")</f>
        <v>AM</v>
      </c>
      <c r="K388" s="80">
        <f ca="1">IFERROR(__xludf.DUMMYFUNCTION("""COMPUTED_VALUE"""),1)</f>
        <v>1</v>
      </c>
      <c r="L388" s="81" t="str">
        <f ca="1">IFERROR(__xludf.DUMMYFUNCTION("""COMPUTED_VALUE"""),"TRIMESTRE 3")</f>
        <v>TRIMESTRE 3</v>
      </c>
      <c r="M388" s="81" t="str">
        <f ca="1">IFERROR(__xludf.DUMMYFUNCTION("""COMPUTED_VALUE"""),"ADOLESCENTES MUJERES")</f>
        <v>ADOLESCENTES MUJERES</v>
      </c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</row>
    <row r="389" spans="1:26">
      <c r="A389" s="81" t="str">
        <f ca="1">IFERROR(__xludf.DUMMYFUNCTION("""COMPUTED_VALUE"""),"6.1.3.1")</f>
        <v>6.1.3.1</v>
      </c>
      <c r="B389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89" s="81" t="str">
        <f ca="1">IFERROR(__xludf.DUMMYFUNCTION("""COMPUTED_VALUE"""),"5. Inclusión")</f>
        <v>5. Inclusión</v>
      </c>
      <c r="D389" s="81" t="str">
        <f ca="1">IFERROR(__xludf.DUMMYFUNCTION("""COMPUTED_VALUE"""),"Guadalajara sin Barreras")</f>
        <v>Guadalajara sin Barreras</v>
      </c>
      <c r="E389" s="81" t="str">
        <f ca="1">IFERROR(__xludf.DUMMYFUNCTION("""COMPUTED_VALUE"""),"Cultura para la Inclusión")</f>
        <v>Cultura para la Inclusión</v>
      </c>
      <c r="F389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89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89" s="81" t="str">
        <f ca="1">IFERROR(__xludf.DUMMYFUNCTION("""COMPUTED_VALUE"""),"AH JULIO")</f>
        <v>AH JULIO</v>
      </c>
      <c r="I389" s="81" t="str">
        <f ca="1">IFERROR(__xludf.DUMMYFUNCTION("""COMPUTED_VALUE"""),"Julio")</f>
        <v>Julio</v>
      </c>
      <c r="J389" s="81" t="str">
        <f ca="1">IFERROR(__xludf.DUMMYFUNCTION("""COMPUTED_VALUE"""),"AH")</f>
        <v>AH</v>
      </c>
      <c r="K389" s="80">
        <f ca="1">IFERROR(__xludf.DUMMYFUNCTION("""COMPUTED_VALUE"""),0)</f>
        <v>0</v>
      </c>
      <c r="L389" s="81" t="str">
        <f ca="1">IFERROR(__xludf.DUMMYFUNCTION("""COMPUTED_VALUE"""),"TRIMESTRE 3")</f>
        <v>TRIMESTRE 3</v>
      </c>
      <c r="M389" s="81" t="str">
        <f ca="1">IFERROR(__xludf.DUMMYFUNCTION("""COMPUTED_VALUE"""),"ADOLESCENTES HOMBRES")</f>
        <v>ADOLESCENTES HOMBRES</v>
      </c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</row>
    <row r="390" spans="1:26">
      <c r="A390" s="81" t="str">
        <f ca="1">IFERROR(__xludf.DUMMYFUNCTION("""COMPUTED_VALUE"""),"6.1.3.1")</f>
        <v>6.1.3.1</v>
      </c>
      <c r="B390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0" s="81" t="str">
        <f ca="1">IFERROR(__xludf.DUMMYFUNCTION("""COMPUTED_VALUE"""),"5. Inclusión")</f>
        <v>5. Inclusión</v>
      </c>
      <c r="D390" s="81" t="str">
        <f ca="1">IFERROR(__xludf.DUMMYFUNCTION("""COMPUTED_VALUE"""),"Guadalajara sin Barreras")</f>
        <v>Guadalajara sin Barreras</v>
      </c>
      <c r="E390" s="81" t="str">
        <f ca="1">IFERROR(__xludf.DUMMYFUNCTION("""COMPUTED_VALUE"""),"Cultura para la Inclusión")</f>
        <v>Cultura para la Inclusión</v>
      </c>
      <c r="F390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90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90" s="81" t="str">
        <f ca="1">IFERROR(__xludf.DUMMYFUNCTION("""COMPUTED_VALUE"""),"MUJ Julio")</f>
        <v>MUJ Julio</v>
      </c>
      <c r="I390" s="81" t="str">
        <f ca="1">IFERROR(__xludf.DUMMYFUNCTION("""COMPUTED_VALUE"""),"Julio")</f>
        <v>Julio</v>
      </c>
      <c r="J390" s="81" t="str">
        <f ca="1">IFERROR(__xludf.DUMMYFUNCTION("""COMPUTED_VALUE"""),"MUJ")</f>
        <v>MUJ</v>
      </c>
      <c r="K390" s="80">
        <f ca="1">IFERROR(__xludf.DUMMYFUNCTION("""COMPUTED_VALUE"""),25)</f>
        <v>25</v>
      </c>
      <c r="L390" s="81" t="str">
        <f ca="1">IFERROR(__xludf.DUMMYFUNCTION("""COMPUTED_VALUE"""),"TRIMESTRE 3")</f>
        <v>TRIMESTRE 3</v>
      </c>
      <c r="M390" s="81" t="str">
        <f ca="1">IFERROR(__xludf.DUMMYFUNCTION("""COMPUTED_VALUE"""),"MUJERES ADULTAS")</f>
        <v>MUJERES ADULTAS</v>
      </c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</row>
    <row r="391" spans="1:26">
      <c r="A391" s="81" t="str">
        <f ca="1">IFERROR(__xludf.DUMMYFUNCTION("""COMPUTED_VALUE"""),"6.1.3.1")</f>
        <v>6.1.3.1</v>
      </c>
      <c r="B391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1" s="81" t="str">
        <f ca="1">IFERROR(__xludf.DUMMYFUNCTION("""COMPUTED_VALUE"""),"5. Inclusión")</f>
        <v>5. Inclusión</v>
      </c>
      <c r="D391" s="81" t="str">
        <f ca="1">IFERROR(__xludf.DUMMYFUNCTION("""COMPUTED_VALUE"""),"Guadalajara sin Barreras")</f>
        <v>Guadalajara sin Barreras</v>
      </c>
      <c r="E391" s="81" t="str">
        <f ca="1">IFERROR(__xludf.DUMMYFUNCTION("""COMPUTED_VALUE"""),"Cultura para la Inclusión")</f>
        <v>Cultura para la Inclusión</v>
      </c>
      <c r="F391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91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91" s="81" t="str">
        <f ca="1">IFERROR(__xludf.DUMMYFUNCTION("""COMPUTED_VALUE"""),"HOM Julio")</f>
        <v>HOM Julio</v>
      </c>
      <c r="I391" s="81" t="str">
        <f ca="1">IFERROR(__xludf.DUMMYFUNCTION("""COMPUTED_VALUE"""),"Julio")</f>
        <v>Julio</v>
      </c>
      <c r="J391" s="81" t="str">
        <f ca="1">IFERROR(__xludf.DUMMYFUNCTION("""COMPUTED_VALUE"""),"HOM")</f>
        <v>HOM</v>
      </c>
      <c r="K391" s="80">
        <f ca="1">IFERROR(__xludf.DUMMYFUNCTION("""COMPUTED_VALUE"""),14)</f>
        <v>14</v>
      </c>
      <c r="L391" s="81" t="str">
        <f ca="1">IFERROR(__xludf.DUMMYFUNCTION("""COMPUTED_VALUE"""),"TRIMESTRE 3")</f>
        <v>TRIMESTRE 3</v>
      </c>
      <c r="M391" s="81" t="str">
        <f ca="1">IFERROR(__xludf.DUMMYFUNCTION("""COMPUTED_VALUE"""),"HOMBRES ADULTOS")</f>
        <v>HOMBRES ADULTOS</v>
      </c>
      <c r="N391" s="81"/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</row>
    <row r="392" spans="1:26">
      <c r="A392" s="81" t="str">
        <f ca="1">IFERROR(__xludf.DUMMYFUNCTION("""COMPUTED_VALUE"""),"6.1.3.1")</f>
        <v>6.1.3.1</v>
      </c>
      <c r="B392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2" s="81" t="str">
        <f ca="1">IFERROR(__xludf.DUMMYFUNCTION("""COMPUTED_VALUE"""),"5. Inclusión")</f>
        <v>5. Inclusión</v>
      </c>
      <c r="D392" s="81" t="str">
        <f ca="1">IFERROR(__xludf.DUMMYFUNCTION("""COMPUTED_VALUE"""),"Guadalajara sin Barreras")</f>
        <v>Guadalajara sin Barreras</v>
      </c>
      <c r="E392" s="81" t="str">
        <f ca="1">IFERROR(__xludf.DUMMYFUNCTION("""COMPUTED_VALUE"""),"Cultura para la Inclusión")</f>
        <v>Cultura para la Inclusión</v>
      </c>
      <c r="F392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92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92" s="81" t="str">
        <f ca="1">IFERROR(__xludf.DUMMYFUNCTION("""COMPUTED_VALUE"""),"AMM Julio")</f>
        <v>AMM Julio</v>
      </c>
      <c r="I392" s="81" t="str">
        <f ca="1">IFERROR(__xludf.DUMMYFUNCTION("""COMPUTED_VALUE"""),"Julio")</f>
        <v>Julio</v>
      </c>
      <c r="J392" s="81" t="str">
        <f ca="1">IFERROR(__xludf.DUMMYFUNCTION("""COMPUTED_VALUE"""),"AMM")</f>
        <v>AMM</v>
      </c>
      <c r="K392" s="80">
        <f ca="1">IFERROR(__xludf.DUMMYFUNCTION("""COMPUTED_VALUE"""),0)</f>
        <v>0</v>
      </c>
      <c r="L392" s="81" t="str">
        <f ca="1">IFERROR(__xludf.DUMMYFUNCTION("""COMPUTED_VALUE"""),"TRIMESTRE 3")</f>
        <v>TRIMESTRE 3</v>
      </c>
      <c r="M392" s="81" t="str">
        <f ca="1">IFERROR(__xludf.DUMMYFUNCTION("""COMPUTED_VALUE"""),"ADULTA MAYOR MUJER")</f>
        <v>ADULTA MAYOR MUJER</v>
      </c>
      <c r="N392" s="81"/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</row>
    <row r="393" spans="1:26">
      <c r="A393" s="81" t="str">
        <f ca="1">IFERROR(__xludf.DUMMYFUNCTION("""COMPUTED_VALUE"""),"6.1.3.1")</f>
        <v>6.1.3.1</v>
      </c>
      <c r="B393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3" s="81" t="str">
        <f ca="1">IFERROR(__xludf.DUMMYFUNCTION("""COMPUTED_VALUE"""),"5. Inclusión")</f>
        <v>5. Inclusión</v>
      </c>
      <c r="D393" s="81" t="str">
        <f ca="1">IFERROR(__xludf.DUMMYFUNCTION("""COMPUTED_VALUE"""),"Guadalajara sin Barreras")</f>
        <v>Guadalajara sin Barreras</v>
      </c>
      <c r="E393" s="81" t="str">
        <f ca="1">IFERROR(__xludf.DUMMYFUNCTION("""COMPUTED_VALUE"""),"Cultura para la Inclusión")</f>
        <v>Cultura para la Inclusión</v>
      </c>
      <c r="F393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393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393" s="81" t="str">
        <f ca="1">IFERROR(__xludf.DUMMYFUNCTION("""COMPUTED_VALUE"""),"AMH Julio")</f>
        <v>AMH Julio</v>
      </c>
      <c r="I393" s="81" t="str">
        <f ca="1">IFERROR(__xludf.DUMMYFUNCTION("""COMPUTED_VALUE"""),"Julio")</f>
        <v>Julio</v>
      </c>
      <c r="J393" s="81" t="str">
        <f ca="1">IFERROR(__xludf.DUMMYFUNCTION("""COMPUTED_VALUE"""),"AMH")</f>
        <v>AMH</v>
      </c>
      <c r="K393" s="80">
        <f ca="1">IFERROR(__xludf.DUMMYFUNCTION("""COMPUTED_VALUE"""),0)</f>
        <v>0</v>
      </c>
      <c r="L393" s="81" t="str">
        <f ca="1">IFERROR(__xludf.DUMMYFUNCTION("""COMPUTED_VALUE"""),"TRIMESTRE 3")</f>
        <v>TRIMESTRE 3</v>
      </c>
      <c r="M393" s="81" t="str">
        <f ca="1">IFERROR(__xludf.DUMMYFUNCTION("""COMPUTED_VALUE"""),"ADULTO MAYOR HOMBRE")</f>
        <v>ADULTO MAYOR HOMBRE</v>
      </c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</row>
    <row r="394" spans="1:26">
      <c r="A394" s="79" t="str">
        <f ca="1">IFERROR(__xludf.DUMMYFUNCTION("""COMPUTED_VALUE"""),"6.1.3.2")</f>
        <v>6.1.3.2</v>
      </c>
      <c r="B394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4" s="79" t="str">
        <f ca="1">IFERROR(__xludf.DUMMYFUNCTION("""COMPUTED_VALUE"""),"5. Inclusión")</f>
        <v>5. Inclusión</v>
      </c>
      <c r="D394" s="79" t="str">
        <f ca="1">IFERROR(__xludf.DUMMYFUNCTION("""COMPUTED_VALUE"""),"Guadalajara sin Barreras")</f>
        <v>Guadalajara sin Barreras</v>
      </c>
      <c r="E394" s="79" t="str">
        <f ca="1">IFERROR(__xludf.DUMMYFUNCTION("""COMPUTED_VALUE"""),"Cultura para la Inclusión")</f>
        <v>Cultura para la Inclusión</v>
      </c>
      <c r="F394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94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94" s="79" t="str">
        <f ca="1">IFERROR(__xludf.DUMMYFUNCTION("""COMPUTED_VALUE"""),"NAS Julio")</f>
        <v>NAS Julio</v>
      </c>
      <c r="I394" s="79" t="str">
        <f ca="1">IFERROR(__xludf.DUMMYFUNCTION("""COMPUTED_VALUE"""),"Julio")</f>
        <v>Julio</v>
      </c>
      <c r="J394" s="79" t="str">
        <f ca="1">IFERROR(__xludf.DUMMYFUNCTION("""COMPUTED_VALUE"""),"NAS")</f>
        <v>NAS</v>
      </c>
      <c r="K394" s="80">
        <f ca="1">IFERROR(__xludf.DUMMYFUNCTION("""COMPUTED_VALUE"""),0)</f>
        <v>0</v>
      </c>
      <c r="L394" s="79" t="str">
        <f ca="1">IFERROR(__xludf.DUMMYFUNCTION("""COMPUTED_VALUE"""),"TRIMESTRE 3")</f>
        <v>TRIMESTRE 3</v>
      </c>
      <c r="M394" s="79" t="str">
        <f ca="1">IFERROR(__xludf.DUMMYFUNCTION("""COMPUTED_VALUE"""),"NIÑAS")</f>
        <v>NIÑAS</v>
      </c>
    </row>
    <row r="395" spans="1:26">
      <c r="A395" s="79" t="str">
        <f ca="1">IFERROR(__xludf.DUMMYFUNCTION("""COMPUTED_VALUE"""),"6.1.3.2")</f>
        <v>6.1.3.2</v>
      </c>
      <c r="B395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5" s="79" t="str">
        <f ca="1">IFERROR(__xludf.DUMMYFUNCTION("""COMPUTED_VALUE"""),"5. Inclusión")</f>
        <v>5. Inclusión</v>
      </c>
      <c r="D395" s="79" t="str">
        <f ca="1">IFERROR(__xludf.DUMMYFUNCTION("""COMPUTED_VALUE"""),"Guadalajara sin Barreras")</f>
        <v>Guadalajara sin Barreras</v>
      </c>
      <c r="E395" s="79" t="str">
        <f ca="1">IFERROR(__xludf.DUMMYFUNCTION("""COMPUTED_VALUE"""),"Cultura para la Inclusión")</f>
        <v>Cultura para la Inclusión</v>
      </c>
      <c r="F395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95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95" s="79" t="str">
        <f ca="1">IFERROR(__xludf.DUMMYFUNCTION("""COMPUTED_VALUE"""),"NOS Julio")</f>
        <v>NOS Julio</v>
      </c>
      <c r="I395" s="79" t="str">
        <f ca="1">IFERROR(__xludf.DUMMYFUNCTION("""COMPUTED_VALUE"""),"Julio")</f>
        <v>Julio</v>
      </c>
      <c r="J395" s="79" t="str">
        <f ca="1">IFERROR(__xludf.DUMMYFUNCTION("""COMPUTED_VALUE"""),"NOS")</f>
        <v>NOS</v>
      </c>
      <c r="K395" s="80">
        <f ca="1">IFERROR(__xludf.DUMMYFUNCTION("""COMPUTED_VALUE"""),0)</f>
        <v>0</v>
      </c>
      <c r="L395" s="79" t="str">
        <f ca="1">IFERROR(__xludf.DUMMYFUNCTION("""COMPUTED_VALUE"""),"TRIMESTRE 3")</f>
        <v>TRIMESTRE 3</v>
      </c>
      <c r="M395" s="79" t="str">
        <f ca="1">IFERROR(__xludf.DUMMYFUNCTION("""COMPUTED_VALUE"""),"NIÑOS")</f>
        <v>NIÑOS</v>
      </c>
    </row>
    <row r="396" spans="1:26">
      <c r="A396" s="79" t="str">
        <f ca="1">IFERROR(__xludf.DUMMYFUNCTION("""COMPUTED_VALUE"""),"6.1.3.2")</f>
        <v>6.1.3.2</v>
      </c>
      <c r="B396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6" s="79" t="str">
        <f ca="1">IFERROR(__xludf.DUMMYFUNCTION("""COMPUTED_VALUE"""),"5. Inclusión")</f>
        <v>5. Inclusión</v>
      </c>
      <c r="D396" s="79" t="str">
        <f ca="1">IFERROR(__xludf.DUMMYFUNCTION("""COMPUTED_VALUE"""),"Guadalajara sin Barreras")</f>
        <v>Guadalajara sin Barreras</v>
      </c>
      <c r="E396" s="79" t="str">
        <f ca="1">IFERROR(__xludf.DUMMYFUNCTION("""COMPUTED_VALUE"""),"Cultura para la Inclusión")</f>
        <v>Cultura para la Inclusión</v>
      </c>
      <c r="F396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96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96" s="79" t="str">
        <f ca="1">IFERROR(__xludf.DUMMYFUNCTION("""COMPUTED_VALUE"""),"AM JULIO")</f>
        <v>AM JULIO</v>
      </c>
      <c r="I396" s="79" t="str">
        <f ca="1">IFERROR(__xludf.DUMMYFUNCTION("""COMPUTED_VALUE"""),"Julio")</f>
        <v>Julio</v>
      </c>
      <c r="J396" s="79" t="str">
        <f ca="1">IFERROR(__xludf.DUMMYFUNCTION("""COMPUTED_VALUE"""),"AM")</f>
        <v>AM</v>
      </c>
      <c r="K396" s="80">
        <f ca="1">IFERROR(__xludf.DUMMYFUNCTION("""COMPUTED_VALUE"""),0)</f>
        <v>0</v>
      </c>
      <c r="L396" s="79" t="str">
        <f ca="1">IFERROR(__xludf.DUMMYFUNCTION("""COMPUTED_VALUE"""),"TRIMESTRE 3")</f>
        <v>TRIMESTRE 3</v>
      </c>
      <c r="M396" s="79" t="str">
        <f ca="1">IFERROR(__xludf.DUMMYFUNCTION("""COMPUTED_VALUE"""),"ADOLESCENTES MUJERES")</f>
        <v>ADOLESCENTES MUJERES</v>
      </c>
    </row>
    <row r="397" spans="1:26">
      <c r="A397" s="79" t="str">
        <f ca="1">IFERROR(__xludf.DUMMYFUNCTION("""COMPUTED_VALUE"""),"6.1.3.2")</f>
        <v>6.1.3.2</v>
      </c>
      <c r="B397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7" s="79" t="str">
        <f ca="1">IFERROR(__xludf.DUMMYFUNCTION("""COMPUTED_VALUE"""),"5. Inclusión")</f>
        <v>5. Inclusión</v>
      </c>
      <c r="D397" s="79" t="str">
        <f ca="1">IFERROR(__xludf.DUMMYFUNCTION("""COMPUTED_VALUE"""),"Guadalajara sin Barreras")</f>
        <v>Guadalajara sin Barreras</v>
      </c>
      <c r="E397" s="79" t="str">
        <f ca="1">IFERROR(__xludf.DUMMYFUNCTION("""COMPUTED_VALUE"""),"Cultura para la Inclusión")</f>
        <v>Cultura para la Inclusión</v>
      </c>
      <c r="F397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97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97" s="79" t="str">
        <f ca="1">IFERROR(__xludf.DUMMYFUNCTION("""COMPUTED_VALUE"""),"AH JULIO")</f>
        <v>AH JULIO</v>
      </c>
      <c r="I397" s="79" t="str">
        <f ca="1">IFERROR(__xludf.DUMMYFUNCTION("""COMPUTED_VALUE"""),"Julio")</f>
        <v>Julio</v>
      </c>
      <c r="J397" s="79" t="str">
        <f ca="1">IFERROR(__xludf.DUMMYFUNCTION("""COMPUTED_VALUE"""),"AH")</f>
        <v>AH</v>
      </c>
      <c r="K397" s="80">
        <f ca="1">IFERROR(__xludf.DUMMYFUNCTION("""COMPUTED_VALUE"""),0)</f>
        <v>0</v>
      </c>
      <c r="L397" s="79" t="str">
        <f ca="1">IFERROR(__xludf.DUMMYFUNCTION("""COMPUTED_VALUE"""),"TRIMESTRE 3")</f>
        <v>TRIMESTRE 3</v>
      </c>
      <c r="M397" s="79" t="str">
        <f ca="1">IFERROR(__xludf.DUMMYFUNCTION("""COMPUTED_VALUE"""),"ADOLESCENTES HOMBRES")</f>
        <v>ADOLESCENTES HOMBRES</v>
      </c>
    </row>
    <row r="398" spans="1:26">
      <c r="A398" s="79" t="str">
        <f ca="1">IFERROR(__xludf.DUMMYFUNCTION("""COMPUTED_VALUE"""),"6.1.3.2")</f>
        <v>6.1.3.2</v>
      </c>
      <c r="B398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8" s="79" t="str">
        <f ca="1">IFERROR(__xludf.DUMMYFUNCTION("""COMPUTED_VALUE"""),"5. Inclusión")</f>
        <v>5. Inclusión</v>
      </c>
      <c r="D398" s="79" t="str">
        <f ca="1">IFERROR(__xludf.DUMMYFUNCTION("""COMPUTED_VALUE"""),"Guadalajara sin Barreras")</f>
        <v>Guadalajara sin Barreras</v>
      </c>
      <c r="E398" s="79" t="str">
        <f ca="1">IFERROR(__xludf.DUMMYFUNCTION("""COMPUTED_VALUE"""),"Cultura para la Inclusión")</f>
        <v>Cultura para la Inclusión</v>
      </c>
      <c r="F398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98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98" s="79" t="str">
        <f ca="1">IFERROR(__xludf.DUMMYFUNCTION("""COMPUTED_VALUE"""),"MUJ Julio")</f>
        <v>MUJ Julio</v>
      </c>
      <c r="I398" s="79" t="str">
        <f ca="1">IFERROR(__xludf.DUMMYFUNCTION("""COMPUTED_VALUE"""),"Julio")</f>
        <v>Julio</v>
      </c>
      <c r="J398" s="79" t="str">
        <f ca="1">IFERROR(__xludf.DUMMYFUNCTION("""COMPUTED_VALUE"""),"MUJ")</f>
        <v>MUJ</v>
      </c>
      <c r="K398" s="80">
        <f ca="1">IFERROR(__xludf.DUMMYFUNCTION("""COMPUTED_VALUE"""),0)</f>
        <v>0</v>
      </c>
      <c r="L398" s="79" t="str">
        <f ca="1">IFERROR(__xludf.DUMMYFUNCTION("""COMPUTED_VALUE"""),"TRIMESTRE 3")</f>
        <v>TRIMESTRE 3</v>
      </c>
      <c r="M398" s="79" t="str">
        <f ca="1">IFERROR(__xludf.DUMMYFUNCTION("""COMPUTED_VALUE"""),"MUJERES ADULTAS")</f>
        <v>MUJERES ADULTAS</v>
      </c>
    </row>
    <row r="399" spans="1:26">
      <c r="A399" s="79" t="str">
        <f ca="1">IFERROR(__xludf.DUMMYFUNCTION("""COMPUTED_VALUE"""),"6.1.3.2")</f>
        <v>6.1.3.2</v>
      </c>
      <c r="B399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399" s="79" t="str">
        <f ca="1">IFERROR(__xludf.DUMMYFUNCTION("""COMPUTED_VALUE"""),"5. Inclusión")</f>
        <v>5. Inclusión</v>
      </c>
      <c r="D399" s="79" t="str">
        <f ca="1">IFERROR(__xludf.DUMMYFUNCTION("""COMPUTED_VALUE"""),"Guadalajara sin Barreras")</f>
        <v>Guadalajara sin Barreras</v>
      </c>
      <c r="E399" s="79" t="str">
        <f ca="1">IFERROR(__xludf.DUMMYFUNCTION("""COMPUTED_VALUE"""),"Cultura para la Inclusión")</f>
        <v>Cultura para la Inclusión</v>
      </c>
      <c r="F399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399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399" s="79" t="str">
        <f ca="1">IFERROR(__xludf.DUMMYFUNCTION("""COMPUTED_VALUE"""),"HOM Julio")</f>
        <v>HOM Julio</v>
      </c>
      <c r="I399" s="79" t="str">
        <f ca="1">IFERROR(__xludf.DUMMYFUNCTION("""COMPUTED_VALUE"""),"Julio")</f>
        <v>Julio</v>
      </c>
      <c r="J399" s="79" t="str">
        <f ca="1">IFERROR(__xludf.DUMMYFUNCTION("""COMPUTED_VALUE"""),"HOM")</f>
        <v>HOM</v>
      </c>
      <c r="K399" s="80">
        <f ca="1">IFERROR(__xludf.DUMMYFUNCTION("""COMPUTED_VALUE"""),0)</f>
        <v>0</v>
      </c>
      <c r="L399" s="79" t="str">
        <f ca="1">IFERROR(__xludf.DUMMYFUNCTION("""COMPUTED_VALUE"""),"TRIMESTRE 3")</f>
        <v>TRIMESTRE 3</v>
      </c>
      <c r="M399" s="79" t="str">
        <f ca="1">IFERROR(__xludf.DUMMYFUNCTION("""COMPUTED_VALUE"""),"HOMBRES ADULTOS")</f>
        <v>HOMBRES ADULTOS</v>
      </c>
    </row>
    <row r="400" spans="1:26">
      <c r="A400" s="79" t="str">
        <f ca="1">IFERROR(__xludf.DUMMYFUNCTION("""COMPUTED_VALUE"""),"6.1.3.2")</f>
        <v>6.1.3.2</v>
      </c>
      <c r="B400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0" s="79" t="str">
        <f ca="1">IFERROR(__xludf.DUMMYFUNCTION("""COMPUTED_VALUE"""),"5. Inclusión")</f>
        <v>5. Inclusión</v>
      </c>
      <c r="D400" s="79" t="str">
        <f ca="1">IFERROR(__xludf.DUMMYFUNCTION("""COMPUTED_VALUE"""),"Guadalajara sin Barreras")</f>
        <v>Guadalajara sin Barreras</v>
      </c>
      <c r="E400" s="79" t="str">
        <f ca="1">IFERROR(__xludf.DUMMYFUNCTION("""COMPUTED_VALUE"""),"Cultura para la Inclusión")</f>
        <v>Cultura para la Inclusión</v>
      </c>
      <c r="F400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00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00" s="79" t="str">
        <f ca="1">IFERROR(__xludf.DUMMYFUNCTION("""COMPUTED_VALUE"""),"AMM Julio")</f>
        <v>AMM Julio</v>
      </c>
      <c r="I400" s="79" t="str">
        <f ca="1">IFERROR(__xludf.DUMMYFUNCTION("""COMPUTED_VALUE"""),"Julio")</f>
        <v>Julio</v>
      </c>
      <c r="J400" s="79" t="str">
        <f ca="1">IFERROR(__xludf.DUMMYFUNCTION("""COMPUTED_VALUE"""),"AMM")</f>
        <v>AMM</v>
      </c>
      <c r="K400" s="80">
        <f ca="1">IFERROR(__xludf.DUMMYFUNCTION("""COMPUTED_VALUE"""),0)</f>
        <v>0</v>
      </c>
      <c r="L400" s="79" t="str">
        <f ca="1">IFERROR(__xludf.DUMMYFUNCTION("""COMPUTED_VALUE"""),"TRIMESTRE 3")</f>
        <v>TRIMESTRE 3</v>
      </c>
      <c r="M400" s="79" t="str">
        <f ca="1">IFERROR(__xludf.DUMMYFUNCTION("""COMPUTED_VALUE"""),"ADULTA MAYOR MUJER")</f>
        <v>ADULTA MAYOR MUJER</v>
      </c>
    </row>
    <row r="401" spans="1:13">
      <c r="A401" s="79" t="str">
        <f ca="1">IFERROR(__xludf.DUMMYFUNCTION("""COMPUTED_VALUE"""),"6.1.3.2")</f>
        <v>6.1.3.2</v>
      </c>
      <c r="B401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1" s="79" t="str">
        <f ca="1">IFERROR(__xludf.DUMMYFUNCTION("""COMPUTED_VALUE"""),"5. Inclusión")</f>
        <v>5. Inclusión</v>
      </c>
      <c r="D401" s="79" t="str">
        <f ca="1">IFERROR(__xludf.DUMMYFUNCTION("""COMPUTED_VALUE"""),"Guadalajara sin Barreras")</f>
        <v>Guadalajara sin Barreras</v>
      </c>
      <c r="E401" s="79" t="str">
        <f ca="1">IFERROR(__xludf.DUMMYFUNCTION("""COMPUTED_VALUE"""),"Cultura para la Inclusión")</f>
        <v>Cultura para la Inclusión</v>
      </c>
      <c r="F401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01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01" s="79" t="str">
        <f ca="1">IFERROR(__xludf.DUMMYFUNCTION("""COMPUTED_VALUE"""),"AMH Julio")</f>
        <v>AMH Julio</v>
      </c>
      <c r="I401" s="79" t="str">
        <f ca="1">IFERROR(__xludf.DUMMYFUNCTION("""COMPUTED_VALUE"""),"Julio")</f>
        <v>Julio</v>
      </c>
      <c r="J401" s="79" t="str">
        <f ca="1">IFERROR(__xludf.DUMMYFUNCTION("""COMPUTED_VALUE"""),"AMH")</f>
        <v>AMH</v>
      </c>
      <c r="K401" s="80">
        <f ca="1">IFERROR(__xludf.DUMMYFUNCTION("""COMPUTED_VALUE"""),0)</f>
        <v>0</v>
      </c>
      <c r="L401" s="79" t="str">
        <f ca="1">IFERROR(__xludf.DUMMYFUNCTION("""COMPUTED_VALUE"""),"TRIMESTRE 3")</f>
        <v>TRIMESTRE 3</v>
      </c>
      <c r="M401" s="79" t="str">
        <f ca="1">IFERROR(__xludf.DUMMYFUNCTION("""COMPUTED_VALUE"""),"ADULTO MAYOR HOMBRE")</f>
        <v>ADULTO MAYOR HOMBRE</v>
      </c>
    </row>
    <row r="402" spans="1:13">
      <c r="A402" s="79" t="str">
        <f ca="1">IFERROR(__xludf.DUMMYFUNCTION("""COMPUTED_VALUE"""),"6.1.3.1")</f>
        <v>6.1.3.1</v>
      </c>
      <c r="B402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2" s="79" t="str">
        <f ca="1">IFERROR(__xludf.DUMMYFUNCTION("""COMPUTED_VALUE"""),"5. Inclusión")</f>
        <v>5. Inclusión</v>
      </c>
      <c r="D402" s="79" t="str">
        <f ca="1">IFERROR(__xludf.DUMMYFUNCTION("""COMPUTED_VALUE"""),"Guadalajara sin Barreras")</f>
        <v>Guadalajara sin Barreras</v>
      </c>
      <c r="E402" s="79" t="str">
        <f ca="1">IFERROR(__xludf.DUMMYFUNCTION("""COMPUTED_VALUE"""),"Cultura para la Inclusión")</f>
        <v>Cultura para la Inclusión</v>
      </c>
      <c r="F402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2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2" s="79" t="str">
        <f ca="1">IFERROR(__xludf.DUMMYFUNCTION("""COMPUTED_VALUE"""),"NAS Agosto")</f>
        <v>NAS Agosto</v>
      </c>
      <c r="I402" s="79" t="str">
        <f ca="1">IFERROR(__xludf.DUMMYFUNCTION("""COMPUTED_VALUE"""),"Agosto")</f>
        <v>Agosto</v>
      </c>
      <c r="J402" s="79" t="str">
        <f ca="1">IFERROR(__xludf.DUMMYFUNCTION("""COMPUTED_VALUE"""),"NAS")</f>
        <v>NAS</v>
      </c>
      <c r="K402" s="80">
        <f ca="1">IFERROR(__xludf.DUMMYFUNCTION("""COMPUTED_VALUE"""),0)</f>
        <v>0</v>
      </c>
      <c r="L402" s="79" t="str">
        <f ca="1">IFERROR(__xludf.DUMMYFUNCTION("""COMPUTED_VALUE"""),"TRIMESTRE 3")</f>
        <v>TRIMESTRE 3</v>
      </c>
      <c r="M402" s="79" t="str">
        <f ca="1">IFERROR(__xludf.DUMMYFUNCTION("""COMPUTED_VALUE"""),"NIÑAS")</f>
        <v>NIÑAS</v>
      </c>
    </row>
    <row r="403" spans="1:13">
      <c r="A403" s="79" t="str">
        <f ca="1">IFERROR(__xludf.DUMMYFUNCTION("""COMPUTED_VALUE"""),"6.1.3.1")</f>
        <v>6.1.3.1</v>
      </c>
      <c r="B403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3" s="79" t="str">
        <f ca="1">IFERROR(__xludf.DUMMYFUNCTION("""COMPUTED_VALUE"""),"5. Inclusión")</f>
        <v>5. Inclusión</v>
      </c>
      <c r="D403" s="79" t="str">
        <f ca="1">IFERROR(__xludf.DUMMYFUNCTION("""COMPUTED_VALUE"""),"Guadalajara sin Barreras")</f>
        <v>Guadalajara sin Barreras</v>
      </c>
      <c r="E403" s="79" t="str">
        <f ca="1">IFERROR(__xludf.DUMMYFUNCTION("""COMPUTED_VALUE"""),"Cultura para la Inclusión")</f>
        <v>Cultura para la Inclusión</v>
      </c>
      <c r="F403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3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3" s="79" t="str">
        <f ca="1">IFERROR(__xludf.DUMMYFUNCTION("""COMPUTED_VALUE"""),"NOS Agosto")</f>
        <v>NOS Agosto</v>
      </c>
      <c r="I403" s="79" t="str">
        <f ca="1">IFERROR(__xludf.DUMMYFUNCTION("""COMPUTED_VALUE"""),"Agosto")</f>
        <v>Agosto</v>
      </c>
      <c r="J403" s="79" t="str">
        <f ca="1">IFERROR(__xludf.DUMMYFUNCTION("""COMPUTED_VALUE"""),"NOS")</f>
        <v>NOS</v>
      </c>
      <c r="K403" s="80">
        <f ca="1">IFERROR(__xludf.DUMMYFUNCTION("""COMPUTED_VALUE"""),0)</f>
        <v>0</v>
      </c>
      <c r="L403" s="79" t="str">
        <f ca="1">IFERROR(__xludf.DUMMYFUNCTION("""COMPUTED_VALUE"""),"TRIMESTRE 3")</f>
        <v>TRIMESTRE 3</v>
      </c>
      <c r="M403" s="79" t="str">
        <f ca="1">IFERROR(__xludf.DUMMYFUNCTION("""COMPUTED_VALUE"""),"NIÑOS")</f>
        <v>NIÑOS</v>
      </c>
    </row>
    <row r="404" spans="1:13">
      <c r="A404" s="79" t="str">
        <f ca="1">IFERROR(__xludf.DUMMYFUNCTION("""COMPUTED_VALUE"""),"6.1.3.1")</f>
        <v>6.1.3.1</v>
      </c>
      <c r="B404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4" s="79" t="str">
        <f ca="1">IFERROR(__xludf.DUMMYFUNCTION("""COMPUTED_VALUE"""),"5. Inclusión")</f>
        <v>5. Inclusión</v>
      </c>
      <c r="D404" s="79" t="str">
        <f ca="1">IFERROR(__xludf.DUMMYFUNCTION("""COMPUTED_VALUE"""),"Guadalajara sin Barreras")</f>
        <v>Guadalajara sin Barreras</v>
      </c>
      <c r="E404" s="79" t="str">
        <f ca="1">IFERROR(__xludf.DUMMYFUNCTION("""COMPUTED_VALUE"""),"Cultura para la Inclusión")</f>
        <v>Cultura para la Inclusión</v>
      </c>
      <c r="F404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4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4" s="79" t="str">
        <f ca="1">IFERROR(__xludf.DUMMYFUNCTION("""COMPUTED_VALUE"""),"AM AGOSTO")</f>
        <v>AM AGOSTO</v>
      </c>
      <c r="I404" s="79" t="str">
        <f ca="1">IFERROR(__xludf.DUMMYFUNCTION("""COMPUTED_VALUE"""),"Agosto")</f>
        <v>Agosto</v>
      </c>
      <c r="J404" s="79" t="str">
        <f ca="1">IFERROR(__xludf.DUMMYFUNCTION("""COMPUTED_VALUE"""),"AM")</f>
        <v>AM</v>
      </c>
      <c r="K404" s="80">
        <f ca="1">IFERROR(__xludf.DUMMYFUNCTION("""COMPUTED_VALUE"""),0)</f>
        <v>0</v>
      </c>
      <c r="L404" s="79" t="str">
        <f ca="1">IFERROR(__xludf.DUMMYFUNCTION("""COMPUTED_VALUE"""),"TRIMESTRE 3")</f>
        <v>TRIMESTRE 3</v>
      </c>
      <c r="M404" s="79" t="str">
        <f ca="1">IFERROR(__xludf.DUMMYFUNCTION("""COMPUTED_VALUE"""),"ADOLESCENTES MUJERES")</f>
        <v>ADOLESCENTES MUJERES</v>
      </c>
    </row>
    <row r="405" spans="1:13">
      <c r="A405" s="79" t="str">
        <f ca="1">IFERROR(__xludf.DUMMYFUNCTION("""COMPUTED_VALUE"""),"6.1.3.1")</f>
        <v>6.1.3.1</v>
      </c>
      <c r="B405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5" s="79" t="str">
        <f ca="1">IFERROR(__xludf.DUMMYFUNCTION("""COMPUTED_VALUE"""),"5. Inclusión")</f>
        <v>5. Inclusión</v>
      </c>
      <c r="D405" s="79" t="str">
        <f ca="1">IFERROR(__xludf.DUMMYFUNCTION("""COMPUTED_VALUE"""),"Guadalajara sin Barreras")</f>
        <v>Guadalajara sin Barreras</v>
      </c>
      <c r="E405" s="79" t="str">
        <f ca="1">IFERROR(__xludf.DUMMYFUNCTION("""COMPUTED_VALUE"""),"Cultura para la Inclusión")</f>
        <v>Cultura para la Inclusión</v>
      </c>
      <c r="F405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5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5" s="79" t="str">
        <f ca="1">IFERROR(__xludf.DUMMYFUNCTION("""COMPUTED_VALUE"""),"AH AGOSTO")</f>
        <v>AH AGOSTO</v>
      </c>
      <c r="I405" s="79" t="str">
        <f ca="1">IFERROR(__xludf.DUMMYFUNCTION("""COMPUTED_VALUE"""),"Agosto")</f>
        <v>Agosto</v>
      </c>
      <c r="J405" s="79" t="str">
        <f ca="1">IFERROR(__xludf.DUMMYFUNCTION("""COMPUTED_VALUE"""),"AH")</f>
        <v>AH</v>
      </c>
      <c r="K405" s="80">
        <f ca="1">IFERROR(__xludf.DUMMYFUNCTION("""COMPUTED_VALUE"""),0)</f>
        <v>0</v>
      </c>
      <c r="L405" s="79" t="str">
        <f ca="1">IFERROR(__xludf.DUMMYFUNCTION("""COMPUTED_VALUE"""),"TRIMESTRE 3")</f>
        <v>TRIMESTRE 3</v>
      </c>
      <c r="M405" s="79" t="str">
        <f ca="1">IFERROR(__xludf.DUMMYFUNCTION("""COMPUTED_VALUE"""),"ADOLESCENTES HOMBRES")</f>
        <v>ADOLESCENTES HOMBRES</v>
      </c>
    </row>
    <row r="406" spans="1:13">
      <c r="A406" s="79" t="str">
        <f ca="1">IFERROR(__xludf.DUMMYFUNCTION("""COMPUTED_VALUE"""),"6.1.3.1")</f>
        <v>6.1.3.1</v>
      </c>
      <c r="B406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6" s="79" t="str">
        <f ca="1">IFERROR(__xludf.DUMMYFUNCTION("""COMPUTED_VALUE"""),"5. Inclusión")</f>
        <v>5. Inclusión</v>
      </c>
      <c r="D406" s="79" t="str">
        <f ca="1">IFERROR(__xludf.DUMMYFUNCTION("""COMPUTED_VALUE"""),"Guadalajara sin Barreras")</f>
        <v>Guadalajara sin Barreras</v>
      </c>
      <c r="E406" s="79" t="str">
        <f ca="1">IFERROR(__xludf.DUMMYFUNCTION("""COMPUTED_VALUE"""),"Cultura para la Inclusión")</f>
        <v>Cultura para la Inclusión</v>
      </c>
      <c r="F406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6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6" s="79" t="str">
        <f ca="1">IFERROR(__xludf.DUMMYFUNCTION("""COMPUTED_VALUE"""),"MUJ Agosto")</f>
        <v>MUJ Agosto</v>
      </c>
      <c r="I406" s="79" t="str">
        <f ca="1">IFERROR(__xludf.DUMMYFUNCTION("""COMPUTED_VALUE"""),"Agosto")</f>
        <v>Agosto</v>
      </c>
      <c r="J406" s="79" t="str">
        <f ca="1">IFERROR(__xludf.DUMMYFUNCTION("""COMPUTED_VALUE"""),"MUJ")</f>
        <v>MUJ</v>
      </c>
      <c r="K406" s="80">
        <f ca="1">IFERROR(__xludf.DUMMYFUNCTION("""COMPUTED_VALUE"""),22)</f>
        <v>22</v>
      </c>
      <c r="L406" s="79" t="str">
        <f ca="1">IFERROR(__xludf.DUMMYFUNCTION("""COMPUTED_VALUE"""),"TRIMESTRE 3")</f>
        <v>TRIMESTRE 3</v>
      </c>
      <c r="M406" s="79" t="str">
        <f ca="1">IFERROR(__xludf.DUMMYFUNCTION("""COMPUTED_VALUE"""),"MUJERES ADULTAS")</f>
        <v>MUJERES ADULTAS</v>
      </c>
    </row>
    <row r="407" spans="1:13">
      <c r="A407" s="79" t="str">
        <f ca="1">IFERROR(__xludf.DUMMYFUNCTION("""COMPUTED_VALUE"""),"6.1.3.1")</f>
        <v>6.1.3.1</v>
      </c>
      <c r="B407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7" s="79" t="str">
        <f ca="1">IFERROR(__xludf.DUMMYFUNCTION("""COMPUTED_VALUE"""),"5. Inclusión")</f>
        <v>5. Inclusión</v>
      </c>
      <c r="D407" s="79" t="str">
        <f ca="1">IFERROR(__xludf.DUMMYFUNCTION("""COMPUTED_VALUE"""),"Guadalajara sin Barreras")</f>
        <v>Guadalajara sin Barreras</v>
      </c>
      <c r="E407" s="79" t="str">
        <f ca="1">IFERROR(__xludf.DUMMYFUNCTION("""COMPUTED_VALUE"""),"Cultura para la Inclusión")</f>
        <v>Cultura para la Inclusión</v>
      </c>
      <c r="F407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7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7" s="79" t="str">
        <f ca="1">IFERROR(__xludf.DUMMYFUNCTION("""COMPUTED_VALUE"""),"HOM Agosto")</f>
        <v>HOM Agosto</v>
      </c>
      <c r="I407" s="79" t="str">
        <f ca="1">IFERROR(__xludf.DUMMYFUNCTION("""COMPUTED_VALUE"""),"Agosto")</f>
        <v>Agosto</v>
      </c>
      <c r="J407" s="79" t="str">
        <f ca="1">IFERROR(__xludf.DUMMYFUNCTION("""COMPUTED_VALUE"""),"HOM")</f>
        <v>HOM</v>
      </c>
      <c r="K407" s="80">
        <f ca="1">IFERROR(__xludf.DUMMYFUNCTION("""COMPUTED_VALUE"""),12)</f>
        <v>12</v>
      </c>
      <c r="L407" s="79" t="str">
        <f ca="1">IFERROR(__xludf.DUMMYFUNCTION("""COMPUTED_VALUE"""),"TRIMESTRE 3")</f>
        <v>TRIMESTRE 3</v>
      </c>
      <c r="M407" s="79" t="str">
        <f ca="1">IFERROR(__xludf.DUMMYFUNCTION("""COMPUTED_VALUE"""),"HOMBRES ADULTOS")</f>
        <v>HOMBRES ADULTOS</v>
      </c>
    </row>
    <row r="408" spans="1:13">
      <c r="A408" s="79" t="str">
        <f ca="1">IFERROR(__xludf.DUMMYFUNCTION("""COMPUTED_VALUE"""),"6.1.3.1")</f>
        <v>6.1.3.1</v>
      </c>
      <c r="B408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8" s="79" t="str">
        <f ca="1">IFERROR(__xludf.DUMMYFUNCTION("""COMPUTED_VALUE"""),"5. Inclusión")</f>
        <v>5. Inclusión</v>
      </c>
      <c r="D408" s="79" t="str">
        <f ca="1">IFERROR(__xludf.DUMMYFUNCTION("""COMPUTED_VALUE"""),"Guadalajara sin Barreras")</f>
        <v>Guadalajara sin Barreras</v>
      </c>
      <c r="E408" s="79" t="str">
        <f ca="1">IFERROR(__xludf.DUMMYFUNCTION("""COMPUTED_VALUE"""),"Cultura para la Inclusión")</f>
        <v>Cultura para la Inclusión</v>
      </c>
      <c r="F408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8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8" s="79" t="str">
        <f ca="1">IFERROR(__xludf.DUMMYFUNCTION("""COMPUTED_VALUE"""),"AMM Agosto")</f>
        <v>AMM Agosto</v>
      </c>
      <c r="I408" s="79" t="str">
        <f ca="1">IFERROR(__xludf.DUMMYFUNCTION("""COMPUTED_VALUE"""),"Agosto")</f>
        <v>Agosto</v>
      </c>
      <c r="J408" s="79" t="str">
        <f ca="1">IFERROR(__xludf.DUMMYFUNCTION("""COMPUTED_VALUE"""),"AMM")</f>
        <v>AMM</v>
      </c>
      <c r="K408" s="80">
        <f ca="1">IFERROR(__xludf.DUMMYFUNCTION("""COMPUTED_VALUE"""),0)</f>
        <v>0</v>
      </c>
      <c r="L408" s="79" t="str">
        <f ca="1">IFERROR(__xludf.DUMMYFUNCTION("""COMPUTED_VALUE"""),"TRIMESTRE 3")</f>
        <v>TRIMESTRE 3</v>
      </c>
      <c r="M408" s="79" t="str">
        <f ca="1">IFERROR(__xludf.DUMMYFUNCTION("""COMPUTED_VALUE"""),"ADULTA MAYOR MUJER")</f>
        <v>ADULTA MAYOR MUJER</v>
      </c>
    </row>
    <row r="409" spans="1:13">
      <c r="A409" s="79" t="str">
        <f ca="1">IFERROR(__xludf.DUMMYFUNCTION("""COMPUTED_VALUE"""),"6.1.3.1")</f>
        <v>6.1.3.1</v>
      </c>
      <c r="B409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09" s="79" t="str">
        <f ca="1">IFERROR(__xludf.DUMMYFUNCTION("""COMPUTED_VALUE"""),"5. Inclusión")</f>
        <v>5. Inclusión</v>
      </c>
      <c r="D409" s="79" t="str">
        <f ca="1">IFERROR(__xludf.DUMMYFUNCTION("""COMPUTED_VALUE"""),"Guadalajara sin Barreras")</f>
        <v>Guadalajara sin Barreras</v>
      </c>
      <c r="E409" s="79" t="str">
        <f ca="1">IFERROR(__xludf.DUMMYFUNCTION("""COMPUTED_VALUE"""),"Cultura para la Inclusión")</f>
        <v>Cultura para la Inclusión</v>
      </c>
      <c r="F409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09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09" s="79" t="str">
        <f ca="1">IFERROR(__xludf.DUMMYFUNCTION("""COMPUTED_VALUE"""),"AMH Agosto")</f>
        <v>AMH Agosto</v>
      </c>
      <c r="I409" s="79" t="str">
        <f ca="1">IFERROR(__xludf.DUMMYFUNCTION("""COMPUTED_VALUE"""),"Agosto")</f>
        <v>Agosto</v>
      </c>
      <c r="J409" s="79" t="str">
        <f ca="1">IFERROR(__xludf.DUMMYFUNCTION("""COMPUTED_VALUE"""),"AMH")</f>
        <v>AMH</v>
      </c>
      <c r="K409" s="80">
        <f ca="1">IFERROR(__xludf.DUMMYFUNCTION("""COMPUTED_VALUE"""),0)</f>
        <v>0</v>
      </c>
      <c r="L409" s="79" t="str">
        <f ca="1">IFERROR(__xludf.DUMMYFUNCTION("""COMPUTED_VALUE"""),"TRIMESTRE 3")</f>
        <v>TRIMESTRE 3</v>
      </c>
      <c r="M409" s="79" t="str">
        <f ca="1">IFERROR(__xludf.DUMMYFUNCTION("""COMPUTED_VALUE"""),"ADULTO MAYOR HOMBRE")</f>
        <v>ADULTO MAYOR HOMBRE</v>
      </c>
    </row>
    <row r="410" spans="1:13">
      <c r="A410" s="79" t="str">
        <f ca="1">IFERROR(__xludf.DUMMYFUNCTION("""COMPUTED_VALUE"""),"6.1.3.2")</f>
        <v>6.1.3.2</v>
      </c>
      <c r="B410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0" s="79" t="str">
        <f ca="1">IFERROR(__xludf.DUMMYFUNCTION("""COMPUTED_VALUE"""),"5. Inclusión")</f>
        <v>5. Inclusión</v>
      </c>
      <c r="D410" s="79" t="str">
        <f ca="1">IFERROR(__xludf.DUMMYFUNCTION("""COMPUTED_VALUE"""),"Guadalajara sin Barreras")</f>
        <v>Guadalajara sin Barreras</v>
      </c>
      <c r="E410" s="79" t="str">
        <f ca="1">IFERROR(__xludf.DUMMYFUNCTION("""COMPUTED_VALUE"""),"Cultura para la Inclusión")</f>
        <v>Cultura para la Inclusión</v>
      </c>
      <c r="F410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0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0" s="79" t="str">
        <f ca="1">IFERROR(__xludf.DUMMYFUNCTION("""COMPUTED_VALUE"""),"NAS Agosto")</f>
        <v>NAS Agosto</v>
      </c>
      <c r="I410" s="79" t="str">
        <f ca="1">IFERROR(__xludf.DUMMYFUNCTION("""COMPUTED_VALUE"""),"Agosto")</f>
        <v>Agosto</v>
      </c>
      <c r="J410" s="79" t="str">
        <f ca="1">IFERROR(__xludf.DUMMYFUNCTION("""COMPUTED_VALUE"""),"NAS")</f>
        <v>NAS</v>
      </c>
      <c r="K410" s="80">
        <f ca="1">IFERROR(__xludf.DUMMYFUNCTION("""COMPUTED_VALUE"""),0)</f>
        <v>0</v>
      </c>
      <c r="L410" s="79" t="str">
        <f ca="1">IFERROR(__xludf.DUMMYFUNCTION("""COMPUTED_VALUE"""),"TRIMESTRE 3")</f>
        <v>TRIMESTRE 3</v>
      </c>
      <c r="M410" s="79" t="str">
        <f ca="1">IFERROR(__xludf.DUMMYFUNCTION("""COMPUTED_VALUE"""),"NIÑAS")</f>
        <v>NIÑAS</v>
      </c>
    </row>
    <row r="411" spans="1:13">
      <c r="A411" s="79" t="str">
        <f ca="1">IFERROR(__xludf.DUMMYFUNCTION("""COMPUTED_VALUE"""),"6.1.3.2")</f>
        <v>6.1.3.2</v>
      </c>
      <c r="B411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1" s="79" t="str">
        <f ca="1">IFERROR(__xludf.DUMMYFUNCTION("""COMPUTED_VALUE"""),"5. Inclusión")</f>
        <v>5. Inclusión</v>
      </c>
      <c r="D411" s="79" t="str">
        <f ca="1">IFERROR(__xludf.DUMMYFUNCTION("""COMPUTED_VALUE"""),"Guadalajara sin Barreras")</f>
        <v>Guadalajara sin Barreras</v>
      </c>
      <c r="E411" s="79" t="str">
        <f ca="1">IFERROR(__xludf.DUMMYFUNCTION("""COMPUTED_VALUE"""),"Cultura para la Inclusión")</f>
        <v>Cultura para la Inclusión</v>
      </c>
      <c r="F411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1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1" s="79" t="str">
        <f ca="1">IFERROR(__xludf.DUMMYFUNCTION("""COMPUTED_VALUE"""),"NOS Agosto")</f>
        <v>NOS Agosto</v>
      </c>
      <c r="I411" s="79" t="str">
        <f ca="1">IFERROR(__xludf.DUMMYFUNCTION("""COMPUTED_VALUE"""),"Agosto")</f>
        <v>Agosto</v>
      </c>
      <c r="J411" s="79" t="str">
        <f ca="1">IFERROR(__xludf.DUMMYFUNCTION("""COMPUTED_VALUE"""),"NOS")</f>
        <v>NOS</v>
      </c>
      <c r="K411" s="80">
        <f ca="1">IFERROR(__xludf.DUMMYFUNCTION("""COMPUTED_VALUE"""),0)</f>
        <v>0</v>
      </c>
      <c r="L411" s="79" t="str">
        <f ca="1">IFERROR(__xludf.DUMMYFUNCTION("""COMPUTED_VALUE"""),"TRIMESTRE 3")</f>
        <v>TRIMESTRE 3</v>
      </c>
      <c r="M411" s="79" t="str">
        <f ca="1">IFERROR(__xludf.DUMMYFUNCTION("""COMPUTED_VALUE"""),"NIÑOS")</f>
        <v>NIÑOS</v>
      </c>
    </row>
    <row r="412" spans="1:13">
      <c r="A412" s="79" t="str">
        <f ca="1">IFERROR(__xludf.DUMMYFUNCTION("""COMPUTED_VALUE"""),"6.1.3.2")</f>
        <v>6.1.3.2</v>
      </c>
      <c r="B412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2" s="79" t="str">
        <f ca="1">IFERROR(__xludf.DUMMYFUNCTION("""COMPUTED_VALUE"""),"5. Inclusión")</f>
        <v>5. Inclusión</v>
      </c>
      <c r="D412" s="79" t="str">
        <f ca="1">IFERROR(__xludf.DUMMYFUNCTION("""COMPUTED_VALUE"""),"Guadalajara sin Barreras")</f>
        <v>Guadalajara sin Barreras</v>
      </c>
      <c r="E412" s="79" t="str">
        <f ca="1">IFERROR(__xludf.DUMMYFUNCTION("""COMPUTED_VALUE"""),"Cultura para la Inclusión")</f>
        <v>Cultura para la Inclusión</v>
      </c>
      <c r="F412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2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2" s="79" t="str">
        <f ca="1">IFERROR(__xludf.DUMMYFUNCTION("""COMPUTED_VALUE"""),"AM AGOSTO")</f>
        <v>AM AGOSTO</v>
      </c>
      <c r="I412" s="79" t="str">
        <f ca="1">IFERROR(__xludf.DUMMYFUNCTION("""COMPUTED_VALUE"""),"Agosto")</f>
        <v>Agosto</v>
      </c>
      <c r="J412" s="79" t="str">
        <f ca="1">IFERROR(__xludf.DUMMYFUNCTION("""COMPUTED_VALUE"""),"AM")</f>
        <v>AM</v>
      </c>
      <c r="K412" s="80">
        <f ca="1">IFERROR(__xludf.DUMMYFUNCTION("""COMPUTED_VALUE"""),0)</f>
        <v>0</v>
      </c>
      <c r="L412" s="79" t="str">
        <f ca="1">IFERROR(__xludf.DUMMYFUNCTION("""COMPUTED_VALUE"""),"TRIMESTRE 3")</f>
        <v>TRIMESTRE 3</v>
      </c>
      <c r="M412" s="79" t="str">
        <f ca="1">IFERROR(__xludf.DUMMYFUNCTION("""COMPUTED_VALUE"""),"ADOLESCENTES MUJERES")</f>
        <v>ADOLESCENTES MUJERES</v>
      </c>
    </row>
    <row r="413" spans="1:13">
      <c r="A413" s="79" t="str">
        <f ca="1">IFERROR(__xludf.DUMMYFUNCTION("""COMPUTED_VALUE"""),"6.1.3.2")</f>
        <v>6.1.3.2</v>
      </c>
      <c r="B413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3" s="79" t="str">
        <f ca="1">IFERROR(__xludf.DUMMYFUNCTION("""COMPUTED_VALUE"""),"5. Inclusión")</f>
        <v>5. Inclusión</v>
      </c>
      <c r="D413" s="79" t="str">
        <f ca="1">IFERROR(__xludf.DUMMYFUNCTION("""COMPUTED_VALUE"""),"Guadalajara sin Barreras")</f>
        <v>Guadalajara sin Barreras</v>
      </c>
      <c r="E413" s="79" t="str">
        <f ca="1">IFERROR(__xludf.DUMMYFUNCTION("""COMPUTED_VALUE"""),"Cultura para la Inclusión")</f>
        <v>Cultura para la Inclusión</v>
      </c>
      <c r="F413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3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3" s="79" t="str">
        <f ca="1">IFERROR(__xludf.DUMMYFUNCTION("""COMPUTED_VALUE"""),"AH AGOSTO")</f>
        <v>AH AGOSTO</v>
      </c>
      <c r="I413" s="79" t="str">
        <f ca="1">IFERROR(__xludf.DUMMYFUNCTION("""COMPUTED_VALUE"""),"Agosto")</f>
        <v>Agosto</v>
      </c>
      <c r="J413" s="79" t="str">
        <f ca="1">IFERROR(__xludf.DUMMYFUNCTION("""COMPUTED_VALUE"""),"AH")</f>
        <v>AH</v>
      </c>
      <c r="K413" s="80">
        <f ca="1">IFERROR(__xludf.DUMMYFUNCTION("""COMPUTED_VALUE"""),0)</f>
        <v>0</v>
      </c>
      <c r="L413" s="79" t="str">
        <f ca="1">IFERROR(__xludf.DUMMYFUNCTION("""COMPUTED_VALUE"""),"TRIMESTRE 3")</f>
        <v>TRIMESTRE 3</v>
      </c>
      <c r="M413" s="79" t="str">
        <f ca="1">IFERROR(__xludf.DUMMYFUNCTION("""COMPUTED_VALUE"""),"ADOLESCENTES HOMBRES")</f>
        <v>ADOLESCENTES HOMBRES</v>
      </c>
    </row>
    <row r="414" spans="1:13">
      <c r="A414" s="79" t="str">
        <f ca="1">IFERROR(__xludf.DUMMYFUNCTION("""COMPUTED_VALUE"""),"6.1.3.2")</f>
        <v>6.1.3.2</v>
      </c>
      <c r="B414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4" s="79" t="str">
        <f ca="1">IFERROR(__xludf.DUMMYFUNCTION("""COMPUTED_VALUE"""),"5. Inclusión")</f>
        <v>5. Inclusión</v>
      </c>
      <c r="D414" s="79" t="str">
        <f ca="1">IFERROR(__xludf.DUMMYFUNCTION("""COMPUTED_VALUE"""),"Guadalajara sin Barreras")</f>
        <v>Guadalajara sin Barreras</v>
      </c>
      <c r="E414" s="79" t="str">
        <f ca="1">IFERROR(__xludf.DUMMYFUNCTION("""COMPUTED_VALUE"""),"Cultura para la Inclusión")</f>
        <v>Cultura para la Inclusión</v>
      </c>
      <c r="F414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4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4" s="79" t="str">
        <f ca="1">IFERROR(__xludf.DUMMYFUNCTION("""COMPUTED_VALUE"""),"MUJ Agosto")</f>
        <v>MUJ Agosto</v>
      </c>
      <c r="I414" s="79" t="str">
        <f ca="1">IFERROR(__xludf.DUMMYFUNCTION("""COMPUTED_VALUE"""),"Agosto")</f>
        <v>Agosto</v>
      </c>
      <c r="J414" s="79" t="str">
        <f ca="1">IFERROR(__xludf.DUMMYFUNCTION("""COMPUTED_VALUE"""),"MUJ")</f>
        <v>MUJ</v>
      </c>
      <c r="K414" s="80">
        <f ca="1">IFERROR(__xludf.DUMMYFUNCTION("""COMPUTED_VALUE"""),0)</f>
        <v>0</v>
      </c>
      <c r="L414" s="79" t="str">
        <f ca="1">IFERROR(__xludf.DUMMYFUNCTION("""COMPUTED_VALUE"""),"TRIMESTRE 3")</f>
        <v>TRIMESTRE 3</v>
      </c>
      <c r="M414" s="79" t="str">
        <f ca="1">IFERROR(__xludf.DUMMYFUNCTION("""COMPUTED_VALUE"""),"MUJERES ADULTAS")</f>
        <v>MUJERES ADULTAS</v>
      </c>
    </row>
    <row r="415" spans="1:13">
      <c r="A415" s="79" t="str">
        <f ca="1">IFERROR(__xludf.DUMMYFUNCTION("""COMPUTED_VALUE"""),"6.1.3.2")</f>
        <v>6.1.3.2</v>
      </c>
      <c r="B415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5" s="79" t="str">
        <f ca="1">IFERROR(__xludf.DUMMYFUNCTION("""COMPUTED_VALUE"""),"5. Inclusión")</f>
        <v>5. Inclusión</v>
      </c>
      <c r="D415" s="79" t="str">
        <f ca="1">IFERROR(__xludf.DUMMYFUNCTION("""COMPUTED_VALUE"""),"Guadalajara sin Barreras")</f>
        <v>Guadalajara sin Barreras</v>
      </c>
      <c r="E415" s="79" t="str">
        <f ca="1">IFERROR(__xludf.DUMMYFUNCTION("""COMPUTED_VALUE"""),"Cultura para la Inclusión")</f>
        <v>Cultura para la Inclusión</v>
      </c>
      <c r="F415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5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5" s="79" t="str">
        <f ca="1">IFERROR(__xludf.DUMMYFUNCTION("""COMPUTED_VALUE"""),"HOM Agosto")</f>
        <v>HOM Agosto</v>
      </c>
      <c r="I415" s="79" t="str">
        <f ca="1">IFERROR(__xludf.DUMMYFUNCTION("""COMPUTED_VALUE"""),"Agosto")</f>
        <v>Agosto</v>
      </c>
      <c r="J415" s="79" t="str">
        <f ca="1">IFERROR(__xludf.DUMMYFUNCTION("""COMPUTED_VALUE"""),"HOM")</f>
        <v>HOM</v>
      </c>
      <c r="K415" s="80">
        <f ca="1">IFERROR(__xludf.DUMMYFUNCTION("""COMPUTED_VALUE"""),0)</f>
        <v>0</v>
      </c>
      <c r="L415" s="79" t="str">
        <f ca="1">IFERROR(__xludf.DUMMYFUNCTION("""COMPUTED_VALUE"""),"TRIMESTRE 3")</f>
        <v>TRIMESTRE 3</v>
      </c>
      <c r="M415" s="79" t="str">
        <f ca="1">IFERROR(__xludf.DUMMYFUNCTION("""COMPUTED_VALUE"""),"HOMBRES ADULTOS")</f>
        <v>HOMBRES ADULTOS</v>
      </c>
    </row>
    <row r="416" spans="1:13">
      <c r="A416" s="79" t="str">
        <f ca="1">IFERROR(__xludf.DUMMYFUNCTION("""COMPUTED_VALUE"""),"6.1.3.2")</f>
        <v>6.1.3.2</v>
      </c>
      <c r="B416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6" s="79" t="str">
        <f ca="1">IFERROR(__xludf.DUMMYFUNCTION("""COMPUTED_VALUE"""),"5. Inclusión")</f>
        <v>5. Inclusión</v>
      </c>
      <c r="D416" s="79" t="str">
        <f ca="1">IFERROR(__xludf.DUMMYFUNCTION("""COMPUTED_VALUE"""),"Guadalajara sin Barreras")</f>
        <v>Guadalajara sin Barreras</v>
      </c>
      <c r="E416" s="79" t="str">
        <f ca="1">IFERROR(__xludf.DUMMYFUNCTION("""COMPUTED_VALUE"""),"Cultura para la Inclusión")</f>
        <v>Cultura para la Inclusión</v>
      </c>
      <c r="F416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6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6" s="79" t="str">
        <f ca="1">IFERROR(__xludf.DUMMYFUNCTION("""COMPUTED_VALUE"""),"AMM Agosto")</f>
        <v>AMM Agosto</v>
      </c>
      <c r="I416" s="79" t="str">
        <f ca="1">IFERROR(__xludf.DUMMYFUNCTION("""COMPUTED_VALUE"""),"Agosto")</f>
        <v>Agosto</v>
      </c>
      <c r="J416" s="79" t="str">
        <f ca="1">IFERROR(__xludf.DUMMYFUNCTION("""COMPUTED_VALUE"""),"AMM")</f>
        <v>AMM</v>
      </c>
      <c r="K416" s="80">
        <f ca="1">IFERROR(__xludf.DUMMYFUNCTION("""COMPUTED_VALUE"""),0)</f>
        <v>0</v>
      </c>
      <c r="L416" s="79" t="str">
        <f ca="1">IFERROR(__xludf.DUMMYFUNCTION("""COMPUTED_VALUE"""),"TRIMESTRE 3")</f>
        <v>TRIMESTRE 3</v>
      </c>
      <c r="M416" s="79" t="str">
        <f ca="1">IFERROR(__xludf.DUMMYFUNCTION("""COMPUTED_VALUE"""),"ADULTA MAYOR MUJER")</f>
        <v>ADULTA MAYOR MUJER</v>
      </c>
    </row>
    <row r="417" spans="1:26">
      <c r="A417" s="79" t="str">
        <f ca="1">IFERROR(__xludf.DUMMYFUNCTION("""COMPUTED_VALUE"""),"6.1.3.2")</f>
        <v>6.1.3.2</v>
      </c>
      <c r="B417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7" s="79" t="str">
        <f ca="1">IFERROR(__xludf.DUMMYFUNCTION("""COMPUTED_VALUE"""),"5. Inclusión")</f>
        <v>5. Inclusión</v>
      </c>
      <c r="D417" s="79" t="str">
        <f ca="1">IFERROR(__xludf.DUMMYFUNCTION("""COMPUTED_VALUE"""),"Guadalajara sin Barreras")</f>
        <v>Guadalajara sin Barreras</v>
      </c>
      <c r="E417" s="79" t="str">
        <f ca="1">IFERROR(__xludf.DUMMYFUNCTION("""COMPUTED_VALUE"""),"Cultura para la Inclusión")</f>
        <v>Cultura para la Inclusión</v>
      </c>
      <c r="F417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17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17" s="79" t="str">
        <f ca="1">IFERROR(__xludf.DUMMYFUNCTION("""COMPUTED_VALUE"""),"AMH Agosto")</f>
        <v>AMH Agosto</v>
      </c>
      <c r="I417" s="79" t="str">
        <f ca="1">IFERROR(__xludf.DUMMYFUNCTION("""COMPUTED_VALUE"""),"Agosto")</f>
        <v>Agosto</v>
      </c>
      <c r="J417" s="79" t="str">
        <f ca="1">IFERROR(__xludf.DUMMYFUNCTION("""COMPUTED_VALUE"""),"AMH")</f>
        <v>AMH</v>
      </c>
      <c r="K417" s="80">
        <f ca="1">IFERROR(__xludf.DUMMYFUNCTION("""COMPUTED_VALUE"""),0)</f>
        <v>0</v>
      </c>
      <c r="L417" s="79" t="str">
        <f ca="1">IFERROR(__xludf.DUMMYFUNCTION("""COMPUTED_VALUE"""),"TRIMESTRE 3")</f>
        <v>TRIMESTRE 3</v>
      </c>
      <c r="M417" s="79" t="str">
        <f ca="1">IFERROR(__xludf.DUMMYFUNCTION("""COMPUTED_VALUE"""),"ADULTO MAYOR HOMBRE")</f>
        <v>ADULTO MAYOR HOMBRE</v>
      </c>
    </row>
    <row r="418" spans="1:26">
      <c r="A418" s="81" t="str">
        <f ca="1">IFERROR(__xludf.DUMMYFUNCTION("""COMPUTED_VALUE"""),"6.1.3.1")</f>
        <v>6.1.3.1</v>
      </c>
      <c r="B418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8" s="81" t="str">
        <f ca="1">IFERROR(__xludf.DUMMYFUNCTION("""COMPUTED_VALUE"""),"5. Inclusión")</f>
        <v>5. Inclusión</v>
      </c>
      <c r="D418" s="81" t="str">
        <f ca="1">IFERROR(__xludf.DUMMYFUNCTION("""COMPUTED_VALUE"""),"Guadalajara sin Barreras")</f>
        <v>Guadalajara sin Barreras</v>
      </c>
      <c r="E418" s="81" t="str">
        <f ca="1">IFERROR(__xludf.DUMMYFUNCTION("""COMPUTED_VALUE"""),"Cultura para la Inclusión")</f>
        <v>Cultura para la Inclusión</v>
      </c>
      <c r="F418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18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18" s="81" t="str">
        <f ca="1">IFERROR(__xludf.DUMMYFUNCTION("""COMPUTED_VALUE"""),"NAS Septiembre")</f>
        <v>NAS Septiembre</v>
      </c>
      <c r="I418" s="81" t="str">
        <f ca="1">IFERROR(__xludf.DUMMYFUNCTION("""COMPUTED_VALUE"""),"Septiembre")</f>
        <v>Septiembre</v>
      </c>
      <c r="J418" s="81" t="str">
        <f ca="1">IFERROR(__xludf.DUMMYFUNCTION("""COMPUTED_VALUE"""),"NAS")</f>
        <v>NAS</v>
      </c>
      <c r="K418" s="80">
        <f ca="1">IFERROR(__xludf.DUMMYFUNCTION("""COMPUTED_VALUE"""),0)</f>
        <v>0</v>
      </c>
      <c r="L418" s="81" t="str">
        <f ca="1">IFERROR(__xludf.DUMMYFUNCTION("""COMPUTED_VALUE"""),"TRIMESTRE 3")</f>
        <v>TRIMESTRE 3</v>
      </c>
      <c r="M418" s="81" t="str">
        <f ca="1">IFERROR(__xludf.DUMMYFUNCTION("""COMPUTED_VALUE"""),"NIÑAS")</f>
        <v>NIÑAS</v>
      </c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</row>
    <row r="419" spans="1:26">
      <c r="A419" s="81" t="str">
        <f ca="1">IFERROR(__xludf.DUMMYFUNCTION("""COMPUTED_VALUE"""),"6.1.3.1")</f>
        <v>6.1.3.1</v>
      </c>
      <c r="B419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19" s="81" t="str">
        <f ca="1">IFERROR(__xludf.DUMMYFUNCTION("""COMPUTED_VALUE"""),"5. Inclusión")</f>
        <v>5. Inclusión</v>
      </c>
      <c r="D419" s="81" t="str">
        <f ca="1">IFERROR(__xludf.DUMMYFUNCTION("""COMPUTED_VALUE"""),"Guadalajara sin Barreras")</f>
        <v>Guadalajara sin Barreras</v>
      </c>
      <c r="E419" s="81" t="str">
        <f ca="1">IFERROR(__xludf.DUMMYFUNCTION("""COMPUTED_VALUE"""),"Cultura para la Inclusión")</f>
        <v>Cultura para la Inclusión</v>
      </c>
      <c r="F419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19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19" s="81" t="str">
        <f ca="1">IFERROR(__xludf.DUMMYFUNCTION("""COMPUTED_VALUE"""),"NOS Septiembre")</f>
        <v>NOS Septiembre</v>
      </c>
      <c r="I419" s="81" t="str">
        <f ca="1">IFERROR(__xludf.DUMMYFUNCTION("""COMPUTED_VALUE"""),"Septiembre")</f>
        <v>Septiembre</v>
      </c>
      <c r="J419" s="81" t="str">
        <f ca="1">IFERROR(__xludf.DUMMYFUNCTION("""COMPUTED_VALUE"""),"NOS")</f>
        <v>NOS</v>
      </c>
      <c r="K419" s="80">
        <f ca="1">IFERROR(__xludf.DUMMYFUNCTION("""COMPUTED_VALUE"""),0)</f>
        <v>0</v>
      </c>
      <c r="L419" s="81" t="str">
        <f ca="1">IFERROR(__xludf.DUMMYFUNCTION("""COMPUTED_VALUE"""),"TRIMESTRE 3")</f>
        <v>TRIMESTRE 3</v>
      </c>
      <c r="M419" s="81" t="str">
        <f ca="1">IFERROR(__xludf.DUMMYFUNCTION("""COMPUTED_VALUE"""),"NIÑOS")</f>
        <v>NIÑOS</v>
      </c>
      <c r="N419" s="81"/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</row>
    <row r="420" spans="1:26">
      <c r="A420" s="81" t="str">
        <f ca="1">IFERROR(__xludf.DUMMYFUNCTION("""COMPUTED_VALUE"""),"6.1.3.1")</f>
        <v>6.1.3.1</v>
      </c>
      <c r="B420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0" s="81" t="str">
        <f ca="1">IFERROR(__xludf.DUMMYFUNCTION("""COMPUTED_VALUE"""),"5. Inclusión")</f>
        <v>5. Inclusión</v>
      </c>
      <c r="D420" s="81" t="str">
        <f ca="1">IFERROR(__xludf.DUMMYFUNCTION("""COMPUTED_VALUE"""),"Guadalajara sin Barreras")</f>
        <v>Guadalajara sin Barreras</v>
      </c>
      <c r="E420" s="81" t="str">
        <f ca="1">IFERROR(__xludf.DUMMYFUNCTION("""COMPUTED_VALUE"""),"Cultura para la Inclusión")</f>
        <v>Cultura para la Inclusión</v>
      </c>
      <c r="F420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20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20" s="81" t="str">
        <f ca="1">IFERROR(__xludf.DUMMYFUNCTION("""COMPUTED_VALUE"""),"AM SEPTIEMBRE")</f>
        <v>AM SEPTIEMBRE</v>
      </c>
      <c r="I420" s="81" t="str">
        <f ca="1">IFERROR(__xludf.DUMMYFUNCTION("""COMPUTED_VALUE"""),"Septiembre")</f>
        <v>Septiembre</v>
      </c>
      <c r="J420" s="81" t="str">
        <f ca="1">IFERROR(__xludf.DUMMYFUNCTION("""COMPUTED_VALUE"""),"AM")</f>
        <v>AM</v>
      </c>
      <c r="K420" s="80">
        <f ca="1">IFERROR(__xludf.DUMMYFUNCTION("""COMPUTED_VALUE"""),0)</f>
        <v>0</v>
      </c>
      <c r="L420" s="81" t="str">
        <f ca="1">IFERROR(__xludf.DUMMYFUNCTION("""COMPUTED_VALUE"""),"TRIMESTRE 3")</f>
        <v>TRIMESTRE 3</v>
      </c>
      <c r="M420" s="81" t="str">
        <f ca="1">IFERROR(__xludf.DUMMYFUNCTION("""COMPUTED_VALUE"""),"ADOLESCENTES MUJERES")</f>
        <v>ADOLESCENTES MUJERES</v>
      </c>
      <c r="N420" s="81"/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</row>
    <row r="421" spans="1:26">
      <c r="A421" s="81" t="str">
        <f ca="1">IFERROR(__xludf.DUMMYFUNCTION("""COMPUTED_VALUE"""),"6.1.3.1")</f>
        <v>6.1.3.1</v>
      </c>
      <c r="B421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1" s="81" t="str">
        <f ca="1">IFERROR(__xludf.DUMMYFUNCTION("""COMPUTED_VALUE"""),"5. Inclusión")</f>
        <v>5. Inclusión</v>
      </c>
      <c r="D421" s="81" t="str">
        <f ca="1">IFERROR(__xludf.DUMMYFUNCTION("""COMPUTED_VALUE"""),"Guadalajara sin Barreras")</f>
        <v>Guadalajara sin Barreras</v>
      </c>
      <c r="E421" s="81" t="str">
        <f ca="1">IFERROR(__xludf.DUMMYFUNCTION("""COMPUTED_VALUE"""),"Cultura para la Inclusión")</f>
        <v>Cultura para la Inclusión</v>
      </c>
      <c r="F421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21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21" s="81" t="str">
        <f ca="1">IFERROR(__xludf.DUMMYFUNCTION("""COMPUTED_VALUE"""),"AH SEPTIEMBRE")</f>
        <v>AH SEPTIEMBRE</v>
      </c>
      <c r="I421" s="81" t="str">
        <f ca="1">IFERROR(__xludf.DUMMYFUNCTION("""COMPUTED_VALUE"""),"Septiembre")</f>
        <v>Septiembre</v>
      </c>
      <c r="J421" s="81" t="str">
        <f ca="1">IFERROR(__xludf.DUMMYFUNCTION("""COMPUTED_VALUE"""),"AH")</f>
        <v>AH</v>
      </c>
      <c r="K421" s="80">
        <f ca="1">IFERROR(__xludf.DUMMYFUNCTION("""COMPUTED_VALUE"""),0)</f>
        <v>0</v>
      </c>
      <c r="L421" s="81" t="str">
        <f ca="1">IFERROR(__xludf.DUMMYFUNCTION("""COMPUTED_VALUE"""),"TRIMESTRE 3")</f>
        <v>TRIMESTRE 3</v>
      </c>
      <c r="M421" s="81" t="str">
        <f ca="1">IFERROR(__xludf.DUMMYFUNCTION("""COMPUTED_VALUE"""),"ADOLESCENTES HOMBRES")</f>
        <v>ADOLESCENTES HOMBRES</v>
      </c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  <c r="Z421" s="81"/>
    </row>
    <row r="422" spans="1:26">
      <c r="A422" s="81" t="str">
        <f ca="1">IFERROR(__xludf.DUMMYFUNCTION("""COMPUTED_VALUE"""),"6.1.3.1")</f>
        <v>6.1.3.1</v>
      </c>
      <c r="B422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2" s="81" t="str">
        <f ca="1">IFERROR(__xludf.DUMMYFUNCTION("""COMPUTED_VALUE"""),"5. Inclusión")</f>
        <v>5. Inclusión</v>
      </c>
      <c r="D422" s="81" t="str">
        <f ca="1">IFERROR(__xludf.DUMMYFUNCTION("""COMPUTED_VALUE"""),"Guadalajara sin Barreras")</f>
        <v>Guadalajara sin Barreras</v>
      </c>
      <c r="E422" s="81" t="str">
        <f ca="1">IFERROR(__xludf.DUMMYFUNCTION("""COMPUTED_VALUE"""),"Cultura para la Inclusión")</f>
        <v>Cultura para la Inclusión</v>
      </c>
      <c r="F422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22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22" s="81" t="str">
        <f ca="1">IFERROR(__xludf.DUMMYFUNCTION("""COMPUTED_VALUE"""),"MUJ Septiembre")</f>
        <v>MUJ Septiembre</v>
      </c>
      <c r="I422" s="81" t="str">
        <f ca="1">IFERROR(__xludf.DUMMYFUNCTION("""COMPUTED_VALUE"""),"Septiembre")</f>
        <v>Septiembre</v>
      </c>
      <c r="J422" s="81" t="str">
        <f ca="1">IFERROR(__xludf.DUMMYFUNCTION("""COMPUTED_VALUE"""),"MUJ")</f>
        <v>MUJ</v>
      </c>
      <c r="K422" s="80">
        <f ca="1">IFERROR(__xludf.DUMMYFUNCTION("""COMPUTED_VALUE"""),32)</f>
        <v>32</v>
      </c>
      <c r="L422" s="81" t="str">
        <f ca="1">IFERROR(__xludf.DUMMYFUNCTION("""COMPUTED_VALUE"""),"TRIMESTRE 3")</f>
        <v>TRIMESTRE 3</v>
      </c>
      <c r="M422" s="81" t="str">
        <f ca="1">IFERROR(__xludf.DUMMYFUNCTION("""COMPUTED_VALUE"""),"MUJERES ADULTAS")</f>
        <v>MUJERES ADULTAS</v>
      </c>
      <c r="N422" s="81"/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</row>
    <row r="423" spans="1:26">
      <c r="A423" s="81" t="str">
        <f ca="1">IFERROR(__xludf.DUMMYFUNCTION("""COMPUTED_VALUE"""),"6.1.3.1")</f>
        <v>6.1.3.1</v>
      </c>
      <c r="B423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3" s="81" t="str">
        <f ca="1">IFERROR(__xludf.DUMMYFUNCTION("""COMPUTED_VALUE"""),"5. Inclusión")</f>
        <v>5. Inclusión</v>
      </c>
      <c r="D423" s="81" t="str">
        <f ca="1">IFERROR(__xludf.DUMMYFUNCTION("""COMPUTED_VALUE"""),"Guadalajara sin Barreras")</f>
        <v>Guadalajara sin Barreras</v>
      </c>
      <c r="E423" s="81" t="str">
        <f ca="1">IFERROR(__xludf.DUMMYFUNCTION("""COMPUTED_VALUE"""),"Cultura para la Inclusión")</f>
        <v>Cultura para la Inclusión</v>
      </c>
      <c r="F423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23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23" s="81" t="str">
        <f ca="1">IFERROR(__xludf.DUMMYFUNCTION("""COMPUTED_VALUE"""),"HOM Septiembre")</f>
        <v>HOM Septiembre</v>
      </c>
      <c r="I423" s="81" t="str">
        <f ca="1">IFERROR(__xludf.DUMMYFUNCTION("""COMPUTED_VALUE"""),"Septiembre")</f>
        <v>Septiembre</v>
      </c>
      <c r="J423" s="81" t="str">
        <f ca="1">IFERROR(__xludf.DUMMYFUNCTION("""COMPUTED_VALUE"""),"HOM")</f>
        <v>HOM</v>
      </c>
      <c r="K423" s="80">
        <f ca="1">IFERROR(__xludf.DUMMYFUNCTION("""COMPUTED_VALUE"""),21)</f>
        <v>21</v>
      </c>
      <c r="L423" s="81" t="str">
        <f ca="1">IFERROR(__xludf.DUMMYFUNCTION("""COMPUTED_VALUE"""),"TRIMESTRE 3")</f>
        <v>TRIMESTRE 3</v>
      </c>
      <c r="M423" s="81" t="str">
        <f ca="1">IFERROR(__xludf.DUMMYFUNCTION("""COMPUTED_VALUE"""),"HOMBRES ADULTOS")</f>
        <v>HOMBRES ADULTOS</v>
      </c>
      <c r="N423" s="81"/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</row>
    <row r="424" spans="1:26">
      <c r="A424" s="81" t="str">
        <f ca="1">IFERROR(__xludf.DUMMYFUNCTION("""COMPUTED_VALUE"""),"6.1.3.1")</f>
        <v>6.1.3.1</v>
      </c>
      <c r="B424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4" s="81" t="str">
        <f ca="1">IFERROR(__xludf.DUMMYFUNCTION("""COMPUTED_VALUE"""),"5. Inclusión")</f>
        <v>5. Inclusión</v>
      </c>
      <c r="D424" s="81" t="str">
        <f ca="1">IFERROR(__xludf.DUMMYFUNCTION("""COMPUTED_VALUE"""),"Guadalajara sin Barreras")</f>
        <v>Guadalajara sin Barreras</v>
      </c>
      <c r="E424" s="81" t="str">
        <f ca="1">IFERROR(__xludf.DUMMYFUNCTION("""COMPUTED_VALUE"""),"Cultura para la Inclusión")</f>
        <v>Cultura para la Inclusión</v>
      </c>
      <c r="F424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24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24" s="81" t="str">
        <f ca="1">IFERROR(__xludf.DUMMYFUNCTION("""COMPUTED_VALUE"""),"AMM Septiembre")</f>
        <v>AMM Septiembre</v>
      </c>
      <c r="I424" s="81" t="str">
        <f ca="1">IFERROR(__xludf.DUMMYFUNCTION("""COMPUTED_VALUE"""),"Septiembre")</f>
        <v>Septiembre</v>
      </c>
      <c r="J424" s="81" t="str">
        <f ca="1">IFERROR(__xludf.DUMMYFUNCTION("""COMPUTED_VALUE"""),"AMM")</f>
        <v>AMM</v>
      </c>
      <c r="K424" s="80">
        <f ca="1">IFERROR(__xludf.DUMMYFUNCTION("""COMPUTED_VALUE"""),0)</f>
        <v>0</v>
      </c>
      <c r="L424" s="81" t="str">
        <f ca="1">IFERROR(__xludf.DUMMYFUNCTION("""COMPUTED_VALUE"""),"TRIMESTRE 3")</f>
        <v>TRIMESTRE 3</v>
      </c>
      <c r="M424" s="81" t="str">
        <f ca="1">IFERROR(__xludf.DUMMYFUNCTION("""COMPUTED_VALUE"""),"ADULTA MAYOR MUJER")</f>
        <v>ADULTA MAYOR MUJER</v>
      </c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</row>
    <row r="425" spans="1:26">
      <c r="A425" s="81" t="str">
        <f ca="1">IFERROR(__xludf.DUMMYFUNCTION("""COMPUTED_VALUE"""),"6.1.3.1")</f>
        <v>6.1.3.1</v>
      </c>
      <c r="B425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5" s="81" t="str">
        <f ca="1">IFERROR(__xludf.DUMMYFUNCTION("""COMPUTED_VALUE"""),"5. Inclusión")</f>
        <v>5. Inclusión</v>
      </c>
      <c r="D425" s="81" t="str">
        <f ca="1">IFERROR(__xludf.DUMMYFUNCTION("""COMPUTED_VALUE"""),"Guadalajara sin Barreras")</f>
        <v>Guadalajara sin Barreras</v>
      </c>
      <c r="E425" s="81" t="str">
        <f ca="1">IFERROR(__xludf.DUMMYFUNCTION("""COMPUTED_VALUE"""),"Cultura para la Inclusión")</f>
        <v>Cultura para la Inclusión</v>
      </c>
      <c r="F425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25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25" s="81" t="str">
        <f ca="1">IFERROR(__xludf.DUMMYFUNCTION("""COMPUTED_VALUE"""),"AMH Septiembre")</f>
        <v>AMH Septiembre</v>
      </c>
      <c r="I425" s="81" t="str">
        <f ca="1">IFERROR(__xludf.DUMMYFUNCTION("""COMPUTED_VALUE"""),"Septiembre")</f>
        <v>Septiembre</v>
      </c>
      <c r="J425" s="81" t="str">
        <f ca="1">IFERROR(__xludf.DUMMYFUNCTION("""COMPUTED_VALUE"""),"AMH")</f>
        <v>AMH</v>
      </c>
      <c r="K425" s="80">
        <f ca="1">IFERROR(__xludf.DUMMYFUNCTION("""COMPUTED_VALUE"""),0)</f>
        <v>0</v>
      </c>
      <c r="L425" s="81" t="str">
        <f ca="1">IFERROR(__xludf.DUMMYFUNCTION("""COMPUTED_VALUE"""),"TRIMESTRE 3")</f>
        <v>TRIMESTRE 3</v>
      </c>
      <c r="M425" s="81" t="str">
        <f ca="1">IFERROR(__xludf.DUMMYFUNCTION("""COMPUTED_VALUE"""),"ADULTO MAYOR HOMBRE")</f>
        <v>ADULTO MAYOR HOMBRE</v>
      </c>
      <c r="N425" s="81"/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</row>
    <row r="426" spans="1:26">
      <c r="A426" s="79" t="str">
        <f ca="1">IFERROR(__xludf.DUMMYFUNCTION("""COMPUTED_VALUE"""),"6.1.3.2")</f>
        <v>6.1.3.2</v>
      </c>
      <c r="B426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6" s="79" t="str">
        <f ca="1">IFERROR(__xludf.DUMMYFUNCTION("""COMPUTED_VALUE"""),"5. Inclusión")</f>
        <v>5. Inclusión</v>
      </c>
      <c r="D426" s="79" t="str">
        <f ca="1">IFERROR(__xludf.DUMMYFUNCTION("""COMPUTED_VALUE"""),"Guadalajara sin Barreras")</f>
        <v>Guadalajara sin Barreras</v>
      </c>
      <c r="E426" s="79" t="str">
        <f ca="1">IFERROR(__xludf.DUMMYFUNCTION("""COMPUTED_VALUE"""),"Cultura para la Inclusión")</f>
        <v>Cultura para la Inclusión</v>
      </c>
      <c r="F426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26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26" s="79" t="str">
        <f ca="1">IFERROR(__xludf.DUMMYFUNCTION("""COMPUTED_VALUE"""),"NAS Septiembre")</f>
        <v>NAS Septiembre</v>
      </c>
      <c r="I426" s="79" t="str">
        <f ca="1">IFERROR(__xludf.DUMMYFUNCTION("""COMPUTED_VALUE"""),"Septiembre")</f>
        <v>Septiembre</v>
      </c>
      <c r="J426" s="79" t="str">
        <f ca="1">IFERROR(__xludf.DUMMYFUNCTION("""COMPUTED_VALUE"""),"NAS")</f>
        <v>NAS</v>
      </c>
      <c r="K426" s="80">
        <f ca="1">IFERROR(__xludf.DUMMYFUNCTION("""COMPUTED_VALUE"""),0)</f>
        <v>0</v>
      </c>
      <c r="L426" s="79" t="str">
        <f ca="1">IFERROR(__xludf.DUMMYFUNCTION("""COMPUTED_VALUE"""),"TRIMESTRE 3")</f>
        <v>TRIMESTRE 3</v>
      </c>
      <c r="M426" s="79" t="str">
        <f ca="1">IFERROR(__xludf.DUMMYFUNCTION("""COMPUTED_VALUE"""),"NIÑAS")</f>
        <v>NIÑAS</v>
      </c>
    </row>
    <row r="427" spans="1:26">
      <c r="A427" s="79" t="str">
        <f ca="1">IFERROR(__xludf.DUMMYFUNCTION("""COMPUTED_VALUE"""),"6.1.3.2")</f>
        <v>6.1.3.2</v>
      </c>
      <c r="B427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7" s="79" t="str">
        <f ca="1">IFERROR(__xludf.DUMMYFUNCTION("""COMPUTED_VALUE"""),"5. Inclusión")</f>
        <v>5. Inclusión</v>
      </c>
      <c r="D427" s="79" t="str">
        <f ca="1">IFERROR(__xludf.DUMMYFUNCTION("""COMPUTED_VALUE"""),"Guadalajara sin Barreras")</f>
        <v>Guadalajara sin Barreras</v>
      </c>
      <c r="E427" s="79" t="str">
        <f ca="1">IFERROR(__xludf.DUMMYFUNCTION("""COMPUTED_VALUE"""),"Cultura para la Inclusión")</f>
        <v>Cultura para la Inclusión</v>
      </c>
      <c r="F427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27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27" s="79" t="str">
        <f ca="1">IFERROR(__xludf.DUMMYFUNCTION("""COMPUTED_VALUE"""),"NOS Septiembre")</f>
        <v>NOS Septiembre</v>
      </c>
      <c r="I427" s="79" t="str">
        <f ca="1">IFERROR(__xludf.DUMMYFUNCTION("""COMPUTED_VALUE"""),"Septiembre")</f>
        <v>Septiembre</v>
      </c>
      <c r="J427" s="79" t="str">
        <f ca="1">IFERROR(__xludf.DUMMYFUNCTION("""COMPUTED_VALUE"""),"NOS")</f>
        <v>NOS</v>
      </c>
      <c r="K427" s="80">
        <f ca="1">IFERROR(__xludf.DUMMYFUNCTION("""COMPUTED_VALUE"""),0)</f>
        <v>0</v>
      </c>
      <c r="L427" s="79" t="str">
        <f ca="1">IFERROR(__xludf.DUMMYFUNCTION("""COMPUTED_VALUE"""),"TRIMESTRE 3")</f>
        <v>TRIMESTRE 3</v>
      </c>
      <c r="M427" s="79" t="str">
        <f ca="1">IFERROR(__xludf.DUMMYFUNCTION("""COMPUTED_VALUE"""),"NIÑOS")</f>
        <v>NIÑOS</v>
      </c>
    </row>
    <row r="428" spans="1:26">
      <c r="A428" s="79" t="str">
        <f ca="1">IFERROR(__xludf.DUMMYFUNCTION("""COMPUTED_VALUE"""),"6.1.3.2")</f>
        <v>6.1.3.2</v>
      </c>
      <c r="B428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8" s="79" t="str">
        <f ca="1">IFERROR(__xludf.DUMMYFUNCTION("""COMPUTED_VALUE"""),"5. Inclusión")</f>
        <v>5. Inclusión</v>
      </c>
      <c r="D428" s="79" t="str">
        <f ca="1">IFERROR(__xludf.DUMMYFUNCTION("""COMPUTED_VALUE"""),"Guadalajara sin Barreras")</f>
        <v>Guadalajara sin Barreras</v>
      </c>
      <c r="E428" s="79" t="str">
        <f ca="1">IFERROR(__xludf.DUMMYFUNCTION("""COMPUTED_VALUE"""),"Cultura para la Inclusión")</f>
        <v>Cultura para la Inclusión</v>
      </c>
      <c r="F428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28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28" s="79" t="str">
        <f ca="1">IFERROR(__xludf.DUMMYFUNCTION("""COMPUTED_VALUE"""),"AM SEPTIEMBRE")</f>
        <v>AM SEPTIEMBRE</v>
      </c>
      <c r="I428" s="79" t="str">
        <f ca="1">IFERROR(__xludf.DUMMYFUNCTION("""COMPUTED_VALUE"""),"Septiembre")</f>
        <v>Septiembre</v>
      </c>
      <c r="J428" s="79" t="str">
        <f ca="1">IFERROR(__xludf.DUMMYFUNCTION("""COMPUTED_VALUE"""),"AM")</f>
        <v>AM</v>
      </c>
      <c r="K428" s="80">
        <f ca="1">IFERROR(__xludf.DUMMYFUNCTION("""COMPUTED_VALUE"""),0)</f>
        <v>0</v>
      </c>
      <c r="L428" s="79" t="str">
        <f ca="1">IFERROR(__xludf.DUMMYFUNCTION("""COMPUTED_VALUE"""),"TRIMESTRE 3")</f>
        <v>TRIMESTRE 3</v>
      </c>
      <c r="M428" s="79" t="str">
        <f ca="1">IFERROR(__xludf.DUMMYFUNCTION("""COMPUTED_VALUE"""),"ADOLESCENTES MUJERES")</f>
        <v>ADOLESCENTES MUJERES</v>
      </c>
    </row>
    <row r="429" spans="1:26">
      <c r="A429" s="79" t="str">
        <f ca="1">IFERROR(__xludf.DUMMYFUNCTION("""COMPUTED_VALUE"""),"6.1.3.2")</f>
        <v>6.1.3.2</v>
      </c>
      <c r="B429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29" s="79" t="str">
        <f ca="1">IFERROR(__xludf.DUMMYFUNCTION("""COMPUTED_VALUE"""),"5. Inclusión")</f>
        <v>5. Inclusión</v>
      </c>
      <c r="D429" s="79" t="str">
        <f ca="1">IFERROR(__xludf.DUMMYFUNCTION("""COMPUTED_VALUE"""),"Guadalajara sin Barreras")</f>
        <v>Guadalajara sin Barreras</v>
      </c>
      <c r="E429" s="79" t="str">
        <f ca="1">IFERROR(__xludf.DUMMYFUNCTION("""COMPUTED_VALUE"""),"Cultura para la Inclusión")</f>
        <v>Cultura para la Inclusión</v>
      </c>
      <c r="F429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29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29" s="79" t="str">
        <f ca="1">IFERROR(__xludf.DUMMYFUNCTION("""COMPUTED_VALUE"""),"AH SEPTIEMBRE")</f>
        <v>AH SEPTIEMBRE</v>
      </c>
      <c r="I429" s="79" t="str">
        <f ca="1">IFERROR(__xludf.DUMMYFUNCTION("""COMPUTED_VALUE"""),"Septiembre")</f>
        <v>Septiembre</v>
      </c>
      <c r="J429" s="79" t="str">
        <f ca="1">IFERROR(__xludf.DUMMYFUNCTION("""COMPUTED_VALUE"""),"AH")</f>
        <v>AH</v>
      </c>
      <c r="K429" s="80">
        <f ca="1">IFERROR(__xludf.DUMMYFUNCTION("""COMPUTED_VALUE"""),0)</f>
        <v>0</v>
      </c>
      <c r="L429" s="79" t="str">
        <f ca="1">IFERROR(__xludf.DUMMYFUNCTION("""COMPUTED_VALUE"""),"TRIMESTRE 3")</f>
        <v>TRIMESTRE 3</v>
      </c>
      <c r="M429" s="79" t="str">
        <f ca="1">IFERROR(__xludf.DUMMYFUNCTION("""COMPUTED_VALUE"""),"ADOLESCENTES HOMBRES")</f>
        <v>ADOLESCENTES HOMBRES</v>
      </c>
    </row>
    <row r="430" spans="1:26">
      <c r="A430" s="79" t="str">
        <f ca="1">IFERROR(__xludf.DUMMYFUNCTION("""COMPUTED_VALUE"""),"6.1.3.2")</f>
        <v>6.1.3.2</v>
      </c>
      <c r="B430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0" s="79" t="str">
        <f ca="1">IFERROR(__xludf.DUMMYFUNCTION("""COMPUTED_VALUE"""),"5. Inclusión")</f>
        <v>5. Inclusión</v>
      </c>
      <c r="D430" s="79" t="str">
        <f ca="1">IFERROR(__xludf.DUMMYFUNCTION("""COMPUTED_VALUE"""),"Guadalajara sin Barreras")</f>
        <v>Guadalajara sin Barreras</v>
      </c>
      <c r="E430" s="79" t="str">
        <f ca="1">IFERROR(__xludf.DUMMYFUNCTION("""COMPUTED_VALUE"""),"Cultura para la Inclusión")</f>
        <v>Cultura para la Inclusión</v>
      </c>
      <c r="F430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30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30" s="79" t="str">
        <f ca="1">IFERROR(__xludf.DUMMYFUNCTION("""COMPUTED_VALUE"""),"MUJ Septiembre")</f>
        <v>MUJ Septiembre</v>
      </c>
      <c r="I430" s="79" t="str">
        <f ca="1">IFERROR(__xludf.DUMMYFUNCTION("""COMPUTED_VALUE"""),"Septiembre")</f>
        <v>Septiembre</v>
      </c>
      <c r="J430" s="79" t="str">
        <f ca="1">IFERROR(__xludf.DUMMYFUNCTION("""COMPUTED_VALUE"""),"MUJ")</f>
        <v>MUJ</v>
      </c>
      <c r="K430" s="80">
        <f ca="1">IFERROR(__xludf.DUMMYFUNCTION("""COMPUTED_VALUE"""),0)</f>
        <v>0</v>
      </c>
      <c r="L430" s="79" t="str">
        <f ca="1">IFERROR(__xludf.DUMMYFUNCTION("""COMPUTED_VALUE"""),"TRIMESTRE 3")</f>
        <v>TRIMESTRE 3</v>
      </c>
      <c r="M430" s="79" t="str">
        <f ca="1">IFERROR(__xludf.DUMMYFUNCTION("""COMPUTED_VALUE"""),"MUJERES ADULTAS")</f>
        <v>MUJERES ADULTAS</v>
      </c>
    </row>
    <row r="431" spans="1:26">
      <c r="A431" s="79" t="str">
        <f ca="1">IFERROR(__xludf.DUMMYFUNCTION("""COMPUTED_VALUE"""),"6.1.3.2")</f>
        <v>6.1.3.2</v>
      </c>
      <c r="B431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1" s="79" t="str">
        <f ca="1">IFERROR(__xludf.DUMMYFUNCTION("""COMPUTED_VALUE"""),"5. Inclusión")</f>
        <v>5. Inclusión</v>
      </c>
      <c r="D431" s="79" t="str">
        <f ca="1">IFERROR(__xludf.DUMMYFUNCTION("""COMPUTED_VALUE"""),"Guadalajara sin Barreras")</f>
        <v>Guadalajara sin Barreras</v>
      </c>
      <c r="E431" s="79" t="str">
        <f ca="1">IFERROR(__xludf.DUMMYFUNCTION("""COMPUTED_VALUE"""),"Cultura para la Inclusión")</f>
        <v>Cultura para la Inclusión</v>
      </c>
      <c r="F431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31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31" s="79" t="str">
        <f ca="1">IFERROR(__xludf.DUMMYFUNCTION("""COMPUTED_VALUE"""),"HOM Septiembre")</f>
        <v>HOM Septiembre</v>
      </c>
      <c r="I431" s="79" t="str">
        <f ca="1">IFERROR(__xludf.DUMMYFUNCTION("""COMPUTED_VALUE"""),"Septiembre")</f>
        <v>Septiembre</v>
      </c>
      <c r="J431" s="79" t="str">
        <f ca="1">IFERROR(__xludf.DUMMYFUNCTION("""COMPUTED_VALUE"""),"HOM")</f>
        <v>HOM</v>
      </c>
      <c r="K431" s="80">
        <f ca="1">IFERROR(__xludf.DUMMYFUNCTION("""COMPUTED_VALUE"""),0)</f>
        <v>0</v>
      </c>
      <c r="L431" s="79" t="str">
        <f ca="1">IFERROR(__xludf.DUMMYFUNCTION("""COMPUTED_VALUE"""),"TRIMESTRE 3")</f>
        <v>TRIMESTRE 3</v>
      </c>
      <c r="M431" s="79" t="str">
        <f ca="1">IFERROR(__xludf.DUMMYFUNCTION("""COMPUTED_VALUE"""),"HOMBRES ADULTOS")</f>
        <v>HOMBRES ADULTOS</v>
      </c>
    </row>
    <row r="432" spans="1:26">
      <c r="A432" s="79" t="str">
        <f ca="1">IFERROR(__xludf.DUMMYFUNCTION("""COMPUTED_VALUE"""),"6.1.3.2")</f>
        <v>6.1.3.2</v>
      </c>
      <c r="B432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2" s="79" t="str">
        <f ca="1">IFERROR(__xludf.DUMMYFUNCTION("""COMPUTED_VALUE"""),"5. Inclusión")</f>
        <v>5. Inclusión</v>
      </c>
      <c r="D432" s="79" t="str">
        <f ca="1">IFERROR(__xludf.DUMMYFUNCTION("""COMPUTED_VALUE"""),"Guadalajara sin Barreras")</f>
        <v>Guadalajara sin Barreras</v>
      </c>
      <c r="E432" s="79" t="str">
        <f ca="1">IFERROR(__xludf.DUMMYFUNCTION("""COMPUTED_VALUE"""),"Cultura para la Inclusión")</f>
        <v>Cultura para la Inclusión</v>
      </c>
      <c r="F432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32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32" s="79" t="str">
        <f ca="1">IFERROR(__xludf.DUMMYFUNCTION("""COMPUTED_VALUE"""),"AMM Septiembre")</f>
        <v>AMM Septiembre</v>
      </c>
      <c r="I432" s="79" t="str">
        <f ca="1">IFERROR(__xludf.DUMMYFUNCTION("""COMPUTED_VALUE"""),"Septiembre")</f>
        <v>Septiembre</v>
      </c>
      <c r="J432" s="79" t="str">
        <f ca="1">IFERROR(__xludf.DUMMYFUNCTION("""COMPUTED_VALUE"""),"AMM")</f>
        <v>AMM</v>
      </c>
      <c r="K432" s="80">
        <f ca="1">IFERROR(__xludf.DUMMYFUNCTION("""COMPUTED_VALUE"""),0)</f>
        <v>0</v>
      </c>
      <c r="L432" s="79" t="str">
        <f ca="1">IFERROR(__xludf.DUMMYFUNCTION("""COMPUTED_VALUE"""),"TRIMESTRE 3")</f>
        <v>TRIMESTRE 3</v>
      </c>
      <c r="M432" s="79" t="str">
        <f ca="1">IFERROR(__xludf.DUMMYFUNCTION("""COMPUTED_VALUE"""),"ADULTA MAYOR MUJER")</f>
        <v>ADULTA MAYOR MUJER</v>
      </c>
    </row>
    <row r="433" spans="1:13">
      <c r="A433" s="79" t="str">
        <f ca="1">IFERROR(__xludf.DUMMYFUNCTION("""COMPUTED_VALUE"""),"6.1.3.2")</f>
        <v>6.1.3.2</v>
      </c>
      <c r="B433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3" s="79" t="str">
        <f ca="1">IFERROR(__xludf.DUMMYFUNCTION("""COMPUTED_VALUE"""),"5. Inclusión")</f>
        <v>5. Inclusión</v>
      </c>
      <c r="D433" s="79" t="str">
        <f ca="1">IFERROR(__xludf.DUMMYFUNCTION("""COMPUTED_VALUE"""),"Guadalajara sin Barreras")</f>
        <v>Guadalajara sin Barreras</v>
      </c>
      <c r="E433" s="79" t="str">
        <f ca="1">IFERROR(__xludf.DUMMYFUNCTION("""COMPUTED_VALUE"""),"Cultura para la Inclusión")</f>
        <v>Cultura para la Inclusión</v>
      </c>
      <c r="F433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33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33" s="79" t="str">
        <f ca="1">IFERROR(__xludf.DUMMYFUNCTION("""COMPUTED_VALUE"""),"AMH Septiembre")</f>
        <v>AMH Septiembre</v>
      </c>
      <c r="I433" s="79" t="str">
        <f ca="1">IFERROR(__xludf.DUMMYFUNCTION("""COMPUTED_VALUE"""),"Septiembre")</f>
        <v>Septiembre</v>
      </c>
      <c r="J433" s="79" t="str">
        <f ca="1">IFERROR(__xludf.DUMMYFUNCTION("""COMPUTED_VALUE"""),"AMH")</f>
        <v>AMH</v>
      </c>
      <c r="K433" s="80">
        <f ca="1">IFERROR(__xludf.DUMMYFUNCTION("""COMPUTED_VALUE"""),0)</f>
        <v>0</v>
      </c>
      <c r="L433" s="79" t="str">
        <f ca="1">IFERROR(__xludf.DUMMYFUNCTION("""COMPUTED_VALUE"""),"TRIMESTRE 3")</f>
        <v>TRIMESTRE 3</v>
      </c>
      <c r="M433" s="79" t="str">
        <f ca="1">IFERROR(__xludf.DUMMYFUNCTION("""COMPUTED_VALUE"""),"ADULTO MAYOR HOMBRE")</f>
        <v>ADULTO MAYOR HOMBRE</v>
      </c>
    </row>
    <row r="434" spans="1:13">
      <c r="A434" s="79" t="str">
        <f ca="1">IFERROR(__xludf.DUMMYFUNCTION("""COMPUTED_VALUE"""),"6.1.3.1")</f>
        <v>6.1.3.1</v>
      </c>
      <c r="B434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4" s="79" t="str">
        <f ca="1">IFERROR(__xludf.DUMMYFUNCTION("""COMPUTED_VALUE"""),"5. Inclusión")</f>
        <v>5. Inclusión</v>
      </c>
      <c r="D434" s="79" t="str">
        <f ca="1">IFERROR(__xludf.DUMMYFUNCTION("""COMPUTED_VALUE"""),"Guadalajara sin Barreras")</f>
        <v>Guadalajara sin Barreras</v>
      </c>
      <c r="E434" s="79" t="str">
        <f ca="1">IFERROR(__xludf.DUMMYFUNCTION("""COMPUTED_VALUE"""),"Cultura para la Inclusión")</f>
        <v>Cultura para la Inclusión</v>
      </c>
      <c r="F434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34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34" s="79" t="str">
        <f ca="1">IFERROR(__xludf.DUMMYFUNCTION("""COMPUTED_VALUE"""),"NAS Octubre")</f>
        <v>NAS Octubre</v>
      </c>
      <c r="I434" s="79" t="str">
        <f ca="1">IFERROR(__xludf.DUMMYFUNCTION("""COMPUTED_VALUE"""),"Octubre")</f>
        <v>Octubre</v>
      </c>
      <c r="J434" s="79" t="str">
        <f ca="1">IFERROR(__xludf.DUMMYFUNCTION("""COMPUTED_VALUE"""),"NAS")</f>
        <v>NAS</v>
      </c>
      <c r="K434" s="80">
        <f ca="1">IFERROR(__xludf.DUMMYFUNCTION("""COMPUTED_VALUE"""),0)</f>
        <v>0</v>
      </c>
      <c r="L434" s="79" t="str">
        <f ca="1">IFERROR(__xludf.DUMMYFUNCTION("""COMPUTED_VALUE"""),"TRIMESTRE 4")</f>
        <v>TRIMESTRE 4</v>
      </c>
      <c r="M434" s="79" t="str">
        <f ca="1">IFERROR(__xludf.DUMMYFUNCTION("""COMPUTED_VALUE"""),"NIÑAS")</f>
        <v>NIÑAS</v>
      </c>
    </row>
    <row r="435" spans="1:13">
      <c r="A435" s="79" t="str">
        <f ca="1">IFERROR(__xludf.DUMMYFUNCTION("""COMPUTED_VALUE"""),"6.1.3.1")</f>
        <v>6.1.3.1</v>
      </c>
      <c r="B435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5" s="79" t="str">
        <f ca="1">IFERROR(__xludf.DUMMYFUNCTION("""COMPUTED_VALUE"""),"5. Inclusión")</f>
        <v>5. Inclusión</v>
      </c>
      <c r="D435" s="79" t="str">
        <f ca="1">IFERROR(__xludf.DUMMYFUNCTION("""COMPUTED_VALUE"""),"Guadalajara sin Barreras")</f>
        <v>Guadalajara sin Barreras</v>
      </c>
      <c r="E435" s="79" t="str">
        <f ca="1">IFERROR(__xludf.DUMMYFUNCTION("""COMPUTED_VALUE"""),"Cultura para la Inclusión")</f>
        <v>Cultura para la Inclusión</v>
      </c>
      <c r="F435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35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35" s="79" t="str">
        <f ca="1">IFERROR(__xludf.DUMMYFUNCTION("""COMPUTED_VALUE"""),"NOS Octubre")</f>
        <v>NOS Octubre</v>
      </c>
      <c r="I435" s="79" t="str">
        <f ca="1">IFERROR(__xludf.DUMMYFUNCTION("""COMPUTED_VALUE"""),"Octubre")</f>
        <v>Octubre</v>
      </c>
      <c r="J435" s="79" t="str">
        <f ca="1">IFERROR(__xludf.DUMMYFUNCTION("""COMPUTED_VALUE"""),"NOS")</f>
        <v>NOS</v>
      </c>
      <c r="K435" s="80">
        <f ca="1">IFERROR(__xludf.DUMMYFUNCTION("""COMPUTED_VALUE"""),0)</f>
        <v>0</v>
      </c>
      <c r="L435" s="79" t="str">
        <f ca="1">IFERROR(__xludf.DUMMYFUNCTION("""COMPUTED_VALUE"""),"TRIMESTRE 4")</f>
        <v>TRIMESTRE 4</v>
      </c>
      <c r="M435" s="79" t="str">
        <f ca="1">IFERROR(__xludf.DUMMYFUNCTION("""COMPUTED_VALUE"""),"NIÑOS")</f>
        <v>NIÑOS</v>
      </c>
    </row>
    <row r="436" spans="1:13">
      <c r="A436" s="79" t="str">
        <f ca="1">IFERROR(__xludf.DUMMYFUNCTION("""COMPUTED_VALUE"""),"6.1.3.1")</f>
        <v>6.1.3.1</v>
      </c>
      <c r="B436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6" s="79" t="str">
        <f ca="1">IFERROR(__xludf.DUMMYFUNCTION("""COMPUTED_VALUE"""),"5. Inclusión")</f>
        <v>5. Inclusión</v>
      </c>
      <c r="D436" s="79" t="str">
        <f ca="1">IFERROR(__xludf.DUMMYFUNCTION("""COMPUTED_VALUE"""),"Guadalajara sin Barreras")</f>
        <v>Guadalajara sin Barreras</v>
      </c>
      <c r="E436" s="79" t="str">
        <f ca="1">IFERROR(__xludf.DUMMYFUNCTION("""COMPUTED_VALUE"""),"Cultura para la Inclusión")</f>
        <v>Cultura para la Inclusión</v>
      </c>
      <c r="F436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36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36" s="79" t="str">
        <f ca="1">IFERROR(__xludf.DUMMYFUNCTION("""COMPUTED_VALUE"""),"AM OCTUBRE")</f>
        <v>AM OCTUBRE</v>
      </c>
      <c r="I436" s="79" t="str">
        <f ca="1">IFERROR(__xludf.DUMMYFUNCTION("""COMPUTED_VALUE"""),"Octubre")</f>
        <v>Octubre</v>
      </c>
      <c r="J436" s="79" t="str">
        <f ca="1">IFERROR(__xludf.DUMMYFUNCTION("""COMPUTED_VALUE"""),"AM")</f>
        <v>AM</v>
      </c>
      <c r="K436" s="80">
        <f ca="1">IFERROR(__xludf.DUMMYFUNCTION("""COMPUTED_VALUE"""),0)</f>
        <v>0</v>
      </c>
      <c r="L436" s="79" t="str">
        <f ca="1">IFERROR(__xludf.DUMMYFUNCTION("""COMPUTED_VALUE"""),"TRIMESTRE 4")</f>
        <v>TRIMESTRE 4</v>
      </c>
      <c r="M436" s="79" t="str">
        <f ca="1">IFERROR(__xludf.DUMMYFUNCTION("""COMPUTED_VALUE"""),"ADOLESCENTES MUJERES")</f>
        <v>ADOLESCENTES MUJERES</v>
      </c>
    </row>
    <row r="437" spans="1:13">
      <c r="A437" s="79" t="str">
        <f ca="1">IFERROR(__xludf.DUMMYFUNCTION("""COMPUTED_VALUE"""),"6.1.3.1")</f>
        <v>6.1.3.1</v>
      </c>
      <c r="B437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7" s="79" t="str">
        <f ca="1">IFERROR(__xludf.DUMMYFUNCTION("""COMPUTED_VALUE"""),"5. Inclusión")</f>
        <v>5. Inclusión</v>
      </c>
      <c r="D437" s="79" t="str">
        <f ca="1">IFERROR(__xludf.DUMMYFUNCTION("""COMPUTED_VALUE"""),"Guadalajara sin Barreras")</f>
        <v>Guadalajara sin Barreras</v>
      </c>
      <c r="E437" s="79" t="str">
        <f ca="1">IFERROR(__xludf.DUMMYFUNCTION("""COMPUTED_VALUE"""),"Cultura para la Inclusión")</f>
        <v>Cultura para la Inclusión</v>
      </c>
      <c r="F437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37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37" s="79" t="str">
        <f ca="1">IFERROR(__xludf.DUMMYFUNCTION("""COMPUTED_VALUE"""),"AH OCTUBRE")</f>
        <v>AH OCTUBRE</v>
      </c>
      <c r="I437" s="79" t="str">
        <f ca="1">IFERROR(__xludf.DUMMYFUNCTION("""COMPUTED_VALUE"""),"Octubre")</f>
        <v>Octubre</v>
      </c>
      <c r="J437" s="79" t="str">
        <f ca="1">IFERROR(__xludf.DUMMYFUNCTION("""COMPUTED_VALUE"""),"AH")</f>
        <v>AH</v>
      </c>
      <c r="K437" s="80">
        <f ca="1">IFERROR(__xludf.DUMMYFUNCTION("""COMPUTED_VALUE"""),0)</f>
        <v>0</v>
      </c>
      <c r="L437" s="79" t="str">
        <f ca="1">IFERROR(__xludf.DUMMYFUNCTION("""COMPUTED_VALUE"""),"TRIMESTRE 4")</f>
        <v>TRIMESTRE 4</v>
      </c>
      <c r="M437" s="79" t="str">
        <f ca="1">IFERROR(__xludf.DUMMYFUNCTION("""COMPUTED_VALUE"""),"ADOLESCENTES HOMBRES")</f>
        <v>ADOLESCENTES HOMBRES</v>
      </c>
    </row>
    <row r="438" spans="1:13">
      <c r="A438" s="79" t="str">
        <f ca="1">IFERROR(__xludf.DUMMYFUNCTION("""COMPUTED_VALUE"""),"6.1.3.1")</f>
        <v>6.1.3.1</v>
      </c>
      <c r="B438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8" s="79" t="str">
        <f ca="1">IFERROR(__xludf.DUMMYFUNCTION("""COMPUTED_VALUE"""),"5. Inclusión")</f>
        <v>5. Inclusión</v>
      </c>
      <c r="D438" s="79" t="str">
        <f ca="1">IFERROR(__xludf.DUMMYFUNCTION("""COMPUTED_VALUE"""),"Guadalajara sin Barreras")</f>
        <v>Guadalajara sin Barreras</v>
      </c>
      <c r="E438" s="79" t="str">
        <f ca="1">IFERROR(__xludf.DUMMYFUNCTION("""COMPUTED_VALUE"""),"Cultura para la Inclusión")</f>
        <v>Cultura para la Inclusión</v>
      </c>
      <c r="F438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38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38" s="79" t="str">
        <f ca="1">IFERROR(__xludf.DUMMYFUNCTION("""COMPUTED_VALUE"""),"MUJ Octubre")</f>
        <v>MUJ Octubre</v>
      </c>
      <c r="I438" s="79" t="str">
        <f ca="1">IFERROR(__xludf.DUMMYFUNCTION("""COMPUTED_VALUE"""),"Octubre")</f>
        <v>Octubre</v>
      </c>
      <c r="J438" s="79" t="str">
        <f ca="1">IFERROR(__xludf.DUMMYFUNCTION("""COMPUTED_VALUE"""),"MUJ")</f>
        <v>MUJ</v>
      </c>
      <c r="K438" s="80">
        <f ca="1">IFERROR(__xludf.DUMMYFUNCTION("""COMPUTED_VALUE"""),16)</f>
        <v>16</v>
      </c>
      <c r="L438" s="79" t="str">
        <f ca="1">IFERROR(__xludf.DUMMYFUNCTION("""COMPUTED_VALUE"""),"TRIMESTRE 4")</f>
        <v>TRIMESTRE 4</v>
      </c>
      <c r="M438" s="79" t="str">
        <f ca="1">IFERROR(__xludf.DUMMYFUNCTION("""COMPUTED_VALUE"""),"MUJERES ADULTAS")</f>
        <v>MUJERES ADULTAS</v>
      </c>
    </row>
    <row r="439" spans="1:13">
      <c r="A439" s="79" t="str">
        <f ca="1">IFERROR(__xludf.DUMMYFUNCTION("""COMPUTED_VALUE"""),"6.1.3.1")</f>
        <v>6.1.3.1</v>
      </c>
      <c r="B439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39" s="79" t="str">
        <f ca="1">IFERROR(__xludf.DUMMYFUNCTION("""COMPUTED_VALUE"""),"5. Inclusión")</f>
        <v>5. Inclusión</v>
      </c>
      <c r="D439" s="79" t="str">
        <f ca="1">IFERROR(__xludf.DUMMYFUNCTION("""COMPUTED_VALUE"""),"Guadalajara sin Barreras")</f>
        <v>Guadalajara sin Barreras</v>
      </c>
      <c r="E439" s="79" t="str">
        <f ca="1">IFERROR(__xludf.DUMMYFUNCTION("""COMPUTED_VALUE"""),"Cultura para la Inclusión")</f>
        <v>Cultura para la Inclusión</v>
      </c>
      <c r="F439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39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39" s="79" t="str">
        <f ca="1">IFERROR(__xludf.DUMMYFUNCTION("""COMPUTED_VALUE"""),"HOM Octubre")</f>
        <v>HOM Octubre</v>
      </c>
      <c r="I439" s="79" t="str">
        <f ca="1">IFERROR(__xludf.DUMMYFUNCTION("""COMPUTED_VALUE"""),"Octubre")</f>
        <v>Octubre</v>
      </c>
      <c r="J439" s="79" t="str">
        <f ca="1">IFERROR(__xludf.DUMMYFUNCTION("""COMPUTED_VALUE"""),"HOM")</f>
        <v>HOM</v>
      </c>
      <c r="K439" s="80">
        <f ca="1">IFERROR(__xludf.DUMMYFUNCTION("""COMPUTED_VALUE"""),13)</f>
        <v>13</v>
      </c>
      <c r="L439" s="79" t="str">
        <f ca="1">IFERROR(__xludf.DUMMYFUNCTION("""COMPUTED_VALUE"""),"TRIMESTRE 4")</f>
        <v>TRIMESTRE 4</v>
      </c>
      <c r="M439" s="79" t="str">
        <f ca="1">IFERROR(__xludf.DUMMYFUNCTION("""COMPUTED_VALUE"""),"HOMBRES ADULTOS")</f>
        <v>HOMBRES ADULTOS</v>
      </c>
    </row>
    <row r="440" spans="1:13">
      <c r="A440" s="79" t="str">
        <f ca="1">IFERROR(__xludf.DUMMYFUNCTION("""COMPUTED_VALUE"""),"6.1.3.1")</f>
        <v>6.1.3.1</v>
      </c>
      <c r="B440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0" s="79" t="str">
        <f ca="1">IFERROR(__xludf.DUMMYFUNCTION("""COMPUTED_VALUE"""),"5. Inclusión")</f>
        <v>5. Inclusión</v>
      </c>
      <c r="D440" s="79" t="str">
        <f ca="1">IFERROR(__xludf.DUMMYFUNCTION("""COMPUTED_VALUE"""),"Guadalajara sin Barreras")</f>
        <v>Guadalajara sin Barreras</v>
      </c>
      <c r="E440" s="79" t="str">
        <f ca="1">IFERROR(__xludf.DUMMYFUNCTION("""COMPUTED_VALUE"""),"Cultura para la Inclusión")</f>
        <v>Cultura para la Inclusión</v>
      </c>
      <c r="F440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40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40" s="79" t="str">
        <f ca="1">IFERROR(__xludf.DUMMYFUNCTION("""COMPUTED_VALUE"""),"AMM Octubre")</f>
        <v>AMM Octubre</v>
      </c>
      <c r="I440" s="79" t="str">
        <f ca="1">IFERROR(__xludf.DUMMYFUNCTION("""COMPUTED_VALUE"""),"Octubre")</f>
        <v>Octubre</v>
      </c>
      <c r="J440" s="79" t="str">
        <f ca="1">IFERROR(__xludf.DUMMYFUNCTION("""COMPUTED_VALUE"""),"AMM")</f>
        <v>AMM</v>
      </c>
      <c r="K440" s="80">
        <f ca="1">IFERROR(__xludf.DUMMYFUNCTION("""COMPUTED_VALUE"""),0)</f>
        <v>0</v>
      </c>
      <c r="L440" s="79" t="str">
        <f ca="1">IFERROR(__xludf.DUMMYFUNCTION("""COMPUTED_VALUE"""),"TRIMESTRE 4")</f>
        <v>TRIMESTRE 4</v>
      </c>
      <c r="M440" s="79" t="str">
        <f ca="1">IFERROR(__xludf.DUMMYFUNCTION("""COMPUTED_VALUE"""),"ADULTA MAYOR MUJER")</f>
        <v>ADULTA MAYOR MUJER</v>
      </c>
    </row>
    <row r="441" spans="1:13">
      <c r="A441" s="79" t="str">
        <f ca="1">IFERROR(__xludf.DUMMYFUNCTION("""COMPUTED_VALUE"""),"6.1.3.1")</f>
        <v>6.1.3.1</v>
      </c>
      <c r="B441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1" s="79" t="str">
        <f ca="1">IFERROR(__xludf.DUMMYFUNCTION("""COMPUTED_VALUE"""),"5. Inclusión")</f>
        <v>5. Inclusión</v>
      </c>
      <c r="D441" s="79" t="str">
        <f ca="1">IFERROR(__xludf.DUMMYFUNCTION("""COMPUTED_VALUE"""),"Guadalajara sin Barreras")</f>
        <v>Guadalajara sin Barreras</v>
      </c>
      <c r="E441" s="79" t="str">
        <f ca="1">IFERROR(__xludf.DUMMYFUNCTION("""COMPUTED_VALUE"""),"Cultura para la Inclusión")</f>
        <v>Cultura para la Inclusión</v>
      </c>
      <c r="F441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41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41" s="79" t="str">
        <f ca="1">IFERROR(__xludf.DUMMYFUNCTION("""COMPUTED_VALUE"""),"AMH Octubre")</f>
        <v>AMH Octubre</v>
      </c>
      <c r="I441" s="79" t="str">
        <f ca="1">IFERROR(__xludf.DUMMYFUNCTION("""COMPUTED_VALUE"""),"Octubre")</f>
        <v>Octubre</v>
      </c>
      <c r="J441" s="79" t="str">
        <f ca="1">IFERROR(__xludf.DUMMYFUNCTION("""COMPUTED_VALUE"""),"AMH")</f>
        <v>AMH</v>
      </c>
      <c r="K441" s="80">
        <f ca="1">IFERROR(__xludf.DUMMYFUNCTION("""COMPUTED_VALUE"""),0)</f>
        <v>0</v>
      </c>
      <c r="L441" s="79" t="str">
        <f ca="1">IFERROR(__xludf.DUMMYFUNCTION("""COMPUTED_VALUE"""),"TRIMESTRE 4")</f>
        <v>TRIMESTRE 4</v>
      </c>
      <c r="M441" s="79" t="str">
        <f ca="1">IFERROR(__xludf.DUMMYFUNCTION("""COMPUTED_VALUE"""),"ADULTO MAYOR HOMBRE")</f>
        <v>ADULTO MAYOR HOMBRE</v>
      </c>
    </row>
    <row r="442" spans="1:13">
      <c r="A442" s="79" t="str">
        <f ca="1">IFERROR(__xludf.DUMMYFUNCTION("""COMPUTED_VALUE"""),"6.1.3.2")</f>
        <v>6.1.3.2</v>
      </c>
      <c r="B442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2" s="79" t="str">
        <f ca="1">IFERROR(__xludf.DUMMYFUNCTION("""COMPUTED_VALUE"""),"5. Inclusión")</f>
        <v>5. Inclusión</v>
      </c>
      <c r="D442" s="79" t="str">
        <f ca="1">IFERROR(__xludf.DUMMYFUNCTION("""COMPUTED_VALUE"""),"Guadalajara sin Barreras")</f>
        <v>Guadalajara sin Barreras</v>
      </c>
      <c r="E442" s="79" t="str">
        <f ca="1">IFERROR(__xludf.DUMMYFUNCTION("""COMPUTED_VALUE"""),"Cultura para la Inclusión")</f>
        <v>Cultura para la Inclusión</v>
      </c>
      <c r="F442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2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2" s="79" t="str">
        <f ca="1">IFERROR(__xludf.DUMMYFUNCTION("""COMPUTED_VALUE"""),"NAS Octubre")</f>
        <v>NAS Octubre</v>
      </c>
      <c r="I442" s="79" t="str">
        <f ca="1">IFERROR(__xludf.DUMMYFUNCTION("""COMPUTED_VALUE"""),"Octubre")</f>
        <v>Octubre</v>
      </c>
      <c r="J442" s="79" t="str">
        <f ca="1">IFERROR(__xludf.DUMMYFUNCTION("""COMPUTED_VALUE"""),"NAS")</f>
        <v>NAS</v>
      </c>
      <c r="K442" s="80">
        <f ca="1">IFERROR(__xludf.DUMMYFUNCTION("""COMPUTED_VALUE"""),0)</f>
        <v>0</v>
      </c>
      <c r="L442" s="79" t="str">
        <f ca="1">IFERROR(__xludf.DUMMYFUNCTION("""COMPUTED_VALUE"""),"TRIMESTRE 4")</f>
        <v>TRIMESTRE 4</v>
      </c>
      <c r="M442" s="79" t="str">
        <f ca="1">IFERROR(__xludf.DUMMYFUNCTION("""COMPUTED_VALUE"""),"NIÑAS")</f>
        <v>NIÑAS</v>
      </c>
    </row>
    <row r="443" spans="1:13">
      <c r="A443" s="79" t="str">
        <f ca="1">IFERROR(__xludf.DUMMYFUNCTION("""COMPUTED_VALUE"""),"6.1.3.2")</f>
        <v>6.1.3.2</v>
      </c>
      <c r="B443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3" s="79" t="str">
        <f ca="1">IFERROR(__xludf.DUMMYFUNCTION("""COMPUTED_VALUE"""),"5. Inclusión")</f>
        <v>5. Inclusión</v>
      </c>
      <c r="D443" s="79" t="str">
        <f ca="1">IFERROR(__xludf.DUMMYFUNCTION("""COMPUTED_VALUE"""),"Guadalajara sin Barreras")</f>
        <v>Guadalajara sin Barreras</v>
      </c>
      <c r="E443" s="79" t="str">
        <f ca="1">IFERROR(__xludf.DUMMYFUNCTION("""COMPUTED_VALUE"""),"Cultura para la Inclusión")</f>
        <v>Cultura para la Inclusión</v>
      </c>
      <c r="F443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3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3" s="79" t="str">
        <f ca="1">IFERROR(__xludf.DUMMYFUNCTION("""COMPUTED_VALUE"""),"NOS Octubre")</f>
        <v>NOS Octubre</v>
      </c>
      <c r="I443" s="79" t="str">
        <f ca="1">IFERROR(__xludf.DUMMYFUNCTION("""COMPUTED_VALUE"""),"Octubre")</f>
        <v>Octubre</v>
      </c>
      <c r="J443" s="79" t="str">
        <f ca="1">IFERROR(__xludf.DUMMYFUNCTION("""COMPUTED_VALUE"""),"NOS")</f>
        <v>NOS</v>
      </c>
      <c r="K443" s="80">
        <f ca="1">IFERROR(__xludf.DUMMYFUNCTION("""COMPUTED_VALUE"""),0)</f>
        <v>0</v>
      </c>
      <c r="L443" s="79" t="str">
        <f ca="1">IFERROR(__xludf.DUMMYFUNCTION("""COMPUTED_VALUE"""),"TRIMESTRE 4")</f>
        <v>TRIMESTRE 4</v>
      </c>
      <c r="M443" s="79" t="str">
        <f ca="1">IFERROR(__xludf.DUMMYFUNCTION("""COMPUTED_VALUE"""),"NIÑOS")</f>
        <v>NIÑOS</v>
      </c>
    </row>
    <row r="444" spans="1:13">
      <c r="A444" s="79" t="str">
        <f ca="1">IFERROR(__xludf.DUMMYFUNCTION("""COMPUTED_VALUE"""),"6.1.3.2")</f>
        <v>6.1.3.2</v>
      </c>
      <c r="B444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4" s="79" t="str">
        <f ca="1">IFERROR(__xludf.DUMMYFUNCTION("""COMPUTED_VALUE"""),"5. Inclusión")</f>
        <v>5. Inclusión</v>
      </c>
      <c r="D444" s="79" t="str">
        <f ca="1">IFERROR(__xludf.DUMMYFUNCTION("""COMPUTED_VALUE"""),"Guadalajara sin Barreras")</f>
        <v>Guadalajara sin Barreras</v>
      </c>
      <c r="E444" s="79" t="str">
        <f ca="1">IFERROR(__xludf.DUMMYFUNCTION("""COMPUTED_VALUE"""),"Cultura para la Inclusión")</f>
        <v>Cultura para la Inclusión</v>
      </c>
      <c r="F444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4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4" s="79" t="str">
        <f ca="1">IFERROR(__xludf.DUMMYFUNCTION("""COMPUTED_VALUE"""),"AM OCTUBRE")</f>
        <v>AM OCTUBRE</v>
      </c>
      <c r="I444" s="79" t="str">
        <f ca="1">IFERROR(__xludf.DUMMYFUNCTION("""COMPUTED_VALUE"""),"Octubre")</f>
        <v>Octubre</v>
      </c>
      <c r="J444" s="79" t="str">
        <f ca="1">IFERROR(__xludf.DUMMYFUNCTION("""COMPUTED_VALUE"""),"AM")</f>
        <v>AM</v>
      </c>
      <c r="K444" s="80">
        <f ca="1">IFERROR(__xludf.DUMMYFUNCTION("""COMPUTED_VALUE"""),0)</f>
        <v>0</v>
      </c>
      <c r="L444" s="79" t="str">
        <f ca="1">IFERROR(__xludf.DUMMYFUNCTION("""COMPUTED_VALUE"""),"TRIMESTRE 4")</f>
        <v>TRIMESTRE 4</v>
      </c>
      <c r="M444" s="79" t="str">
        <f ca="1">IFERROR(__xludf.DUMMYFUNCTION("""COMPUTED_VALUE"""),"ADOLESCENTES MUJERES")</f>
        <v>ADOLESCENTES MUJERES</v>
      </c>
    </row>
    <row r="445" spans="1:13">
      <c r="A445" s="79" t="str">
        <f ca="1">IFERROR(__xludf.DUMMYFUNCTION("""COMPUTED_VALUE"""),"6.1.3.2")</f>
        <v>6.1.3.2</v>
      </c>
      <c r="B445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5" s="79" t="str">
        <f ca="1">IFERROR(__xludf.DUMMYFUNCTION("""COMPUTED_VALUE"""),"5. Inclusión")</f>
        <v>5. Inclusión</v>
      </c>
      <c r="D445" s="79" t="str">
        <f ca="1">IFERROR(__xludf.DUMMYFUNCTION("""COMPUTED_VALUE"""),"Guadalajara sin Barreras")</f>
        <v>Guadalajara sin Barreras</v>
      </c>
      <c r="E445" s="79" t="str">
        <f ca="1">IFERROR(__xludf.DUMMYFUNCTION("""COMPUTED_VALUE"""),"Cultura para la Inclusión")</f>
        <v>Cultura para la Inclusión</v>
      </c>
      <c r="F445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5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5" s="79" t="str">
        <f ca="1">IFERROR(__xludf.DUMMYFUNCTION("""COMPUTED_VALUE"""),"AH OCTUBRE")</f>
        <v>AH OCTUBRE</v>
      </c>
      <c r="I445" s="79" t="str">
        <f ca="1">IFERROR(__xludf.DUMMYFUNCTION("""COMPUTED_VALUE"""),"Octubre")</f>
        <v>Octubre</v>
      </c>
      <c r="J445" s="79" t="str">
        <f ca="1">IFERROR(__xludf.DUMMYFUNCTION("""COMPUTED_VALUE"""),"AH")</f>
        <v>AH</v>
      </c>
      <c r="K445" s="80">
        <f ca="1">IFERROR(__xludf.DUMMYFUNCTION("""COMPUTED_VALUE"""),0)</f>
        <v>0</v>
      </c>
      <c r="L445" s="79" t="str">
        <f ca="1">IFERROR(__xludf.DUMMYFUNCTION("""COMPUTED_VALUE"""),"TRIMESTRE 4")</f>
        <v>TRIMESTRE 4</v>
      </c>
      <c r="M445" s="79" t="str">
        <f ca="1">IFERROR(__xludf.DUMMYFUNCTION("""COMPUTED_VALUE"""),"ADOLESCENTES HOMBRES")</f>
        <v>ADOLESCENTES HOMBRES</v>
      </c>
    </row>
    <row r="446" spans="1:13">
      <c r="A446" s="79" t="str">
        <f ca="1">IFERROR(__xludf.DUMMYFUNCTION("""COMPUTED_VALUE"""),"6.1.3.2")</f>
        <v>6.1.3.2</v>
      </c>
      <c r="B446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6" s="79" t="str">
        <f ca="1">IFERROR(__xludf.DUMMYFUNCTION("""COMPUTED_VALUE"""),"5. Inclusión")</f>
        <v>5. Inclusión</v>
      </c>
      <c r="D446" s="79" t="str">
        <f ca="1">IFERROR(__xludf.DUMMYFUNCTION("""COMPUTED_VALUE"""),"Guadalajara sin Barreras")</f>
        <v>Guadalajara sin Barreras</v>
      </c>
      <c r="E446" s="79" t="str">
        <f ca="1">IFERROR(__xludf.DUMMYFUNCTION("""COMPUTED_VALUE"""),"Cultura para la Inclusión")</f>
        <v>Cultura para la Inclusión</v>
      </c>
      <c r="F446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6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6" s="79" t="str">
        <f ca="1">IFERROR(__xludf.DUMMYFUNCTION("""COMPUTED_VALUE"""),"MUJ Octubre")</f>
        <v>MUJ Octubre</v>
      </c>
      <c r="I446" s="79" t="str">
        <f ca="1">IFERROR(__xludf.DUMMYFUNCTION("""COMPUTED_VALUE"""),"Octubre")</f>
        <v>Octubre</v>
      </c>
      <c r="J446" s="79" t="str">
        <f ca="1">IFERROR(__xludf.DUMMYFUNCTION("""COMPUTED_VALUE"""),"MUJ")</f>
        <v>MUJ</v>
      </c>
      <c r="K446" s="80">
        <f ca="1">IFERROR(__xludf.DUMMYFUNCTION("""COMPUTED_VALUE"""),0)</f>
        <v>0</v>
      </c>
      <c r="L446" s="79" t="str">
        <f ca="1">IFERROR(__xludf.DUMMYFUNCTION("""COMPUTED_VALUE"""),"TRIMESTRE 4")</f>
        <v>TRIMESTRE 4</v>
      </c>
      <c r="M446" s="79" t="str">
        <f ca="1">IFERROR(__xludf.DUMMYFUNCTION("""COMPUTED_VALUE"""),"MUJERES ADULTAS")</f>
        <v>MUJERES ADULTAS</v>
      </c>
    </row>
    <row r="447" spans="1:13">
      <c r="A447" s="79" t="str">
        <f ca="1">IFERROR(__xludf.DUMMYFUNCTION("""COMPUTED_VALUE"""),"6.1.3.2")</f>
        <v>6.1.3.2</v>
      </c>
      <c r="B447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7" s="79" t="str">
        <f ca="1">IFERROR(__xludf.DUMMYFUNCTION("""COMPUTED_VALUE"""),"5. Inclusión")</f>
        <v>5. Inclusión</v>
      </c>
      <c r="D447" s="79" t="str">
        <f ca="1">IFERROR(__xludf.DUMMYFUNCTION("""COMPUTED_VALUE"""),"Guadalajara sin Barreras")</f>
        <v>Guadalajara sin Barreras</v>
      </c>
      <c r="E447" s="79" t="str">
        <f ca="1">IFERROR(__xludf.DUMMYFUNCTION("""COMPUTED_VALUE"""),"Cultura para la Inclusión")</f>
        <v>Cultura para la Inclusión</v>
      </c>
      <c r="F447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7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7" s="79" t="str">
        <f ca="1">IFERROR(__xludf.DUMMYFUNCTION("""COMPUTED_VALUE"""),"HOM Octubre")</f>
        <v>HOM Octubre</v>
      </c>
      <c r="I447" s="79" t="str">
        <f ca="1">IFERROR(__xludf.DUMMYFUNCTION("""COMPUTED_VALUE"""),"Octubre")</f>
        <v>Octubre</v>
      </c>
      <c r="J447" s="79" t="str">
        <f ca="1">IFERROR(__xludf.DUMMYFUNCTION("""COMPUTED_VALUE"""),"HOM")</f>
        <v>HOM</v>
      </c>
      <c r="K447" s="80">
        <f ca="1">IFERROR(__xludf.DUMMYFUNCTION("""COMPUTED_VALUE"""),0)</f>
        <v>0</v>
      </c>
      <c r="L447" s="79" t="str">
        <f ca="1">IFERROR(__xludf.DUMMYFUNCTION("""COMPUTED_VALUE"""),"TRIMESTRE 4")</f>
        <v>TRIMESTRE 4</v>
      </c>
      <c r="M447" s="79" t="str">
        <f ca="1">IFERROR(__xludf.DUMMYFUNCTION("""COMPUTED_VALUE"""),"HOMBRES ADULTOS")</f>
        <v>HOMBRES ADULTOS</v>
      </c>
    </row>
    <row r="448" spans="1:13">
      <c r="A448" s="79" t="str">
        <f ca="1">IFERROR(__xludf.DUMMYFUNCTION("""COMPUTED_VALUE"""),"6.1.3.2")</f>
        <v>6.1.3.2</v>
      </c>
      <c r="B448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8" s="79" t="str">
        <f ca="1">IFERROR(__xludf.DUMMYFUNCTION("""COMPUTED_VALUE"""),"5. Inclusión")</f>
        <v>5. Inclusión</v>
      </c>
      <c r="D448" s="79" t="str">
        <f ca="1">IFERROR(__xludf.DUMMYFUNCTION("""COMPUTED_VALUE"""),"Guadalajara sin Barreras")</f>
        <v>Guadalajara sin Barreras</v>
      </c>
      <c r="E448" s="79" t="str">
        <f ca="1">IFERROR(__xludf.DUMMYFUNCTION("""COMPUTED_VALUE"""),"Cultura para la Inclusión")</f>
        <v>Cultura para la Inclusión</v>
      </c>
      <c r="F448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8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8" s="79" t="str">
        <f ca="1">IFERROR(__xludf.DUMMYFUNCTION("""COMPUTED_VALUE"""),"AMM Octubre")</f>
        <v>AMM Octubre</v>
      </c>
      <c r="I448" s="79" t="str">
        <f ca="1">IFERROR(__xludf.DUMMYFUNCTION("""COMPUTED_VALUE"""),"Octubre")</f>
        <v>Octubre</v>
      </c>
      <c r="J448" s="79" t="str">
        <f ca="1">IFERROR(__xludf.DUMMYFUNCTION("""COMPUTED_VALUE"""),"AMM")</f>
        <v>AMM</v>
      </c>
      <c r="K448" s="80">
        <f ca="1">IFERROR(__xludf.DUMMYFUNCTION("""COMPUTED_VALUE"""),0)</f>
        <v>0</v>
      </c>
      <c r="L448" s="79" t="str">
        <f ca="1">IFERROR(__xludf.DUMMYFUNCTION("""COMPUTED_VALUE"""),"TRIMESTRE 4")</f>
        <v>TRIMESTRE 4</v>
      </c>
      <c r="M448" s="79" t="str">
        <f ca="1">IFERROR(__xludf.DUMMYFUNCTION("""COMPUTED_VALUE"""),"ADULTA MAYOR MUJER")</f>
        <v>ADULTA MAYOR MUJER</v>
      </c>
    </row>
    <row r="449" spans="1:26">
      <c r="A449" s="79" t="str">
        <f ca="1">IFERROR(__xludf.DUMMYFUNCTION("""COMPUTED_VALUE"""),"6.1.3.2")</f>
        <v>6.1.3.2</v>
      </c>
      <c r="B449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49" s="79" t="str">
        <f ca="1">IFERROR(__xludf.DUMMYFUNCTION("""COMPUTED_VALUE"""),"5. Inclusión")</f>
        <v>5. Inclusión</v>
      </c>
      <c r="D449" s="79" t="str">
        <f ca="1">IFERROR(__xludf.DUMMYFUNCTION("""COMPUTED_VALUE"""),"Guadalajara sin Barreras")</f>
        <v>Guadalajara sin Barreras</v>
      </c>
      <c r="E449" s="79" t="str">
        <f ca="1">IFERROR(__xludf.DUMMYFUNCTION("""COMPUTED_VALUE"""),"Cultura para la Inclusión")</f>
        <v>Cultura para la Inclusión</v>
      </c>
      <c r="F449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49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49" s="79" t="str">
        <f ca="1">IFERROR(__xludf.DUMMYFUNCTION("""COMPUTED_VALUE"""),"AMH Octubre")</f>
        <v>AMH Octubre</v>
      </c>
      <c r="I449" s="79" t="str">
        <f ca="1">IFERROR(__xludf.DUMMYFUNCTION("""COMPUTED_VALUE"""),"Octubre")</f>
        <v>Octubre</v>
      </c>
      <c r="J449" s="79" t="str">
        <f ca="1">IFERROR(__xludf.DUMMYFUNCTION("""COMPUTED_VALUE"""),"AMH")</f>
        <v>AMH</v>
      </c>
      <c r="K449" s="80">
        <f ca="1">IFERROR(__xludf.DUMMYFUNCTION("""COMPUTED_VALUE"""),0)</f>
        <v>0</v>
      </c>
      <c r="L449" s="79" t="str">
        <f ca="1">IFERROR(__xludf.DUMMYFUNCTION("""COMPUTED_VALUE"""),"TRIMESTRE 4")</f>
        <v>TRIMESTRE 4</v>
      </c>
      <c r="M449" s="79" t="str">
        <f ca="1">IFERROR(__xludf.DUMMYFUNCTION("""COMPUTED_VALUE"""),"ADULTO MAYOR HOMBRE")</f>
        <v>ADULTO MAYOR HOMBRE</v>
      </c>
    </row>
    <row r="450" spans="1:26">
      <c r="A450" s="81" t="str">
        <f ca="1">IFERROR(__xludf.DUMMYFUNCTION("""COMPUTED_VALUE"""),"6.1.3.1")</f>
        <v>6.1.3.1</v>
      </c>
      <c r="B450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0" s="81" t="str">
        <f ca="1">IFERROR(__xludf.DUMMYFUNCTION("""COMPUTED_VALUE"""),"5. Inclusión")</f>
        <v>5. Inclusión</v>
      </c>
      <c r="D450" s="81" t="str">
        <f ca="1">IFERROR(__xludf.DUMMYFUNCTION("""COMPUTED_VALUE"""),"Guadalajara sin Barreras")</f>
        <v>Guadalajara sin Barreras</v>
      </c>
      <c r="E450" s="81" t="str">
        <f ca="1">IFERROR(__xludf.DUMMYFUNCTION("""COMPUTED_VALUE"""),"Cultura para la Inclusión")</f>
        <v>Cultura para la Inclusión</v>
      </c>
      <c r="F450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0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0" s="81" t="str">
        <f ca="1">IFERROR(__xludf.DUMMYFUNCTION("""COMPUTED_VALUE"""),"NAS Noviembre")</f>
        <v>NAS Noviembre</v>
      </c>
      <c r="I450" s="81" t="str">
        <f ca="1">IFERROR(__xludf.DUMMYFUNCTION("""COMPUTED_VALUE"""),"Noviembre")</f>
        <v>Noviembre</v>
      </c>
      <c r="J450" s="81" t="str">
        <f ca="1">IFERROR(__xludf.DUMMYFUNCTION("""COMPUTED_VALUE"""),"NAS")</f>
        <v>NAS</v>
      </c>
      <c r="K450" s="80">
        <f ca="1">IFERROR(__xludf.DUMMYFUNCTION("""COMPUTED_VALUE"""),0)</f>
        <v>0</v>
      </c>
      <c r="L450" s="81" t="str">
        <f ca="1">IFERROR(__xludf.DUMMYFUNCTION("""COMPUTED_VALUE"""),"TRIMESTRE 4")</f>
        <v>TRIMESTRE 4</v>
      </c>
      <c r="M450" s="81" t="str">
        <f ca="1">IFERROR(__xludf.DUMMYFUNCTION("""COMPUTED_VALUE"""),"NIÑAS")</f>
        <v>NIÑAS</v>
      </c>
      <c r="N450" s="81"/>
      <c r="O450" s="81"/>
      <c r="P450" s="81"/>
      <c r="Q450" s="81"/>
      <c r="R450" s="81"/>
      <c r="S450" s="81"/>
      <c r="T450" s="81"/>
      <c r="U450" s="81"/>
      <c r="V450" s="81"/>
      <c r="W450" s="81"/>
      <c r="X450" s="81"/>
      <c r="Y450" s="81"/>
      <c r="Z450" s="81"/>
    </row>
    <row r="451" spans="1:26">
      <c r="A451" s="81" t="str">
        <f ca="1">IFERROR(__xludf.DUMMYFUNCTION("""COMPUTED_VALUE"""),"6.1.3.1")</f>
        <v>6.1.3.1</v>
      </c>
      <c r="B451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1" s="81" t="str">
        <f ca="1">IFERROR(__xludf.DUMMYFUNCTION("""COMPUTED_VALUE"""),"5. Inclusión")</f>
        <v>5. Inclusión</v>
      </c>
      <c r="D451" s="81" t="str">
        <f ca="1">IFERROR(__xludf.DUMMYFUNCTION("""COMPUTED_VALUE"""),"Guadalajara sin Barreras")</f>
        <v>Guadalajara sin Barreras</v>
      </c>
      <c r="E451" s="81" t="str">
        <f ca="1">IFERROR(__xludf.DUMMYFUNCTION("""COMPUTED_VALUE"""),"Cultura para la Inclusión")</f>
        <v>Cultura para la Inclusión</v>
      </c>
      <c r="F451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1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1" s="81" t="str">
        <f ca="1">IFERROR(__xludf.DUMMYFUNCTION("""COMPUTED_VALUE"""),"NOS Noviembre")</f>
        <v>NOS Noviembre</v>
      </c>
      <c r="I451" s="81" t="str">
        <f ca="1">IFERROR(__xludf.DUMMYFUNCTION("""COMPUTED_VALUE"""),"Noviembre")</f>
        <v>Noviembre</v>
      </c>
      <c r="J451" s="81" t="str">
        <f ca="1">IFERROR(__xludf.DUMMYFUNCTION("""COMPUTED_VALUE"""),"NOS")</f>
        <v>NOS</v>
      </c>
      <c r="K451" s="80">
        <f ca="1">IFERROR(__xludf.DUMMYFUNCTION("""COMPUTED_VALUE"""),0)</f>
        <v>0</v>
      </c>
      <c r="L451" s="81" t="str">
        <f ca="1">IFERROR(__xludf.DUMMYFUNCTION("""COMPUTED_VALUE"""),"TRIMESTRE 4")</f>
        <v>TRIMESTRE 4</v>
      </c>
      <c r="M451" s="81" t="str">
        <f ca="1">IFERROR(__xludf.DUMMYFUNCTION("""COMPUTED_VALUE"""),"NIÑOS")</f>
        <v>NIÑOS</v>
      </c>
      <c r="N451" s="81"/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  <c r="Z451" s="81"/>
    </row>
    <row r="452" spans="1:26">
      <c r="A452" s="81" t="str">
        <f ca="1">IFERROR(__xludf.DUMMYFUNCTION("""COMPUTED_VALUE"""),"6.1.3.1")</f>
        <v>6.1.3.1</v>
      </c>
      <c r="B452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2" s="81" t="str">
        <f ca="1">IFERROR(__xludf.DUMMYFUNCTION("""COMPUTED_VALUE"""),"5. Inclusión")</f>
        <v>5. Inclusión</v>
      </c>
      <c r="D452" s="81" t="str">
        <f ca="1">IFERROR(__xludf.DUMMYFUNCTION("""COMPUTED_VALUE"""),"Guadalajara sin Barreras")</f>
        <v>Guadalajara sin Barreras</v>
      </c>
      <c r="E452" s="81" t="str">
        <f ca="1">IFERROR(__xludf.DUMMYFUNCTION("""COMPUTED_VALUE"""),"Cultura para la Inclusión")</f>
        <v>Cultura para la Inclusión</v>
      </c>
      <c r="F452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2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2" s="81" t="str">
        <f ca="1">IFERROR(__xludf.DUMMYFUNCTION("""COMPUTED_VALUE"""),"AM NOVIEMBRE")</f>
        <v>AM NOVIEMBRE</v>
      </c>
      <c r="I452" s="81" t="str">
        <f ca="1">IFERROR(__xludf.DUMMYFUNCTION("""COMPUTED_VALUE"""),"Noviembre")</f>
        <v>Noviembre</v>
      </c>
      <c r="J452" s="81" t="str">
        <f ca="1">IFERROR(__xludf.DUMMYFUNCTION("""COMPUTED_VALUE"""),"AM")</f>
        <v>AM</v>
      </c>
      <c r="K452" s="80">
        <f ca="1">IFERROR(__xludf.DUMMYFUNCTION("""COMPUTED_VALUE"""),0)</f>
        <v>0</v>
      </c>
      <c r="L452" s="81" t="str">
        <f ca="1">IFERROR(__xludf.DUMMYFUNCTION("""COMPUTED_VALUE"""),"TRIMESTRE 4")</f>
        <v>TRIMESTRE 4</v>
      </c>
      <c r="M452" s="81" t="str">
        <f ca="1">IFERROR(__xludf.DUMMYFUNCTION("""COMPUTED_VALUE"""),"ADOLESCENTES MUJERES")</f>
        <v>ADOLESCENTES MUJERES</v>
      </c>
      <c r="N452" s="81"/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  <c r="Z452" s="81"/>
    </row>
    <row r="453" spans="1:26">
      <c r="A453" s="81" t="str">
        <f ca="1">IFERROR(__xludf.DUMMYFUNCTION("""COMPUTED_VALUE"""),"6.1.3.1")</f>
        <v>6.1.3.1</v>
      </c>
      <c r="B453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3" s="81" t="str">
        <f ca="1">IFERROR(__xludf.DUMMYFUNCTION("""COMPUTED_VALUE"""),"5. Inclusión")</f>
        <v>5. Inclusión</v>
      </c>
      <c r="D453" s="81" t="str">
        <f ca="1">IFERROR(__xludf.DUMMYFUNCTION("""COMPUTED_VALUE"""),"Guadalajara sin Barreras")</f>
        <v>Guadalajara sin Barreras</v>
      </c>
      <c r="E453" s="81" t="str">
        <f ca="1">IFERROR(__xludf.DUMMYFUNCTION("""COMPUTED_VALUE"""),"Cultura para la Inclusión")</f>
        <v>Cultura para la Inclusión</v>
      </c>
      <c r="F453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3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3" s="81" t="str">
        <f ca="1">IFERROR(__xludf.DUMMYFUNCTION("""COMPUTED_VALUE"""),"AH NOVIEMBRE")</f>
        <v>AH NOVIEMBRE</v>
      </c>
      <c r="I453" s="81" t="str">
        <f ca="1">IFERROR(__xludf.DUMMYFUNCTION("""COMPUTED_VALUE"""),"Noviembre")</f>
        <v>Noviembre</v>
      </c>
      <c r="J453" s="81" t="str">
        <f ca="1">IFERROR(__xludf.DUMMYFUNCTION("""COMPUTED_VALUE"""),"AH")</f>
        <v>AH</v>
      </c>
      <c r="K453" s="80">
        <f ca="1">IFERROR(__xludf.DUMMYFUNCTION("""COMPUTED_VALUE"""),0)</f>
        <v>0</v>
      </c>
      <c r="L453" s="81" t="str">
        <f ca="1">IFERROR(__xludf.DUMMYFUNCTION("""COMPUTED_VALUE"""),"TRIMESTRE 4")</f>
        <v>TRIMESTRE 4</v>
      </c>
      <c r="M453" s="81" t="str">
        <f ca="1">IFERROR(__xludf.DUMMYFUNCTION("""COMPUTED_VALUE"""),"ADOLESCENTES HOMBRES")</f>
        <v>ADOLESCENTES HOMBRES</v>
      </c>
      <c r="N453" s="81"/>
      <c r="O453" s="81"/>
      <c r="P453" s="81"/>
      <c r="Q453" s="81"/>
      <c r="R453" s="81"/>
      <c r="S453" s="81"/>
      <c r="T453" s="81"/>
      <c r="U453" s="81"/>
      <c r="V453" s="81"/>
      <c r="W453" s="81"/>
      <c r="X453" s="81"/>
      <c r="Y453" s="81"/>
      <c r="Z453" s="81"/>
    </row>
    <row r="454" spans="1:26">
      <c r="A454" s="81" t="str">
        <f ca="1">IFERROR(__xludf.DUMMYFUNCTION("""COMPUTED_VALUE"""),"6.1.3.1")</f>
        <v>6.1.3.1</v>
      </c>
      <c r="B454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4" s="81" t="str">
        <f ca="1">IFERROR(__xludf.DUMMYFUNCTION("""COMPUTED_VALUE"""),"5. Inclusión")</f>
        <v>5. Inclusión</v>
      </c>
      <c r="D454" s="81" t="str">
        <f ca="1">IFERROR(__xludf.DUMMYFUNCTION("""COMPUTED_VALUE"""),"Guadalajara sin Barreras")</f>
        <v>Guadalajara sin Barreras</v>
      </c>
      <c r="E454" s="81" t="str">
        <f ca="1">IFERROR(__xludf.DUMMYFUNCTION("""COMPUTED_VALUE"""),"Cultura para la Inclusión")</f>
        <v>Cultura para la Inclusión</v>
      </c>
      <c r="F454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4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4" s="81" t="str">
        <f ca="1">IFERROR(__xludf.DUMMYFUNCTION("""COMPUTED_VALUE"""),"MUJ Noviembre")</f>
        <v>MUJ Noviembre</v>
      </c>
      <c r="I454" s="81" t="str">
        <f ca="1">IFERROR(__xludf.DUMMYFUNCTION("""COMPUTED_VALUE"""),"Noviembre")</f>
        <v>Noviembre</v>
      </c>
      <c r="J454" s="81" t="str">
        <f ca="1">IFERROR(__xludf.DUMMYFUNCTION("""COMPUTED_VALUE"""),"MUJ")</f>
        <v>MUJ</v>
      </c>
      <c r="K454" s="80">
        <f ca="1">IFERROR(__xludf.DUMMYFUNCTION("""COMPUTED_VALUE"""),13)</f>
        <v>13</v>
      </c>
      <c r="L454" s="81" t="str">
        <f ca="1">IFERROR(__xludf.DUMMYFUNCTION("""COMPUTED_VALUE"""),"TRIMESTRE 4")</f>
        <v>TRIMESTRE 4</v>
      </c>
      <c r="M454" s="81" t="str">
        <f ca="1">IFERROR(__xludf.DUMMYFUNCTION("""COMPUTED_VALUE"""),"MUJERES ADULTAS")</f>
        <v>MUJERES ADULTAS</v>
      </c>
      <c r="N454" s="81"/>
      <c r="O454" s="81"/>
      <c r="P454" s="81"/>
      <c r="Q454" s="81"/>
      <c r="R454" s="81"/>
      <c r="S454" s="81"/>
      <c r="T454" s="81"/>
      <c r="U454" s="81"/>
      <c r="V454" s="81"/>
      <c r="W454" s="81"/>
      <c r="X454" s="81"/>
      <c r="Y454" s="81"/>
      <c r="Z454" s="81"/>
    </row>
    <row r="455" spans="1:26">
      <c r="A455" s="81" t="str">
        <f ca="1">IFERROR(__xludf.DUMMYFUNCTION("""COMPUTED_VALUE"""),"6.1.3.1")</f>
        <v>6.1.3.1</v>
      </c>
      <c r="B455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5" s="81" t="str">
        <f ca="1">IFERROR(__xludf.DUMMYFUNCTION("""COMPUTED_VALUE"""),"5. Inclusión")</f>
        <v>5. Inclusión</v>
      </c>
      <c r="D455" s="81" t="str">
        <f ca="1">IFERROR(__xludf.DUMMYFUNCTION("""COMPUTED_VALUE"""),"Guadalajara sin Barreras")</f>
        <v>Guadalajara sin Barreras</v>
      </c>
      <c r="E455" s="81" t="str">
        <f ca="1">IFERROR(__xludf.DUMMYFUNCTION("""COMPUTED_VALUE"""),"Cultura para la Inclusión")</f>
        <v>Cultura para la Inclusión</v>
      </c>
      <c r="F455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5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5" s="81" t="str">
        <f ca="1">IFERROR(__xludf.DUMMYFUNCTION("""COMPUTED_VALUE"""),"HOM Noviembre")</f>
        <v>HOM Noviembre</v>
      </c>
      <c r="I455" s="81" t="str">
        <f ca="1">IFERROR(__xludf.DUMMYFUNCTION("""COMPUTED_VALUE"""),"Noviembre")</f>
        <v>Noviembre</v>
      </c>
      <c r="J455" s="81" t="str">
        <f ca="1">IFERROR(__xludf.DUMMYFUNCTION("""COMPUTED_VALUE"""),"HOM")</f>
        <v>HOM</v>
      </c>
      <c r="K455" s="80">
        <f ca="1">IFERROR(__xludf.DUMMYFUNCTION("""COMPUTED_VALUE"""),11)</f>
        <v>11</v>
      </c>
      <c r="L455" s="81" t="str">
        <f ca="1">IFERROR(__xludf.DUMMYFUNCTION("""COMPUTED_VALUE"""),"TRIMESTRE 4")</f>
        <v>TRIMESTRE 4</v>
      </c>
      <c r="M455" s="81" t="str">
        <f ca="1">IFERROR(__xludf.DUMMYFUNCTION("""COMPUTED_VALUE"""),"HOMBRES ADULTOS")</f>
        <v>HOMBRES ADULTOS</v>
      </c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</row>
    <row r="456" spans="1:26">
      <c r="A456" s="81" t="str">
        <f ca="1">IFERROR(__xludf.DUMMYFUNCTION("""COMPUTED_VALUE"""),"6.1.3.1")</f>
        <v>6.1.3.1</v>
      </c>
      <c r="B456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6" s="81" t="str">
        <f ca="1">IFERROR(__xludf.DUMMYFUNCTION("""COMPUTED_VALUE"""),"5. Inclusión")</f>
        <v>5. Inclusión</v>
      </c>
      <c r="D456" s="81" t="str">
        <f ca="1">IFERROR(__xludf.DUMMYFUNCTION("""COMPUTED_VALUE"""),"Guadalajara sin Barreras")</f>
        <v>Guadalajara sin Barreras</v>
      </c>
      <c r="E456" s="81" t="str">
        <f ca="1">IFERROR(__xludf.DUMMYFUNCTION("""COMPUTED_VALUE"""),"Cultura para la Inclusión")</f>
        <v>Cultura para la Inclusión</v>
      </c>
      <c r="F456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6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6" s="81" t="str">
        <f ca="1">IFERROR(__xludf.DUMMYFUNCTION("""COMPUTED_VALUE"""),"AMM Noviembre")</f>
        <v>AMM Noviembre</v>
      </c>
      <c r="I456" s="81" t="str">
        <f ca="1">IFERROR(__xludf.DUMMYFUNCTION("""COMPUTED_VALUE"""),"Noviembre")</f>
        <v>Noviembre</v>
      </c>
      <c r="J456" s="81" t="str">
        <f ca="1">IFERROR(__xludf.DUMMYFUNCTION("""COMPUTED_VALUE"""),"AMM")</f>
        <v>AMM</v>
      </c>
      <c r="K456" s="80">
        <f ca="1">IFERROR(__xludf.DUMMYFUNCTION("""COMPUTED_VALUE"""),0)</f>
        <v>0</v>
      </c>
      <c r="L456" s="81" t="str">
        <f ca="1">IFERROR(__xludf.DUMMYFUNCTION("""COMPUTED_VALUE"""),"TRIMESTRE 4")</f>
        <v>TRIMESTRE 4</v>
      </c>
      <c r="M456" s="81" t="str">
        <f ca="1">IFERROR(__xludf.DUMMYFUNCTION("""COMPUTED_VALUE"""),"ADULTA MAYOR MUJER")</f>
        <v>ADULTA MAYOR MUJER</v>
      </c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</row>
    <row r="457" spans="1:26">
      <c r="A457" s="81" t="str">
        <f ca="1">IFERROR(__xludf.DUMMYFUNCTION("""COMPUTED_VALUE"""),"6.1.3.1")</f>
        <v>6.1.3.1</v>
      </c>
      <c r="B457" s="81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7" s="81" t="str">
        <f ca="1">IFERROR(__xludf.DUMMYFUNCTION("""COMPUTED_VALUE"""),"5. Inclusión")</f>
        <v>5. Inclusión</v>
      </c>
      <c r="D457" s="81" t="str">
        <f ca="1">IFERROR(__xludf.DUMMYFUNCTION("""COMPUTED_VALUE"""),"Guadalajara sin Barreras")</f>
        <v>Guadalajara sin Barreras</v>
      </c>
      <c r="E457" s="81" t="str">
        <f ca="1">IFERROR(__xludf.DUMMYFUNCTION("""COMPUTED_VALUE"""),"Cultura para la Inclusión")</f>
        <v>Cultura para la Inclusión</v>
      </c>
      <c r="F457" s="81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57" s="81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57" s="81" t="str">
        <f ca="1">IFERROR(__xludf.DUMMYFUNCTION("""COMPUTED_VALUE"""),"AMH Noviembre")</f>
        <v>AMH Noviembre</v>
      </c>
      <c r="I457" s="81" t="str">
        <f ca="1">IFERROR(__xludf.DUMMYFUNCTION("""COMPUTED_VALUE"""),"Noviembre")</f>
        <v>Noviembre</v>
      </c>
      <c r="J457" s="81" t="str">
        <f ca="1">IFERROR(__xludf.DUMMYFUNCTION("""COMPUTED_VALUE"""),"AMH")</f>
        <v>AMH</v>
      </c>
      <c r="K457" s="80">
        <f ca="1">IFERROR(__xludf.DUMMYFUNCTION("""COMPUTED_VALUE"""),0)</f>
        <v>0</v>
      </c>
      <c r="L457" s="81" t="str">
        <f ca="1">IFERROR(__xludf.DUMMYFUNCTION("""COMPUTED_VALUE"""),"TRIMESTRE 4")</f>
        <v>TRIMESTRE 4</v>
      </c>
      <c r="M457" s="81" t="str">
        <f ca="1">IFERROR(__xludf.DUMMYFUNCTION("""COMPUTED_VALUE"""),"ADULTO MAYOR HOMBRE")</f>
        <v>ADULTO MAYOR HOMBRE</v>
      </c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</row>
    <row r="458" spans="1:26">
      <c r="A458" s="79" t="str">
        <f ca="1">IFERROR(__xludf.DUMMYFUNCTION("""COMPUTED_VALUE"""),"6.1.3.2")</f>
        <v>6.1.3.2</v>
      </c>
      <c r="B458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8" s="79" t="str">
        <f ca="1">IFERROR(__xludf.DUMMYFUNCTION("""COMPUTED_VALUE"""),"5. Inclusión")</f>
        <v>5. Inclusión</v>
      </c>
      <c r="D458" s="79" t="str">
        <f ca="1">IFERROR(__xludf.DUMMYFUNCTION("""COMPUTED_VALUE"""),"Guadalajara sin Barreras")</f>
        <v>Guadalajara sin Barreras</v>
      </c>
      <c r="E458" s="79" t="str">
        <f ca="1">IFERROR(__xludf.DUMMYFUNCTION("""COMPUTED_VALUE"""),"Cultura para la Inclusión")</f>
        <v>Cultura para la Inclusión</v>
      </c>
      <c r="F458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58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58" s="79" t="str">
        <f ca="1">IFERROR(__xludf.DUMMYFUNCTION("""COMPUTED_VALUE"""),"NAS Noviembre")</f>
        <v>NAS Noviembre</v>
      </c>
      <c r="I458" s="79" t="str">
        <f ca="1">IFERROR(__xludf.DUMMYFUNCTION("""COMPUTED_VALUE"""),"Noviembre")</f>
        <v>Noviembre</v>
      </c>
      <c r="J458" s="79" t="str">
        <f ca="1">IFERROR(__xludf.DUMMYFUNCTION("""COMPUTED_VALUE"""),"NAS")</f>
        <v>NAS</v>
      </c>
      <c r="K458" s="80">
        <f ca="1">IFERROR(__xludf.DUMMYFUNCTION("""COMPUTED_VALUE"""),0)</f>
        <v>0</v>
      </c>
      <c r="L458" s="79" t="str">
        <f ca="1">IFERROR(__xludf.DUMMYFUNCTION("""COMPUTED_VALUE"""),"TRIMESTRE 4")</f>
        <v>TRIMESTRE 4</v>
      </c>
      <c r="M458" s="79" t="str">
        <f ca="1">IFERROR(__xludf.DUMMYFUNCTION("""COMPUTED_VALUE"""),"NIÑAS")</f>
        <v>NIÑAS</v>
      </c>
    </row>
    <row r="459" spans="1:26">
      <c r="A459" s="79" t="str">
        <f ca="1">IFERROR(__xludf.DUMMYFUNCTION("""COMPUTED_VALUE"""),"6.1.3.2")</f>
        <v>6.1.3.2</v>
      </c>
      <c r="B459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59" s="79" t="str">
        <f ca="1">IFERROR(__xludf.DUMMYFUNCTION("""COMPUTED_VALUE"""),"5. Inclusión")</f>
        <v>5. Inclusión</v>
      </c>
      <c r="D459" s="79" t="str">
        <f ca="1">IFERROR(__xludf.DUMMYFUNCTION("""COMPUTED_VALUE"""),"Guadalajara sin Barreras")</f>
        <v>Guadalajara sin Barreras</v>
      </c>
      <c r="E459" s="79" t="str">
        <f ca="1">IFERROR(__xludf.DUMMYFUNCTION("""COMPUTED_VALUE"""),"Cultura para la Inclusión")</f>
        <v>Cultura para la Inclusión</v>
      </c>
      <c r="F459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59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59" s="79" t="str">
        <f ca="1">IFERROR(__xludf.DUMMYFUNCTION("""COMPUTED_VALUE"""),"NOS Noviembre")</f>
        <v>NOS Noviembre</v>
      </c>
      <c r="I459" s="79" t="str">
        <f ca="1">IFERROR(__xludf.DUMMYFUNCTION("""COMPUTED_VALUE"""),"Noviembre")</f>
        <v>Noviembre</v>
      </c>
      <c r="J459" s="79" t="str">
        <f ca="1">IFERROR(__xludf.DUMMYFUNCTION("""COMPUTED_VALUE"""),"NOS")</f>
        <v>NOS</v>
      </c>
      <c r="K459" s="80">
        <f ca="1">IFERROR(__xludf.DUMMYFUNCTION("""COMPUTED_VALUE"""),0)</f>
        <v>0</v>
      </c>
      <c r="L459" s="79" t="str">
        <f ca="1">IFERROR(__xludf.DUMMYFUNCTION("""COMPUTED_VALUE"""),"TRIMESTRE 4")</f>
        <v>TRIMESTRE 4</v>
      </c>
      <c r="M459" s="79" t="str">
        <f ca="1">IFERROR(__xludf.DUMMYFUNCTION("""COMPUTED_VALUE"""),"NIÑOS")</f>
        <v>NIÑOS</v>
      </c>
    </row>
    <row r="460" spans="1:26">
      <c r="A460" s="79" t="str">
        <f ca="1">IFERROR(__xludf.DUMMYFUNCTION("""COMPUTED_VALUE"""),"6.1.3.2")</f>
        <v>6.1.3.2</v>
      </c>
      <c r="B460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0" s="79" t="str">
        <f ca="1">IFERROR(__xludf.DUMMYFUNCTION("""COMPUTED_VALUE"""),"5. Inclusión")</f>
        <v>5. Inclusión</v>
      </c>
      <c r="D460" s="79" t="str">
        <f ca="1">IFERROR(__xludf.DUMMYFUNCTION("""COMPUTED_VALUE"""),"Guadalajara sin Barreras")</f>
        <v>Guadalajara sin Barreras</v>
      </c>
      <c r="E460" s="79" t="str">
        <f ca="1">IFERROR(__xludf.DUMMYFUNCTION("""COMPUTED_VALUE"""),"Cultura para la Inclusión")</f>
        <v>Cultura para la Inclusión</v>
      </c>
      <c r="F460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60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60" s="79" t="str">
        <f ca="1">IFERROR(__xludf.DUMMYFUNCTION("""COMPUTED_VALUE"""),"AM NOVIEMBRE")</f>
        <v>AM NOVIEMBRE</v>
      </c>
      <c r="I460" s="79" t="str">
        <f ca="1">IFERROR(__xludf.DUMMYFUNCTION("""COMPUTED_VALUE"""),"Noviembre")</f>
        <v>Noviembre</v>
      </c>
      <c r="J460" s="79" t="str">
        <f ca="1">IFERROR(__xludf.DUMMYFUNCTION("""COMPUTED_VALUE"""),"AM")</f>
        <v>AM</v>
      </c>
      <c r="K460" s="80">
        <f ca="1">IFERROR(__xludf.DUMMYFUNCTION("""COMPUTED_VALUE"""),0)</f>
        <v>0</v>
      </c>
      <c r="L460" s="79" t="str">
        <f ca="1">IFERROR(__xludf.DUMMYFUNCTION("""COMPUTED_VALUE"""),"TRIMESTRE 4")</f>
        <v>TRIMESTRE 4</v>
      </c>
      <c r="M460" s="79" t="str">
        <f ca="1">IFERROR(__xludf.DUMMYFUNCTION("""COMPUTED_VALUE"""),"ADOLESCENTES MUJERES")</f>
        <v>ADOLESCENTES MUJERES</v>
      </c>
    </row>
    <row r="461" spans="1:26">
      <c r="A461" s="79" t="str">
        <f ca="1">IFERROR(__xludf.DUMMYFUNCTION("""COMPUTED_VALUE"""),"6.1.3.2")</f>
        <v>6.1.3.2</v>
      </c>
      <c r="B461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1" s="79" t="str">
        <f ca="1">IFERROR(__xludf.DUMMYFUNCTION("""COMPUTED_VALUE"""),"5. Inclusión")</f>
        <v>5. Inclusión</v>
      </c>
      <c r="D461" s="79" t="str">
        <f ca="1">IFERROR(__xludf.DUMMYFUNCTION("""COMPUTED_VALUE"""),"Guadalajara sin Barreras")</f>
        <v>Guadalajara sin Barreras</v>
      </c>
      <c r="E461" s="79" t="str">
        <f ca="1">IFERROR(__xludf.DUMMYFUNCTION("""COMPUTED_VALUE"""),"Cultura para la Inclusión")</f>
        <v>Cultura para la Inclusión</v>
      </c>
      <c r="F461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61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61" s="79" t="str">
        <f ca="1">IFERROR(__xludf.DUMMYFUNCTION("""COMPUTED_VALUE"""),"AH NOVIEMBRE")</f>
        <v>AH NOVIEMBRE</v>
      </c>
      <c r="I461" s="79" t="str">
        <f ca="1">IFERROR(__xludf.DUMMYFUNCTION("""COMPUTED_VALUE"""),"Noviembre")</f>
        <v>Noviembre</v>
      </c>
      <c r="J461" s="79" t="str">
        <f ca="1">IFERROR(__xludf.DUMMYFUNCTION("""COMPUTED_VALUE"""),"AH")</f>
        <v>AH</v>
      </c>
      <c r="K461" s="80">
        <f ca="1">IFERROR(__xludf.DUMMYFUNCTION("""COMPUTED_VALUE"""),0)</f>
        <v>0</v>
      </c>
      <c r="L461" s="79" t="str">
        <f ca="1">IFERROR(__xludf.DUMMYFUNCTION("""COMPUTED_VALUE"""),"TRIMESTRE 4")</f>
        <v>TRIMESTRE 4</v>
      </c>
      <c r="M461" s="79" t="str">
        <f ca="1">IFERROR(__xludf.DUMMYFUNCTION("""COMPUTED_VALUE"""),"ADOLESCENTES HOMBRES")</f>
        <v>ADOLESCENTES HOMBRES</v>
      </c>
    </row>
    <row r="462" spans="1:26">
      <c r="A462" s="79" t="str">
        <f ca="1">IFERROR(__xludf.DUMMYFUNCTION("""COMPUTED_VALUE"""),"6.1.3.2")</f>
        <v>6.1.3.2</v>
      </c>
      <c r="B462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2" s="79" t="str">
        <f ca="1">IFERROR(__xludf.DUMMYFUNCTION("""COMPUTED_VALUE"""),"5. Inclusión")</f>
        <v>5. Inclusión</v>
      </c>
      <c r="D462" s="79" t="str">
        <f ca="1">IFERROR(__xludf.DUMMYFUNCTION("""COMPUTED_VALUE"""),"Guadalajara sin Barreras")</f>
        <v>Guadalajara sin Barreras</v>
      </c>
      <c r="E462" s="79" t="str">
        <f ca="1">IFERROR(__xludf.DUMMYFUNCTION("""COMPUTED_VALUE"""),"Cultura para la Inclusión")</f>
        <v>Cultura para la Inclusión</v>
      </c>
      <c r="F462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62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62" s="79" t="str">
        <f ca="1">IFERROR(__xludf.DUMMYFUNCTION("""COMPUTED_VALUE"""),"MUJ Noviembre")</f>
        <v>MUJ Noviembre</v>
      </c>
      <c r="I462" s="79" t="str">
        <f ca="1">IFERROR(__xludf.DUMMYFUNCTION("""COMPUTED_VALUE"""),"Noviembre")</f>
        <v>Noviembre</v>
      </c>
      <c r="J462" s="79" t="str">
        <f ca="1">IFERROR(__xludf.DUMMYFUNCTION("""COMPUTED_VALUE"""),"MUJ")</f>
        <v>MUJ</v>
      </c>
      <c r="K462" s="80">
        <f ca="1">IFERROR(__xludf.DUMMYFUNCTION("""COMPUTED_VALUE"""),0)</f>
        <v>0</v>
      </c>
      <c r="L462" s="79" t="str">
        <f ca="1">IFERROR(__xludf.DUMMYFUNCTION("""COMPUTED_VALUE"""),"TRIMESTRE 4")</f>
        <v>TRIMESTRE 4</v>
      </c>
      <c r="M462" s="79" t="str">
        <f ca="1">IFERROR(__xludf.DUMMYFUNCTION("""COMPUTED_VALUE"""),"MUJERES ADULTAS")</f>
        <v>MUJERES ADULTAS</v>
      </c>
    </row>
    <row r="463" spans="1:26">
      <c r="A463" s="79" t="str">
        <f ca="1">IFERROR(__xludf.DUMMYFUNCTION("""COMPUTED_VALUE"""),"6.1.3.2")</f>
        <v>6.1.3.2</v>
      </c>
      <c r="B463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3" s="79" t="str">
        <f ca="1">IFERROR(__xludf.DUMMYFUNCTION("""COMPUTED_VALUE"""),"5. Inclusión")</f>
        <v>5. Inclusión</v>
      </c>
      <c r="D463" s="79" t="str">
        <f ca="1">IFERROR(__xludf.DUMMYFUNCTION("""COMPUTED_VALUE"""),"Guadalajara sin Barreras")</f>
        <v>Guadalajara sin Barreras</v>
      </c>
      <c r="E463" s="79" t="str">
        <f ca="1">IFERROR(__xludf.DUMMYFUNCTION("""COMPUTED_VALUE"""),"Cultura para la Inclusión")</f>
        <v>Cultura para la Inclusión</v>
      </c>
      <c r="F463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63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63" s="79" t="str">
        <f ca="1">IFERROR(__xludf.DUMMYFUNCTION("""COMPUTED_VALUE"""),"HOM Noviembre")</f>
        <v>HOM Noviembre</v>
      </c>
      <c r="I463" s="79" t="str">
        <f ca="1">IFERROR(__xludf.DUMMYFUNCTION("""COMPUTED_VALUE"""),"Noviembre")</f>
        <v>Noviembre</v>
      </c>
      <c r="J463" s="79" t="str">
        <f ca="1">IFERROR(__xludf.DUMMYFUNCTION("""COMPUTED_VALUE"""),"HOM")</f>
        <v>HOM</v>
      </c>
      <c r="K463" s="80">
        <f ca="1">IFERROR(__xludf.DUMMYFUNCTION("""COMPUTED_VALUE"""),0)</f>
        <v>0</v>
      </c>
      <c r="L463" s="79" t="str">
        <f ca="1">IFERROR(__xludf.DUMMYFUNCTION("""COMPUTED_VALUE"""),"TRIMESTRE 4")</f>
        <v>TRIMESTRE 4</v>
      </c>
      <c r="M463" s="79" t="str">
        <f ca="1">IFERROR(__xludf.DUMMYFUNCTION("""COMPUTED_VALUE"""),"HOMBRES ADULTOS")</f>
        <v>HOMBRES ADULTOS</v>
      </c>
    </row>
    <row r="464" spans="1:26">
      <c r="A464" s="79" t="str">
        <f ca="1">IFERROR(__xludf.DUMMYFUNCTION("""COMPUTED_VALUE"""),"6.1.3.2")</f>
        <v>6.1.3.2</v>
      </c>
      <c r="B464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4" s="79" t="str">
        <f ca="1">IFERROR(__xludf.DUMMYFUNCTION("""COMPUTED_VALUE"""),"5. Inclusión")</f>
        <v>5. Inclusión</v>
      </c>
      <c r="D464" s="79" t="str">
        <f ca="1">IFERROR(__xludf.DUMMYFUNCTION("""COMPUTED_VALUE"""),"Guadalajara sin Barreras")</f>
        <v>Guadalajara sin Barreras</v>
      </c>
      <c r="E464" s="79" t="str">
        <f ca="1">IFERROR(__xludf.DUMMYFUNCTION("""COMPUTED_VALUE"""),"Cultura para la Inclusión")</f>
        <v>Cultura para la Inclusión</v>
      </c>
      <c r="F464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64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64" s="79" t="str">
        <f ca="1">IFERROR(__xludf.DUMMYFUNCTION("""COMPUTED_VALUE"""),"AMM Noviembre")</f>
        <v>AMM Noviembre</v>
      </c>
      <c r="I464" s="79" t="str">
        <f ca="1">IFERROR(__xludf.DUMMYFUNCTION("""COMPUTED_VALUE"""),"Noviembre")</f>
        <v>Noviembre</v>
      </c>
      <c r="J464" s="79" t="str">
        <f ca="1">IFERROR(__xludf.DUMMYFUNCTION("""COMPUTED_VALUE"""),"AMM")</f>
        <v>AMM</v>
      </c>
      <c r="K464" s="80">
        <f ca="1">IFERROR(__xludf.DUMMYFUNCTION("""COMPUTED_VALUE"""),0)</f>
        <v>0</v>
      </c>
      <c r="L464" s="79" t="str">
        <f ca="1">IFERROR(__xludf.DUMMYFUNCTION("""COMPUTED_VALUE"""),"TRIMESTRE 4")</f>
        <v>TRIMESTRE 4</v>
      </c>
      <c r="M464" s="79" t="str">
        <f ca="1">IFERROR(__xludf.DUMMYFUNCTION("""COMPUTED_VALUE"""),"ADULTA MAYOR MUJER")</f>
        <v>ADULTA MAYOR MUJER</v>
      </c>
    </row>
    <row r="465" spans="1:13">
      <c r="A465" s="79" t="str">
        <f ca="1">IFERROR(__xludf.DUMMYFUNCTION("""COMPUTED_VALUE"""),"6.1.3.2")</f>
        <v>6.1.3.2</v>
      </c>
      <c r="B465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5" s="79" t="str">
        <f ca="1">IFERROR(__xludf.DUMMYFUNCTION("""COMPUTED_VALUE"""),"5. Inclusión")</f>
        <v>5. Inclusión</v>
      </c>
      <c r="D465" s="79" t="str">
        <f ca="1">IFERROR(__xludf.DUMMYFUNCTION("""COMPUTED_VALUE"""),"Guadalajara sin Barreras")</f>
        <v>Guadalajara sin Barreras</v>
      </c>
      <c r="E465" s="79" t="str">
        <f ca="1">IFERROR(__xludf.DUMMYFUNCTION("""COMPUTED_VALUE"""),"Cultura para la Inclusión")</f>
        <v>Cultura para la Inclusión</v>
      </c>
      <c r="F465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65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65" s="79" t="str">
        <f ca="1">IFERROR(__xludf.DUMMYFUNCTION("""COMPUTED_VALUE"""),"AMH Noviembre")</f>
        <v>AMH Noviembre</v>
      </c>
      <c r="I465" s="79" t="str">
        <f ca="1">IFERROR(__xludf.DUMMYFUNCTION("""COMPUTED_VALUE"""),"Noviembre")</f>
        <v>Noviembre</v>
      </c>
      <c r="J465" s="79" t="str">
        <f ca="1">IFERROR(__xludf.DUMMYFUNCTION("""COMPUTED_VALUE"""),"AMH")</f>
        <v>AMH</v>
      </c>
      <c r="K465" s="80">
        <f ca="1">IFERROR(__xludf.DUMMYFUNCTION("""COMPUTED_VALUE"""),0)</f>
        <v>0</v>
      </c>
      <c r="L465" s="79" t="str">
        <f ca="1">IFERROR(__xludf.DUMMYFUNCTION("""COMPUTED_VALUE"""),"TRIMESTRE 4")</f>
        <v>TRIMESTRE 4</v>
      </c>
      <c r="M465" s="79" t="str">
        <f ca="1">IFERROR(__xludf.DUMMYFUNCTION("""COMPUTED_VALUE"""),"ADULTO MAYOR HOMBRE")</f>
        <v>ADULTO MAYOR HOMBRE</v>
      </c>
    </row>
    <row r="466" spans="1:13">
      <c r="A466" s="79" t="str">
        <f ca="1">IFERROR(__xludf.DUMMYFUNCTION("""COMPUTED_VALUE"""),"6.1.3.1")</f>
        <v>6.1.3.1</v>
      </c>
      <c r="B466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6" s="79" t="str">
        <f ca="1">IFERROR(__xludf.DUMMYFUNCTION("""COMPUTED_VALUE"""),"5. Inclusión")</f>
        <v>5. Inclusión</v>
      </c>
      <c r="D466" s="79" t="str">
        <f ca="1">IFERROR(__xludf.DUMMYFUNCTION("""COMPUTED_VALUE"""),"Guadalajara sin Barreras")</f>
        <v>Guadalajara sin Barreras</v>
      </c>
      <c r="E466" s="79" t="str">
        <f ca="1">IFERROR(__xludf.DUMMYFUNCTION("""COMPUTED_VALUE"""),"Cultura para la Inclusión")</f>
        <v>Cultura para la Inclusión</v>
      </c>
      <c r="F466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66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66" s="79" t="str">
        <f ca="1">IFERROR(__xludf.DUMMYFUNCTION("""COMPUTED_VALUE"""),"NAS Diciembre")</f>
        <v>NAS Diciembre</v>
      </c>
      <c r="I466" s="79" t="str">
        <f ca="1">IFERROR(__xludf.DUMMYFUNCTION("""COMPUTED_VALUE"""),"Diciembre")</f>
        <v>Diciembre</v>
      </c>
      <c r="J466" s="79" t="str">
        <f ca="1">IFERROR(__xludf.DUMMYFUNCTION("""COMPUTED_VALUE"""),"NAS")</f>
        <v>NAS</v>
      </c>
      <c r="K466" s="80">
        <f ca="1">IFERROR(__xludf.DUMMYFUNCTION("""COMPUTED_VALUE"""),0)</f>
        <v>0</v>
      </c>
      <c r="L466" s="79" t="str">
        <f ca="1">IFERROR(__xludf.DUMMYFUNCTION("""COMPUTED_VALUE"""),"TRIMESTRE 4")</f>
        <v>TRIMESTRE 4</v>
      </c>
      <c r="M466" s="79" t="str">
        <f ca="1">IFERROR(__xludf.DUMMYFUNCTION("""COMPUTED_VALUE"""),"NIÑAS")</f>
        <v>NIÑAS</v>
      </c>
    </row>
    <row r="467" spans="1:13">
      <c r="A467" s="79" t="str">
        <f ca="1">IFERROR(__xludf.DUMMYFUNCTION("""COMPUTED_VALUE"""),"6.1.3.1")</f>
        <v>6.1.3.1</v>
      </c>
      <c r="B467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7" s="79" t="str">
        <f ca="1">IFERROR(__xludf.DUMMYFUNCTION("""COMPUTED_VALUE"""),"5. Inclusión")</f>
        <v>5. Inclusión</v>
      </c>
      <c r="D467" s="79" t="str">
        <f ca="1">IFERROR(__xludf.DUMMYFUNCTION("""COMPUTED_VALUE"""),"Guadalajara sin Barreras")</f>
        <v>Guadalajara sin Barreras</v>
      </c>
      <c r="E467" s="79" t="str">
        <f ca="1">IFERROR(__xludf.DUMMYFUNCTION("""COMPUTED_VALUE"""),"Cultura para la Inclusión")</f>
        <v>Cultura para la Inclusión</v>
      </c>
      <c r="F467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67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67" s="79" t="str">
        <f ca="1">IFERROR(__xludf.DUMMYFUNCTION("""COMPUTED_VALUE"""),"NOS Diciembre")</f>
        <v>NOS Diciembre</v>
      </c>
      <c r="I467" s="79" t="str">
        <f ca="1">IFERROR(__xludf.DUMMYFUNCTION("""COMPUTED_VALUE"""),"Diciembre")</f>
        <v>Diciembre</v>
      </c>
      <c r="J467" s="79" t="str">
        <f ca="1">IFERROR(__xludf.DUMMYFUNCTION("""COMPUTED_VALUE"""),"NOS")</f>
        <v>NOS</v>
      </c>
      <c r="K467" s="80">
        <f ca="1">IFERROR(__xludf.DUMMYFUNCTION("""COMPUTED_VALUE"""),0)</f>
        <v>0</v>
      </c>
      <c r="L467" s="79" t="str">
        <f ca="1">IFERROR(__xludf.DUMMYFUNCTION("""COMPUTED_VALUE"""),"TRIMESTRE 4")</f>
        <v>TRIMESTRE 4</v>
      </c>
      <c r="M467" s="79" t="str">
        <f ca="1">IFERROR(__xludf.DUMMYFUNCTION("""COMPUTED_VALUE"""),"NIÑOS")</f>
        <v>NIÑOS</v>
      </c>
    </row>
    <row r="468" spans="1:13">
      <c r="A468" s="79" t="str">
        <f ca="1">IFERROR(__xludf.DUMMYFUNCTION("""COMPUTED_VALUE"""),"6.1.3.1")</f>
        <v>6.1.3.1</v>
      </c>
      <c r="B468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8" s="79" t="str">
        <f ca="1">IFERROR(__xludf.DUMMYFUNCTION("""COMPUTED_VALUE"""),"5. Inclusión")</f>
        <v>5. Inclusión</v>
      </c>
      <c r="D468" s="79" t="str">
        <f ca="1">IFERROR(__xludf.DUMMYFUNCTION("""COMPUTED_VALUE"""),"Guadalajara sin Barreras")</f>
        <v>Guadalajara sin Barreras</v>
      </c>
      <c r="E468" s="79" t="str">
        <f ca="1">IFERROR(__xludf.DUMMYFUNCTION("""COMPUTED_VALUE"""),"Cultura para la Inclusión")</f>
        <v>Cultura para la Inclusión</v>
      </c>
      <c r="F468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68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68" s="79" t="str">
        <f ca="1">IFERROR(__xludf.DUMMYFUNCTION("""COMPUTED_VALUE"""),"AM DICIEMBRE")</f>
        <v>AM DICIEMBRE</v>
      </c>
      <c r="I468" s="79" t="str">
        <f ca="1">IFERROR(__xludf.DUMMYFUNCTION("""COMPUTED_VALUE"""),"Diciembre")</f>
        <v>Diciembre</v>
      </c>
      <c r="J468" s="79" t="str">
        <f ca="1">IFERROR(__xludf.DUMMYFUNCTION("""COMPUTED_VALUE"""),"AM")</f>
        <v>AM</v>
      </c>
      <c r="K468" s="80">
        <f ca="1">IFERROR(__xludf.DUMMYFUNCTION("""COMPUTED_VALUE"""),0)</f>
        <v>0</v>
      </c>
      <c r="L468" s="79" t="str">
        <f ca="1">IFERROR(__xludf.DUMMYFUNCTION("""COMPUTED_VALUE"""),"TRIMESTRE 4")</f>
        <v>TRIMESTRE 4</v>
      </c>
      <c r="M468" s="79" t="str">
        <f ca="1">IFERROR(__xludf.DUMMYFUNCTION("""COMPUTED_VALUE"""),"ADOLESCENTES MUJERES")</f>
        <v>ADOLESCENTES MUJERES</v>
      </c>
    </row>
    <row r="469" spans="1:13">
      <c r="A469" s="79" t="str">
        <f ca="1">IFERROR(__xludf.DUMMYFUNCTION("""COMPUTED_VALUE"""),"6.1.3.1")</f>
        <v>6.1.3.1</v>
      </c>
      <c r="B469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69" s="79" t="str">
        <f ca="1">IFERROR(__xludf.DUMMYFUNCTION("""COMPUTED_VALUE"""),"5. Inclusión")</f>
        <v>5. Inclusión</v>
      </c>
      <c r="D469" s="79" t="str">
        <f ca="1">IFERROR(__xludf.DUMMYFUNCTION("""COMPUTED_VALUE"""),"Guadalajara sin Barreras")</f>
        <v>Guadalajara sin Barreras</v>
      </c>
      <c r="E469" s="79" t="str">
        <f ca="1">IFERROR(__xludf.DUMMYFUNCTION("""COMPUTED_VALUE"""),"Cultura para la Inclusión")</f>
        <v>Cultura para la Inclusión</v>
      </c>
      <c r="F469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69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69" s="79" t="str">
        <f ca="1">IFERROR(__xludf.DUMMYFUNCTION("""COMPUTED_VALUE"""),"AH DICIEMBRE")</f>
        <v>AH DICIEMBRE</v>
      </c>
      <c r="I469" s="79" t="str">
        <f ca="1">IFERROR(__xludf.DUMMYFUNCTION("""COMPUTED_VALUE"""),"Diciembre")</f>
        <v>Diciembre</v>
      </c>
      <c r="J469" s="79" t="str">
        <f ca="1">IFERROR(__xludf.DUMMYFUNCTION("""COMPUTED_VALUE"""),"AH")</f>
        <v>AH</v>
      </c>
      <c r="K469" s="80">
        <f ca="1">IFERROR(__xludf.DUMMYFUNCTION("""COMPUTED_VALUE"""),0)</f>
        <v>0</v>
      </c>
      <c r="L469" s="79" t="str">
        <f ca="1">IFERROR(__xludf.DUMMYFUNCTION("""COMPUTED_VALUE"""),"TRIMESTRE 4")</f>
        <v>TRIMESTRE 4</v>
      </c>
      <c r="M469" s="79" t="str">
        <f ca="1">IFERROR(__xludf.DUMMYFUNCTION("""COMPUTED_VALUE"""),"ADOLESCENTES HOMBRES")</f>
        <v>ADOLESCENTES HOMBRES</v>
      </c>
    </row>
    <row r="470" spans="1:13">
      <c r="A470" s="79" t="str">
        <f ca="1">IFERROR(__xludf.DUMMYFUNCTION("""COMPUTED_VALUE"""),"6.1.3.1")</f>
        <v>6.1.3.1</v>
      </c>
      <c r="B470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0" s="79" t="str">
        <f ca="1">IFERROR(__xludf.DUMMYFUNCTION("""COMPUTED_VALUE"""),"5. Inclusión")</f>
        <v>5. Inclusión</v>
      </c>
      <c r="D470" s="79" t="str">
        <f ca="1">IFERROR(__xludf.DUMMYFUNCTION("""COMPUTED_VALUE"""),"Guadalajara sin Barreras")</f>
        <v>Guadalajara sin Barreras</v>
      </c>
      <c r="E470" s="79" t="str">
        <f ca="1">IFERROR(__xludf.DUMMYFUNCTION("""COMPUTED_VALUE"""),"Cultura para la Inclusión")</f>
        <v>Cultura para la Inclusión</v>
      </c>
      <c r="F470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70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70" s="79" t="str">
        <f ca="1">IFERROR(__xludf.DUMMYFUNCTION("""COMPUTED_VALUE"""),"MUJ Diciembre")</f>
        <v>MUJ Diciembre</v>
      </c>
      <c r="I470" s="79" t="str">
        <f ca="1">IFERROR(__xludf.DUMMYFUNCTION("""COMPUTED_VALUE"""),"Diciembre")</f>
        <v>Diciembre</v>
      </c>
      <c r="J470" s="79" t="str">
        <f ca="1">IFERROR(__xludf.DUMMYFUNCTION("""COMPUTED_VALUE"""),"MUJ")</f>
        <v>MUJ</v>
      </c>
      <c r="K470" s="80">
        <f ca="1">IFERROR(__xludf.DUMMYFUNCTION("""COMPUTED_VALUE"""),18)</f>
        <v>18</v>
      </c>
      <c r="L470" s="79" t="str">
        <f ca="1">IFERROR(__xludf.DUMMYFUNCTION("""COMPUTED_VALUE"""),"TRIMESTRE 4")</f>
        <v>TRIMESTRE 4</v>
      </c>
      <c r="M470" s="79" t="str">
        <f ca="1">IFERROR(__xludf.DUMMYFUNCTION("""COMPUTED_VALUE"""),"MUJERES ADULTAS")</f>
        <v>MUJERES ADULTAS</v>
      </c>
    </row>
    <row r="471" spans="1:13">
      <c r="A471" s="79" t="str">
        <f ca="1">IFERROR(__xludf.DUMMYFUNCTION("""COMPUTED_VALUE"""),"6.1.3.1")</f>
        <v>6.1.3.1</v>
      </c>
      <c r="B471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1" s="79" t="str">
        <f ca="1">IFERROR(__xludf.DUMMYFUNCTION("""COMPUTED_VALUE"""),"5. Inclusión")</f>
        <v>5. Inclusión</v>
      </c>
      <c r="D471" s="79" t="str">
        <f ca="1">IFERROR(__xludf.DUMMYFUNCTION("""COMPUTED_VALUE"""),"Guadalajara sin Barreras")</f>
        <v>Guadalajara sin Barreras</v>
      </c>
      <c r="E471" s="79" t="str">
        <f ca="1">IFERROR(__xludf.DUMMYFUNCTION("""COMPUTED_VALUE"""),"Cultura para la Inclusión")</f>
        <v>Cultura para la Inclusión</v>
      </c>
      <c r="F471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71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71" s="79" t="str">
        <f ca="1">IFERROR(__xludf.DUMMYFUNCTION("""COMPUTED_VALUE"""),"HOM Diciembre")</f>
        <v>HOM Diciembre</v>
      </c>
      <c r="I471" s="79" t="str">
        <f ca="1">IFERROR(__xludf.DUMMYFUNCTION("""COMPUTED_VALUE"""),"Diciembre")</f>
        <v>Diciembre</v>
      </c>
      <c r="J471" s="79" t="str">
        <f ca="1">IFERROR(__xludf.DUMMYFUNCTION("""COMPUTED_VALUE"""),"HOM")</f>
        <v>HOM</v>
      </c>
      <c r="K471" s="80">
        <f ca="1">IFERROR(__xludf.DUMMYFUNCTION("""COMPUTED_VALUE"""),20)</f>
        <v>20</v>
      </c>
      <c r="L471" s="79" t="str">
        <f ca="1">IFERROR(__xludf.DUMMYFUNCTION("""COMPUTED_VALUE"""),"TRIMESTRE 4")</f>
        <v>TRIMESTRE 4</v>
      </c>
      <c r="M471" s="79" t="str">
        <f ca="1">IFERROR(__xludf.DUMMYFUNCTION("""COMPUTED_VALUE"""),"HOMBRES ADULTOS")</f>
        <v>HOMBRES ADULTOS</v>
      </c>
    </row>
    <row r="472" spans="1:13">
      <c r="A472" s="79" t="str">
        <f ca="1">IFERROR(__xludf.DUMMYFUNCTION("""COMPUTED_VALUE"""),"6.1.3.1")</f>
        <v>6.1.3.1</v>
      </c>
      <c r="B472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2" s="79" t="str">
        <f ca="1">IFERROR(__xludf.DUMMYFUNCTION("""COMPUTED_VALUE"""),"5. Inclusión")</f>
        <v>5. Inclusión</v>
      </c>
      <c r="D472" s="79" t="str">
        <f ca="1">IFERROR(__xludf.DUMMYFUNCTION("""COMPUTED_VALUE"""),"Guadalajara sin Barreras")</f>
        <v>Guadalajara sin Barreras</v>
      </c>
      <c r="E472" s="79" t="str">
        <f ca="1">IFERROR(__xludf.DUMMYFUNCTION("""COMPUTED_VALUE"""),"Cultura para la Inclusión")</f>
        <v>Cultura para la Inclusión</v>
      </c>
      <c r="F472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72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72" s="79" t="str">
        <f ca="1">IFERROR(__xludf.DUMMYFUNCTION("""COMPUTED_VALUE"""),"AMM Diciembre")</f>
        <v>AMM Diciembre</v>
      </c>
      <c r="I472" s="79" t="str">
        <f ca="1">IFERROR(__xludf.DUMMYFUNCTION("""COMPUTED_VALUE"""),"Diciembre")</f>
        <v>Diciembre</v>
      </c>
      <c r="J472" s="79" t="str">
        <f ca="1">IFERROR(__xludf.DUMMYFUNCTION("""COMPUTED_VALUE"""),"AMM")</f>
        <v>AMM</v>
      </c>
      <c r="K472" s="80">
        <f ca="1">IFERROR(__xludf.DUMMYFUNCTION("""COMPUTED_VALUE"""),0)</f>
        <v>0</v>
      </c>
      <c r="L472" s="79" t="str">
        <f ca="1">IFERROR(__xludf.DUMMYFUNCTION("""COMPUTED_VALUE"""),"TRIMESTRE 4")</f>
        <v>TRIMESTRE 4</v>
      </c>
      <c r="M472" s="79" t="str">
        <f ca="1">IFERROR(__xludf.DUMMYFUNCTION("""COMPUTED_VALUE"""),"ADULTA MAYOR MUJER")</f>
        <v>ADULTA MAYOR MUJER</v>
      </c>
    </row>
    <row r="473" spans="1:13">
      <c r="A473" s="79" t="str">
        <f ca="1">IFERROR(__xludf.DUMMYFUNCTION("""COMPUTED_VALUE"""),"6.1.3.1")</f>
        <v>6.1.3.1</v>
      </c>
      <c r="B473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3" s="79" t="str">
        <f ca="1">IFERROR(__xludf.DUMMYFUNCTION("""COMPUTED_VALUE"""),"5. Inclusión")</f>
        <v>5. Inclusión</v>
      </c>
      <c r="D473" s="79" t="str">
        <f ca="1">IFERROR(__xludf.DUMMYFUNCTION("""COMPUTED_VALUE"""),"Guadalajara sin Barreras")</f>
        <v>Guadalajara sin Barreras</v>
      </c>
      <c r="E473" s="79" t="str">
        <f ca="1">IFERROR(__xludf.DUMMYFUNCTION("""COMPUTED_VALUE"""),"Cultura para la Inclusión")</f>
        <v>Cultura para la Inclusión</v>
      </c>
      <c r="F473" s="79" t="str">
        <f ca="1">IFERROR(__xludf.DUMMYFUNCTION("""COMPUTED_VALUE"""),"A1C3. Personas adultas con discapacidad intelectual institucionalizadas a las que se les otorgó medicamento para la garantía de sus derechos durante el 2024.")</f>
        <v>A1C3. Personas adultas con discapacidad intelectual institucionalizadas a las que se les otorgó medicamento para la garantía de sus derechos durante el 2024.</v>
      </c>
      <c r="G473" s="79" t="str">
        <f ca="1">IFERROR(__xludf.DUMMYFUNCTION("""COMPUTED_VALUE"""),"Promedio de personas adultas con discapacidad intelectual institucionalizadas que reciben de manera oportuna medicamentos para la garantía de sus derechos durante el 2024")</f>
        <v>Promedio de personas adultas con discapacidad intelectual institucionalizadas que reciben de manera oportuna medicamentos para la garantía de sus derechos durante el 2024</v>
      </c>
      <c r="H473" s="79" t="str">
        <f ca="1">IFERROR(__xludf.DUMMYFUNCTION("""COMPUTED_VALUE"""),"AMH Diciembre")</f>
        <v>AMH Diciembre</v>
      </c>
      <c r="I473" s="79" t="str">
        <f ca="1">IFERROR(__xludf.DUMMYFUNCTION("""COMPUTED_VALUE"""),"Diciembre")</f>
        <v>Diciembre</v>
      </c>
      <c r="J473" s="79" t="str">
        <f ca="1">IFERROR(__xludf.DUMMYFUNCTION("""COMPUTED_VALUE"""),"AMH")</f>
        <v>AMH</v>
      </c>
      <c r="K473" s="80">
        <f ca="1">IFERROR(__xludf.DUMMYFUNCTION("""COMPUTED_VALUE"""),0)</f>
        <v>0</v>
      </c>
      <c r="L473" s="79" t="str">
        <f ca="1">IFERROR(__xludf.DUMMYFUNCTION("""COMPUTED_VALUE"""),"TRIMESTRE 4")</f>
        <v>TRIMESTRE 4</v>
      </c>
      <c r="M473" s="79" t="str">
        <f ca="1">IFERROR(__xludf.DUMMYFUNCTION("""COMPUTED_VALUE"""),"ADULTO MAYOR HOMBRE")</f>
        <v>ADULTO MAYOR HOMBRE</v>
      </c>
    </row>
    <row r="474" spans="1:13">
      <c r="A474" s="79" t="str">
        <f ca="1">IFERROR(__xludf.DUMMYFUNCTION("""COMPUTED_VALUE"""),"6.1.3.2")</f>
        <v>6.1.3.2</v>
      </c>
      <c r="B474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4" s="79" t="str">
        <f ca="1">IFERROR(__xludf.DUMMYFUNCTION("""COMPUTED_VALUE"""),"5. Inclusión")</f>
        <v>5. Inclusión</v>
      </c>
      <c r="D474" s="79" t="str">
        <f ca="1">IFERROR(__xludf.DUMMYFUNCTION("""COMPUTED_VALUE"""),"Guadalajara sin Barreras")</f>
        <v>Guadalajara sin Barreras</v>
      </c>
      <c r="E474" s="79" t="str">
        <f ca="1">IFERROR(__xludf.DUMMYFUNCTION("""COMPUTED_VALUE"""),"Cultura para la Inclusión")</f>
        <v>Cultura para la Inclusión</v>
      </c>
      <c r="F474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74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74" s="79" t="str">
        <f ca="1">IFERROR(__xludf.DUMMYFUNCTION("""COMPUTED_VALUE"""),"NAS Diciembre")</f>
        <v>NAS Diciembre</v>
      </c>
      <c r="I474" s="79" t="str">
        <f ca="1">IFERROR(__xludf.DUMMYFUNCTION("""COMPUTED_VALUE"""),"Diciembre")</f>
        <v>Diciembre</v>
      </c>
      <c r="J474" s="79" t="str">
        <f ca="1">IFERROR(__xludf.DUMMYFUNCTION("""COMPUTED_VALUE"""),"NAS")</f>
        <v>NAS</v>
      </c>
      <c r="K474" s="80">
        <f ca="1">IFERROR(__xludf.DUMMYFUNCTION("""COMPUTED_VALUE"""),0)</f>
        <v>0</v>
      </c>
      <c r="L474" s="79" t="str">
        <f ca="1">IFERROR(__xludf.DUMMYFUNCTION("""COMPUTED_VALUE"""),"TRIMESTRE 4")</f>
        <v>TRIMESTRE 4</v>
      </c>
      <c r="M474" s="79" t="str">
        <f ca="1">IFERROR(__xludf.DUMMYFUNCTION("""COMPUTED_VALUE"""),"NIÑAS")</f>
        <v>NIÑAS</v>
      </c>
    </row>
    <row r="475" spans="1:13">
      <c r="A475" s="79" t="str">
        <f ca="1">IFERROR(__xludf.DUMMYFUNCTION("""COMPUTED_VALUE"""),"6.1.3.2")</f>
        <v>6.1.3.2</v>
      </c>
      <c r="B475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5" s="79" t="str">
        <f ca="1">IFERROR(__xludf.DUMMYFUNCTION("""COMPUTED_VALUE"""),"5. Inclusión")</f>
        <v>5. Inclusión</v>
      </c>
      <c r="D475" s="79" t="str">
        <f ca="1">IFERROR(__xludf.DUMMYFUNCTION("""COMPUTED_VALUE"""),"Guadalajara sin Barreras")</f>
        <v>Guadalajara sin Barreras</v>
      </c>
      <c r="E475" s="79" t="str">
        <f ca="1">IFERROR(__xludf.DUMMYFUNCTION("""COMPUTED_VALUE"""),"Cultura para la Inclusión")</f>
        <v>Cultura para la Inclusión</v>
      </c>
      <c r="F475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75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75" s="79" t="str">
        <f ca="1">IFERROR(__xludf.DUMMYFUNCTION("""COMPUTED_VALUE"""),"NOS Diciembre")</f>
        <v>NOS Diciembre</v>
      </c>
      <c r="I475" s="79" t="str">
        <f ca="1">IFERROR(__xludf.DUMMYFUNCTION("""COMPUTED_VALUE"""),"Diciembre")</f>
        <v>Diciembre</v>
      </c>
      <c r="J475" s="79" t="str">
        <f ca="1">IFERROR(__xludf.DUMMYFUNCTION("""COMPUTED_VALUE"""),"NOS")</f>
        <v>NOS</v>
      </c>
      <c r="K475" s="80">
        <f ca="1">IFERROR(__xludf.DUMMYFUNCTION("""COMPUTED_VALUE"""),0)</f>
        <v>0</v>
      </c>
      <c r="L475" s="79" t="str">
        <f ca="1">IFERROR(__xludf.DUMMYFUNCTION("""COMPUTED_VALUE"""),"TRIMESTRE 4")</f>
        <v>TRIMESTRE 4</v>
      </c>
      <c r="M475" s="79" t="str">
        <f ca="1">IFERROR(__xludf.DUMMYFUNCTION("""COMPUTED_VALUE"""),"NIÑOS")</f>
        <v>NIÑOS</v>
      </c>
    </row>
    <row r="476" spans="1:13">
      <c r="A476" s="79" t="str">
        <f ca="1">IFERROR(__xludf.DUMMYFUNCTION("""COMPUTED_VALUE"""),"6.1.3.2")</f>
        <v>6.1.3.2</v>
      </c>
      <c r="B476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6" s="79" t="str">
        <f ca="1">IFERROR(__xludf.DUMMYFUNCTION("""COMPUTED_VALUE"""),"5. Inclusión")</f>
        <v>5. Inclusión</v>
      </c>
      <c r="D476" s="79" t="str">
        <f ca="1">IFERROR(__xludf.DUMMYFUNCTION("""COMPUTED_VALUE"""),"Guadalajara sin Barreras")</f>
        <v>Guadalajara sin Barreras</v>
      </c>
      <c r="E476" s="79" t="str">
        <f ca="1">IFERROR(__xludf.DUMMYFUNCTION("""COMPUTED_VALUE"""),"Cultura para la Inclusión")</f>
        <v>Cultura para la Inclusión</v>
      </c>
      <c r="F476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76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76" s="79" t="str">
        <f ca="1">IFERROR(__xludf.DUMMYFUNCTION("""COMPUTED_VALUE"""),"AM DICIEMBRE")</f>
        <v>AM DICIEMBRE</v>
      </c>
      <c r="I476" s="79" t="str">
        <f ca="1">IFERROR(__xludf.DUMMYFUNCTION("""COMPUTED_VALUE"""),"Diciembre")</f>
        <v>Diciembre</v>
      </c>
      <c r="J476" s="79" t="str">
        <f ca="1">IFERROR(__xludf.DUMMYFUNCTION("""COMPUTED_VALUE"""),"AM")</f>
        <v>AM</v>
      </c>
      <c r="K476" s="80">
        <f ca="1">IFERROR(__xludf.DUMMYFUNCTION("""COMPUTED_VALUE"""),0)</f>
        <v>0</v>
      </c>
      <c r="L476" s="79" t="str">
        <f ca="1">IFERROR(__xludf.DUMMYFUNCTION("""COMPUTED_VALUE"""),"TRIMESTRE 4")</f>
        <v>TRIMESTRE 4</v>
      </c>
      <c r="M476" s="79" t="str">
        <f ca="1">IFERROR(__xludf.DUMMYFUNCTION("""COMPUTED_VALUE"""),"ADOLESCENTES MUJERES")</f>
        <v>ADOLESCENTES MUJERES</v>
      </c>
    </row>
    <row r="477" spans="1:13">
      <c r="A477" s="79" t="str">
        <f ca="1">IFERROR(__xludf.DUMMYFUNCTION("""COMPUTED_VALUE"""),"6.1.3.2")</f>
        <v>6.1.3.2</v>
      </c>
      <c r="B477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7" s="79" t="str">
        <f ca="1">IFERROR(__xludf.DUMMYFUNCTION("""COMPUTED_VALUE"""),"5. Inclusión")</f>
        <v>5. Inclusión</v>
      </c>
      <c r="D477" s="79" t="str">
        <f ca="1">IFERROR(__xludf.DUMMYFUNCTION("""COMPUTED_VALUE"""),"Guadalajara sin Barreras")</f>
        <v>Guadalajara sin Barreras</v>
      </c>
      <c r="E477" s="79" t="str">
        <f ca="1">IFERROR(__xludf.DUMMYFUNCTION("""COMPUTED_VALUE"""),"Cultura para la Inclusión")</f>
        <v>Cultura para la Inclusión</v>
      </c>
      <c r="F477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77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77" s="79" t="str">
        <f ca="1">IFERROR(__xludf.DUMMYFUNCTION("""COMPUTED_VALUE"""),"AH DICIEMBRE")</f>
        <v>AH DICIEMBRE</v>
      </c>
      <c r="I477" s="79" t="str">
        <f ca="1">IFERROR(__xludf.DUMMYFUNCTION("""COMPUTED_VALUE"""),"Diciembre")</f>
        <v>Diciembre</v>
      </c>
      <c r="J477" s="79" t="str">
        <f ca="1">IFERROR(__xludf.DUMMYFUNCTION("""COMPUTED_VALUE"""),"AH")</f>
        <v>AH</v>
      </c>
      <c r="K477" s="80">
        <f ca="1">IFERROR(__xludf.DUMMYFUNCTION("""COMPUTED_VALUE"""),0)</f>
        <v>0</v>
      </c>
      <c r="L477" s="79" t="str">
        <f ca="1">IFERROR(__xludf.DUMMYFUNCTION("""COMPUTED_VALUE"""),"TRIMESTRE 4")</f>
        <v>TRIMESTRE 4</v>
      </c>
      <c r="M477" s="79" t="str">
        <f ca="1">IFERROR(__xludf.DUMMYFUNCTION("""COMPUTED_VALUE"""),"ADOLESCENTES HOMBRES")</f>
        <v>ADOLESCENTES HOMBRES</v>
      </c>
    </row>
    <row r="478" spans="1:13">
      <c r="A478" s="79" t="str">
        <f ca="1">IFERROR(__xludf.DUMMYFUNCTION("""COMPUTED_VALUE"""),"6.1.3.2")</f>
        <v>6.1.3.2</v>
      </c>
      <c r="B478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8" s="79" t="str">
        <f ca="1">IFERROR(__xludf.DUMMYFUNCTION("""COMPUTED_VALUE"""),"5. Inclusión")</f>
        <v>5. Inclusión</v>
      </c>
      <c r="D478" s="79" t="str">
        <f ca="1">IFERROR(__xludf.DUMMYFUNCTION("""COMPUTED_VALUE"""),"Guadalajara sin Barreras")</f>
        <v>Guadalajara sin Barreras</v>
      </c>
      <c r="E478" s="79" t="str">
        <f ca="1">IFERROR(__xludf.DUMMYFUNCTION("""COMPUTED_VALUE"""),"Cultura para la Inclusión")</f>
        <v>Cultura para la Inclusión</v>
      </c>
      <c r="F478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78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78" s="79" t="str">
        <f ca="1">IFERROR(__xludf.DUMMYFUNCTION("""COMPUTED_VALUE"""),"MUJ Diciembre")</f>
        <v>MUJ Diciembre</v>
      </c>
      <c r="I478" s="79" t="str">
        <f ca="1">IFERROR(__xludf.DUMMYFUNCTION("""COMPUTED_VALUE"""),"Diciembre")</f>
        <v>Diciembre</v>
      </c>
      <c r="J478" s="79" t="str">
        <f ca="1">IFERROR(__xludf.DUMMYFUNCTION("""COMPUTED_VALUE"""),"MUJ")</f>
        <v>MUJ</v>
      </c>
      <c r="K478" s="80">
        <f ca="1">IFERROR(__xludf.DUMMYFUNCTION("""COMPUTED_VALUE"""),0)</f>
        <v>0</v>
      </c>
      <c r="L478" s="79" t="str">
        <f ca="1">IFERROR(__xludf.DUMMYFUNCTION("""COMPUTED_VALUE"""),"TRIMESTRE 4")</f>
        <v>TRIMESTRE 4</v>
      </c>
      <c r="M478" s="79" t="str">
        <f ca="1">IFERROR(__xludf.DUMMYFUNCTION("""COMPUTED_VALUE"""),"MUJERES ADULTAS")</f>
        <v>MUJERES ADULTAS</v>
      </c>
    </row>
    <row r="479" spans="1:13">
      <c r="A479" s="79" t="str">
        <f ca="1">IFERROR(__xludf.DUMMYFUNCTION("""COMPUTED_VALUE"""),"6.1.3.2")</f>
        <v>6.1.3.2</v>
      </c>
      <c r="B479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79" s="79" t="str">
        <f ca="1">IFERROR(__xludf.DUMMYFUNCTION("""COMPUTED_VALUE"""),"5. Inclusión")</f>
        <v>5. Inclusión</v>
      </c>
      <c r="D479" s="79" t="str">
        <f ca="1">IFERROR(__xludf.DUMMYFUNCTION("""COMPUTED_VALUE"""),"Guadalajara sin Barreras")</f>
        <v>Guadalajara sin Barreras</v>
      </c>
      <c r="E479" s="79" t="str">
        <f ca="1">IFERROR(__xludf.DUMMYFUNCTION("""COMPUTED_VALUE"""),"Cultura para la Inclusión")</f>
        <v>Cultura para la Inclusión</v>
      </c>
      <c r="F479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79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79" s="79" t="str">
        <f ca="1">IFERROR(__xludf.DUMMYFUNCTION("""COMPUTED_VALUE"""),"HOM Diciembre")</f>
        <v>HOM Diciembre</v>
      </c>
      <c r="I479" s="79" t="str">
        <f ca="1">IFERROR(__xludf.DUMMYFUNCTION("""COMPUTED_VALUE"""),"Diciembre")</f>
        <v>Diciembre</v>
      </c>
      <c r="J479" s="79" t="str">
        <f ca="1">IFERROR(__xludf.DUMMYFUNCTION("""COMPUTED_VALUE"""),"HOM")</f>
        <v>HOM</v>
      </c>
      <c r="K479" s="80">
        <f ca="1">IFERROR(__xludf.DUMMYFUNCTION("""COMPUTED_VALUE"""),0)</f>
        <v>0</v>
      </c>
      <c r="L479" s="79" t="str">
        <f ca="1">IFERROR(__xludf.DUMMYFUNCTION("""COMPUTED_VALUE"""),"TRIMESTRE 4")</f>
        <v>TRIMESTRE 4</v>
      </c>
      <c r="M479" s="79" t="str">
        <f ca="1">IFERROR(__xludf.DUMMYFUNCTION("""COMPUTED_VALUE"""),"HOMBRES ADULTOS")</f>
        <v>HOMBRES ADULTOS</v>
      </c>
    </row>
    <row r="480" spans="1:13">
      <c r="A480" s="79" t="str">
        <f ca="1">IFERROR(__xludf.DUMMYFUNCTION("""COMPUTED_VALUE"""),"6.1.3.2")</f>
        <v>6.1.3.2</v>
      </c>
      <c r="B480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80" s="79" t="str">
        <f ca="1">IFERROR(__xludf.DUMMYFUNCTION("""COMPUTED_VALUE"""),"5. Inclusión")</f>
        <v>5. Inclusión</v>
      </c>
      <c r="D480" s="79" t="str">
        <f ca="1">IFERROR(__xludf.DUMMYFUNCTION("""COMPUTED_VALUE"""),"Guadalajara sin Barreras")</f>
        <v>Guadalajara sin Barreras</v>
      </c>
      <c r="E480" s="79" t="str">
        <f ca="1">IFERROR(__xludf.DUMMYFUNCTION("""COMPUTED_VALUE"""),"Cultura para la Inclusión")</f>
        <v>Cultura para la Inclusión</v>
      </c>
      <c r="F480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80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80" s="79" t="str">
        <f ca="1">IFERROR(__xludf.DUMMYFUNCTION("""COMPUTED_VALUE"""),"AMM Diciembre")</f>
        <v>AMM Diciembre</v>
      </c>
      <c r="I480" s="79" t="str">
        <f ca="1">IFERROR(__xludf.DUMMYFUNCTION("""COMPUTED_VALUE"""),"Diciembre")</f>
        <v>Diciembre</v>
      </c>
      <c r="J480" s="79" t="str">
        <f ca="1">IFERROR(__xludf.DUMMYFUNCTION("""COMPUTED_VALUE"""),"AMM")</f>
        <v>AMM</v>
      </c>
      <c r="K480" s="80">
        <f ca="1">IFERROR(__xludf.DUMMYFUNCTION("""COMPUTED_VALUE"""),0)</f>
        <v>0</v>
      </c>
      <c r="L480" s="79" t="str">
        <f ca="1">IFERROR(__xludf.DUMMYFUNCTION("""COMPUTED_VALUE"""),"TRIMESTRE 4")</f>
        <v>TRIMESTRE 4</v>
      </c>
      <c r="M480" s="79" t="str">
        <f ca="1">IFERROR(__xludf.DUMMYFUNCTION("""COMPUTED_VALUE"""),"ADULTA MAYOR MUJER")</f>
        <v>ADULTA MAYOR MUJER</v>
      </c>
    </row>
    <row r="481" spans="1:26">
      <c r="A481" s="79" t="str">
        <f ca="1">IFERROR(__xludf.DUMMYFUNCTION("""COMPUTED_VALUE"""),"6.1.3.2")</f>
        <v>6.1.3.2</v>
      </c>
      <c r="B481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481" s="79" t="str">
        <f ca="1">IFERROR(__xludf.DUMMYFUNCTION("""COMPUTED_VALUE"""),"5. Inclusión")</f>
        <v>5. Inclusión</v>
      </c>
      <c r="D481" s="79" t="str">
        <f ca="1">IFERROR(__xludf.DUMMYFUNCTION("""COMPUTED_VALUE"""),"Guadalajara sin Barreras")</f>
        <v>Guadalajara sin Barreras</v>
      </c>
      <c r="E481" s="79" t="str">
        <f ca="1">IFERROR(__xludf.DUMMYFUNCTION("""COMPUTED_VALUE"""),"Cultura para la Inclusión")</f>
        <v>Cultura para la Inclusión</v>
      </c>
      <c r="F481" s="79" t="str">
        <f ca="1">IFERROR(__xludf.DUMMYFUNCTION("""COMPUTED_VALUE"""),"A2C3. Personas con discapacidad intelectual o mental institucionalizados a las que se les otorgó apoyo de vivienda temporal a para la garantía de sus derechos durante el 2024.")</f>
        <v>A2C3. Personas con discapacidad intelectual o mental institucionalizados a las que se les otorgó apoyo de vivienda temporal a para la garantía de sus derechos durante el 2024.</v>
      </c>
      <c r="G481" s="79" t="str">
        <f ca="1">IFERROR(__xludf.DUMMYFUNCTION("""COMPUTED_VALUE"""),"Porcentaje de personas con discapacidad intelectual o mental institucionalizados que recibieron apoyo de vivienda temporal para la garantía de sus derechos durante el 2024")</f>
        <v>Porcentaje de personas con discapacidad intelectual o mental institucionalizados que recibieron apoyo de vivienda temporal para la garantía de sus derechos durante el 2024</v>
      </c>
      <c r="H481" s="79" t="str">
        <f ca="1">IFERROR(__xludf.DUMMYFUNCTION("""COMPUTED_VALUE"""),"AMH Diciembre")</f>
        <v>AMH Diciembre</v>
      </c>
      <c r="I481" s="79" t="str">
        <f ca="1">IFERROR(__xludf.DUMMYFUNCTION("""COMPUTED_VALUE"""),"Diciembre")</f>
        <v>Diciembre</v>
      </c>
      <c r="J481" s="79" t="str">
        <f ca="1">IFERROR(__xludf.DUMMYFUNCTION("""COMPUTED_VALUE"""),"AMH")</f>
        <v>AMH</v>
      </c>
      <c r="K481" s="80">
        <f ca="1">IFERROR(__xludf.DUMMYFUNCTION("""COMPUTED_VALUE"""),0)</f>
        <v>0</v>
      </c>
      <c r="L481" s="79" t="str">
        <f ca="1">IFERROR(__xludf.DUMMYFUNCTION("""COMPUTED_VALUE"""),"TRIMESTRE 4")</f>
        <v>TRIMESTRE 4</v>
      </c>
      <c r="M481" s="79" t="str">
        <f ca="1">IFERROR(__xludf.DUMMYFUNCTION("""COMPUTED_VALUE"""),"ADULTO MAYOR HOMBRE")</f>
        <v>ADULTO MAYOR HOMBRE</v>
      </c>
    </row>
    <row r="482" spans="1:26">
      <c r="A482" s="81" t="str">
        <f ca="1">IFERROR(__xludf.DUMMYFUNCTION("""COMPUTED_VALUE"""),"6.1.4.0")</f>
        <v>6.1.4.0</v>
      </c>
      <c r="B482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2" s="81" t="str">
        <f ca="1">IFERROR(__xludf.DUMMYFUNCTION("""COMPUTED_VALUE"""),"5. Inclusión")</f>
        <v>5. Inclusión</v>
      </c>
      <c r="D482" s="81" t="str">
        <f ca="1">IFERROR(__xludf.DUMMYFUNCTION("""COMPUTED_VALUE"""),"Guadalajara sin Barreras")</f>
        <v>Guadalajara sin Barreras</v>
      </c>
      <c r="E482" s="81" t="str">
        <f ca="1">IFERROR(__xludf.DUMMYFUNCTION("""COMPUTED_VALUE"""),"Desarrollo Integral de Personas Adultas Mayores")</f>
        <v>Desarrollo Integral de Personas Adultas Mayores</v>
      </c>
      <c r="F482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2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2" s="81" t="str">
        <f ca="1">IFERROR(__xludf.DUMMYFUNCTION("""COMPUTED_VALUE"""),"NAS enero")</f>
        <v>NAS enero</v>
      </c>
      <c r="I482" s="81" t="str">
        <f ca="1">IFERROR(__xludf.DUMMYFUNCTION("""COMPUTED_VALUE"""),"Enero")</f>
        <v>Enero</v>
      </c>
      <c r="J482" s="81" t="str">
        <f ca="1">IFERROR(__xludf.DUMMYFUNCTION("""COMPUTED_VALUE"""),"NAS")</f>
        <v>NAS</v>
      </c>
      <c r="K482" s="80"/>
      <c r="L482" s="81" t="str">
        <f ca="1">IFERROR(__xludf.DUMMYFUNCTION("""COMPUTED_VALUE"""),"TRIMESTRE 1")</f>
        <v>TRIMESTRE 1</v>
      </c>
      <c r="M482" s="81" t="str">
        <f ca="1">IFERROR(__xludf.DUMMYFUNCTION("""COMPUTED_VALUE"""),"NIÑAS")</f>
        <v>NIÑAS</v>
      </c>
      <c r="N482" s="81"/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  <c r="Z482" s="81"/>
    </row>
    <row r="483" spans="1:26">
      <c r="A483" s="81" t="str">
        <f ca="1">IFERROR(__xludf.DUMMYFUNCTION("""COMPUTED_VALUE"""),"6.1.4.0")</f>
        <v>6.1.4.0</v>
      </c>
      <c r="B483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3" s="81" t="str">
        <f ca="1">IFERROR(__xludf.DUMMYFUNCTION("""COMPUTED_VALUE"""),"5. Inclusión")</f>
        <v>5. Inclusión</v>
      </c>
      <c r="D483" s="81" t="str">
        <f ca="1">IFERROR(__xludf.DUMMYFUNCTION("""COMPUTED_VALUE"""),"Guadalajara sin Barreras")</f>
        <v>Guadalajara sin Barreras</v>
      </c>
      <c r="E483" s="81" t="str">
        <f ca="1">IFERROR(__xludf.DUMMYFUNCTION("""COMPUTED_VALUE"""),"Desarrollo Integral de Personas Adultas Mayores")</f>
        <v>Desarrollo Integral de Personas Adultas Mayores</v>
      </c>
      <c r="F483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3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3" s="81" t="str">
        <f ca="1">IFERROR(__xludf.DUMMYFUNCTION("""COMPUTED_VALUE"""),"NOS enero")</f>
        <v>NOS enero</v>
      </c>
      <c r="I483" s="81" t="str">
        <f ca="1">IFERROR(__xludf.DUMMYFUNCTION("""COMPUTED_VALUE"""),"Enero")</f>
        <v>Enero</v>
      </c>
      <c r="J483" s="81" t="str">
        <f ca="1">IFERROR(__xludf.DUMMYFUNCTION("""COMPUTED_VALUE"""),"NOS")</f>
        <v>NOS</v>
      </c>
      <c r="K483" s="80"/>
      <c r="L483" s="81" t="str">
        <f ca="1">IFERROR(__xludf.DUMMYFUNCTION("""COMPUTED_VALUE"""),"TRIMESTRE 1")</f>
        <v>TRIMESTRE 1</v>
      </c>
      <c r="M483" s="81" t="str">
        <f ca="1">IFERROR(__xludf.DUMMYFUNCTION("""COMPUTED_VALUE"""),"NIÑOS")</f>
        <v>NIÑOS</v>
      </c>
      <c r="N483" s="81"/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  <c r="Z483" s="81"/>
    </row>
    <row r="484" spans="1:26">
      <c r="A484" s="81" t="str">
        <f ca="1">IFERROR(__xludf.DUMMYFUNCTION("""COMPUTED_VALUE"""),"6.1.4.0")</f>
        <v>6.1.4.0</v>
      </c>
      <c r="B484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4" s="81" t="str">
        <f ca="1">IFERROR(__xludf.DUMMYFUNCTION("""COMPUTED_VALUE"""),"5. Inclusión")</f>
        <v>5. Inclusión</v>
      </c>
      <c r="D484" s="81" t="str">
        <f ca="1">IFERROR(__xludf.DUMMYFUNCTION("""COMPUTED_VALUE"""),"Guadalajara sin Barreras")</f>
        <v>Guadalajara sin Barreras</v>
      </c>
      <c r="E484" s="81" t="str">
        <f ca="1">IFERROR(__xludf.DUMMYFUNCTION("""COMPUTED_VALUE"""),"Desarrollo Integral de Personas Adultas Mayores")</f>
        <v>Desarrollo Integral de Personas Adultas Mayores</v>
      </c>
      <c r="F484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4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4" s="81" t="str">
        <f ca="1">IFERROR(__xludf.DUMMYFUNCTION("""COMPUTED_VALUE"""),"AM enero")</f>
        <v>AM enero</v>
      </c>
      <c r="I484" s="81" t="str">
        <f ca="1">IFERROR(__xludf.DUMMYFUNCTION("""COMPUTED_VALUE"""),"Enero")</f>
        <v>Enero</v>
      </c>
      <c r="J484" s="81" t="str">
        <f ca="1">IFERROR(__xludf.DUMMYFUNCTION("""COMPUTED_VALUE"""),"AM")</f>
        <v>AM</v>
      </c>
      <c r="K484" s="80"/>
      <c r="L484" s="81" t="str">
        <f ca="1">IFERROR(__xludf.DUMMYFUNCTION("""COMPUTED_VALUE"""),"TRIMESTRE 1")</f>
        <v>TRIMESTRE 1</v>
      </c>
      <c r="M484" s="81" t="str">
        <f ca="1">IFERROR(__xludf.DUMMYFUNCTION("""COMPUTED_VALUE"""),"ADOLESCENTES MUJERES")</f>
        <v>ADOLESCENTES MUJERES</v>
      </c>
      <c r="N484" s="81"/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  <c r="Z484" s="81"/>
    </row>
    <row r="485" spans="1:26">
      <c r="A485" s="81" t="str">
        <f ca="1">IFERROR(__xludf.DUMMYFUNCTION("""COMPUTED_VALUE"""),"6.1.4.0")</f>
        <v>6.1.4.0</v>
      </c>
      <c r="B485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5" s="81" t="str">
        <f ca="1">IFERROR(__xludf.DUMMYFUNCTION("""COMPUTED_VALUE"""),"5. Inclusión")</f>
        <v>5. Inclusión</v>
      </c>
      <c r="D485" s="81" t="str">
        <f ca="1">IFERROR(__xludf.DUMMYFUNCTION("""COMPUTED_VALUE"""),"Guadalajara sin Barreras")</f>
        <v>Guadalajara sin Barreras</v>
      </c>
      <c r="E485" s="81" t="str">
        <f ca="1">IFERROR(__xludf.DUMMYFUNCTION("""COMPUTED_VALUE"""),"Desarrollo Integral de Personas Adultas Mayores")</f>
        <v>Desarrollo Integral de Personas Adultas Mayores</v>
      </c>
      <c r="F485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5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5" s="81" t="str">
        <f ca="1">IFERROR(__xludf.DUMMYFUNCTION("""COMPUTED_VALUE"""),"AH enero")</f>
        <v>AH enero</v>
      </c>
      <c r="I485" s="81" t="str">
        <f ca="1">IFERROR(__xludf.DUMMYFUNCTION("""COMPUTED_VALUE"""),"Enero")</f>
        <v>Enero</v>
      </c>
      <c r="J485" s="81" t="str">
        <f ca="1">IFERROR(__xludf.DUMMYFUNCTION("""COMPUTED_VALUE"""),"AH")</f>
        <v>AH</v>
      </c>
      <c r="K485" s="80"/>
      <c r="L485" s="81" t="str">
        <f ca="1">IFERROR(__xludf.DUMMYFUNCTION("""COMPUTED_VALUE"""),"TRIMESTRE 1")</f>
        <v>TRIMESTRE 1</v>
      </c>
      <c r="M485" s="81" t="str">
        <f ca="1">IFERROR(__xludf.DUMMYFUNCTION("""COMPUTED_VALUE"""),"ADOLESCENTES HOMBRES")</f>
        <v>ADOLESCENTES HOMBRES</v>
      </c>
      <c r="N485" s="81"/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  <c r="Z485" s="81"/>
    </row>
    <row r="486" spans="1:26">
      <c r="A486" s="81" t="str">
        <f ca="1">IFERROR(__xludf.DUMMYFUNCTION("""COMPUTED_VALUE"""),"6.1.4.0")</f>
        <v>6.1.4.0</v>
      </c>
      <c r="B486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6" s="81" t="str">
        <f ca="1">IFERROR(__xludf.DUMMYFUNCTION("""COMPUTED_VALUE"""),"5. Inclusión")</f>
        <v>5. Inclusión</v>
      </c>
      <c r="D486" s="81" t="str">
        <f ca="1">IFERROR(__xludf.DUMMYFUNCTION("""COMPUTED_VALUE"""),"Guadalajara sin Barreras")</f>
        <v>Guadalajara sin Barreras</v>
      </c>
      <c r="E486" s="81" t="str">
        <f ca="1">IFERROR(__xludf.DUMMYFUNCTION("""COMPUTED_VALUE"""),"Desarrollo Integral de Personas Adultas Mayores")</f>
        <v>Desarrollo Integral de Personas Adultas Mayores</v>
      </c>
      <c r="F486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6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6" s="81" t="str">
        <f ca="1">IFERROR(__xludf.DUMMYFUNCTION("""COMPUTED_VALUE"""),"MUJ enero")</f>
        <v>MUJ enero</v>
      </c>
      <c r="I486" s="81" t="str">
        <f ca="1">IFERROR(__xludf.DUMMYFUNCTION("""COMPUTED_VALUE"""),"Enero")</f>
        <v>Enero</v>
      </c>
      <c r="J486" s="81" t="str">
        <f ca="1">IFERROR(__xludf.DUMMYFUNCTION("""COMPUTED_VALUE"""),"MUJ")</f>
        <v>MUJ</v>
      </c>
      <c r="K486" s="80"/>
      <c r="L486" s="81" t="str">
        <f ca="1">IFERROR(__xludf.DUMMYFUNCTION("""COMPUTED_VALUE"""),"TRIMESTRE 1")</f>
        <v>TRIMESTRE 1</v>
      </c>
      <c r="M486" s="81" t="str">
        <f ca="1">IFERROR(__xludf.DUMMYFUNCTION("""COMPUTED_VALUE"""),"MUJERES ADULTAS")</f>
        <v>MUJERES ADULTAS</v>
      </c>
      <c r="N486" s="81"/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  <c r="Z486" s="81"/>
    </row>
    <row r="487" spans="1:26">
      <c r="A487" s="81" t="str">
        <f ca="1">IFERROR(__xludf.DUMMYFUNCTION("""COMPUTED_VALUE"""),"6.1.4.0")</f>
        <v>6.1.4.0</v>
      </c>
      <c r="B487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7" s="81" t="str">
        <f ca="1">IFERROR(__xludf.DUMMYFUNCTION("""COMPUTED_VALUE"""),"5. Inclusión")</f>
        <v>5. Inclusión</v>
      </c>
      <c r="D487" s="81" t="str">
        <f ca="1">IFERROR(__xludf.DUMMYFUNCTION("""COMPUTED_VALUE"""),"Guadalajara sin Barreras")</f>
        <v>Guadalajara sin Barreras</v>
      </c>
      <c r="E487" s="81" t="str">
        <f ca="1">IFERROR(__xludf.DUMMYFUNCTION("""COMPUTED_VALUE"""),"Desarrollo Integral de Personas Adultas Mayores")</f>
        <v>Desarrollo Integral de Personas Adultas Mayores</v>
      </c>
      <c r="F487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7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7" s="81" t="str">
        <f ca="1">IFERROR(__xludf.DUMMYFUNCTION("""COMPUTED_VALUE"""),"HOM enero")</f>
        <v>HOM enero</v>
      </c>
      <c r="I487" s="81" t="str">
        <f ca="1">IFERROR(__xludf.DUMMYFUNCTION("""COMPUTED_VALUE"""),"Enero")</f>
        <v>Enero</v>
      </c>
      <c r="J487" s="81" t="str">
        <f ca="1">IFERROR(__xludf.DUMMYFUNCTION("""COMPUTED_VALUE"""),"HOM")</f>
        <v>HOM</v>
      </c>
      <c r="K487" s="80"/>
      <c r="L487" s="81" t="str">
        <f ca="1">IFERROR(__xludf.DUMMYFUNCTION("""COMPUTED_VALUE"""),"TRIMESTRE 1")</f>
        <v>TRIMESTRE 1</v>
      </c>
      <c r="M487" s="81" t="str">
        <f ca="1">IFERROR(__xludf.DUMMYFUNCTION("""COMPUTED_VALUE"""),"HOMBRES ADULTOS")</f>
        <v>HOMBRES ADULTOS</v>
      </c>
      <c r="N487" s="81"/>
      <c r="O487" s="81"/>
      <c r="P487" s="81"/>
      <c r="Q487" s="81"/>
      <c r="R487" s="81"/>
      <c r="S487" s="81"/>
      <c r="T487" s="81"/>
      <c r="U487" s="81"/>
      <c r="V487" s="81"/>
      <c r="W487" s="81"/>
      <c r="X487" s="81"/>
      <c r="Y487" s="81"/>
      <c r="Z487" s="81"/>
    </row>
    <row r="488" spans="1:26">
      <c r="A488" s="81" t="str">
        <f ca="1">IFERROR(__xludf.DUMMYFUNCTION("""COMPUTED_VALUE"""),"6.1.4.0")</f>
        <v>6.1.4.0</v>
      </c>
      <c r="B488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8" s="81" t="str">
        <f ca="1">IFERROR(__xludf.DUMMYFUNCTION("""COMPUTED_VALUE"""),"5. Inclusión")</f>
        <v>5. Inclusión</v>
      </c>
      <c r="D488" s="81" t="str">
        <f ca="1">IFERROR(__xludf.DUMMYFUNCTION("""COMPUTED_VALUE"""),"Guadalajara sin Barreras")</f>
        <v>Guadalajara sin Barreras</v>
      </c>
      <c r="E488" s="81" t="str">
        <f ca="1">IFERROR(__xludf.DUMMYFUNCTION("""COMPUTED_VALUE"""),"Desarrollo Integral de Personas Adultas Mayores")</f>
        <v>Desarrollo Integral de Personas Adultas Mayores</v>
      </c>
      <c r="F488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8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8" s="81" t="str">
        <f ca="1">IFERROR(__xludf.DUMMYFUNCTION("""COMPUTED_VALUE"""),"AMM enero")</f>
        <v>AMM enero</v>
      </c>
      <c r="I488" s="81" t="str">
        <f ca="1">IFERROR(__xludf.DUMMYFUNCTION("""COMPUTED_VALUE"""),"Enero")</f>
        <v>Enero</v>
      </c>
      <c r="J488" s="81" t="str">
        <f ca="1">IFERROR(__xludf.DUMMYFUNCTION("""COMPUTED_VALUE"""),"AMM")</f>
        <v>AMM</v>
      </c>
      <c r="K488" s="80">
        <f ca="1">IFERROR(__xludf.DUMMYFUNCTION("""COMPUTED_VALUE"""),2359)</f>
        <v>2359</v>
      </c>
      <c r="L488" s="81" t="str">
        <f ca="1">IFERROR(__xludf.DUMMYFUNCTION("""COMPUTED_VALUE"""),"TRIMESTRE 1")</f>
        <v>TRIMESTRE 1</v>
      </c>
      <c r="M488" s="81" t="str">
        <f ca="1">IFERROR(__xludf.DUMMYFUNCTION("""COMPUTED_VALUE"""),"ADULTA MAYOR MUJER")</f>
        <v>ADULTA MAYOR MUJER</v>
      </c>
      <c r="N488" s="81"/>
      <c r="O488" s="81"/>
      <c r="P488" s="81"/>
      <c r="Q488" s="81"/>
      <c r="R488" s="81"/>
      <c r="S488" s="81"/>
      <c r="T488" s="81"/>
      <c r="U488" s="81"/>
      <c r="V488" s="81"/>
      <c r="W488" s="81"/>
      <c r="X488" s="81"/>
      <c r="Y488" s="81"/>
      <c r="Z488" s="81"/>
    </row>
    <row r="489" spans="1:26">
      <c r="A489" s="81" t="str">
        <f ca="1">IFERROR(__xludf.DUMMYFUNCTION("""COMPUTED_VALUE"""),"6.1.4.0")</f>
        <v>6.1.4.0</v>
      </c>
      <c r="B489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89" s="81" t="str">
        <f ca="1">IFERROR(__xludf.DUMMYFUNCTION("""COMPUTED_VALUE"""),"5. Inclusión")</f>
        <v>5. Inclusión</v>
      </c>
      <c r="D489" s="81" t="str">
        <f ca="1">IFERROR(__xludf.DUMMYFUNCTION("""COMPUTED_VALUE"""),"Guadalajara sin Barreras")</f>
        <v>Guadalajara sin Barreras</v>
      </c>
      <c r="E489" s="81" t="str">
        <f ca="1">IFERROR(__xludf.DUMMYFUNCTION("""COMPUTED_VALUE"""),"Desarrollo Integral de Personas Adultas Mayores")</f>
        <v>Desarrollo Integral de Personas Adultas Mayores</v>
      </c>
      <c r="F489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89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89" s="81" t="str">
        <f ca="1">IFERROR(__xludf.DUMMYFUNCTION("""COMPUTED_VALUE"""),"AMH enero")</f>
        <v>AMH enero</v>
      </c>
      <c r="I489" s="81" t="str">
        <f ca="1">IFERROR(__xludf.DUMMYFUNCTION("""COMPUTED_VALUE"""),"Enero")</f>
        <v>Enero</v>
      </c>
      <c r="J489" s="81" t="str">
        <f ca="1">IFERROR(__xludf.DUMMYFUNCTION("""COMPUTED_VALUE"""),"AMH")</f>
        <v>AMH</v>
      </c>
      <c r="K489" s="80">
        <f ca="1">IFERROR(__xludf.DUMMYFUNCTION("""COMPUTED_VALUE"""),482)</f>
        <v>482</v>
      </c>
      <c r="L489" s="81" t="str">
        <f ca="1">IFERROR(__xludf.DUMMYFUNCTION("""COMPUTED_VALUE"""),"TRIMESTRE 1")</f>
        <v>TRIMESTRE 1</v>
      </c>
      <c r="M489" s="81" t="str">
        <f ca="1">IFERROR(__xludf.DUMMYFUNCTION("""COMPUTED_VALUE"""),"ADULTO MAYOR HOMBRE")</f>
        <v>ADULTO MAYOR HOMBRE</v>
      </c>
      <c r="N489" s="81"/>
      <c r="O489" s="81"/>
      <c r="P489" s="81"/>
      <c r="Q489" s="81"/>
      <c r="R489" s="81"/>
      <c r="S489" s="81"/>
      <c r="T489" s="81"/>
      <c r="U489" s="81"/>
      <c r="V489" s="81"/>
      <c r="W489" s="81"/>
      <c r="X489" s="81"/>
      <c r="Y489" s="81"/>
      <c r="Z489" s="81"/>
    </row>
    <row r="490" spans="1:26">
      <c r="A490" s="79" t="str">
        <f ca="1">IFERROR(__xludf.DUMMYFUNCTION("""COMPUTED_VALUE"""),"6.1.4.2")</f>
        <v>6.1.4.2</v>
      </c>
      <c r="B490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0" s="79" t="str">
        <f ca="1">IFERROR(__xludf.DUMMYFUNCTION("""COMPUTED_VALUE"""),"5. Inclusión")</f>
        <v>5. Inclusión</v>
      </c>
      <c r="D490" s="79" t="str">
        <f ca="1">IFERROR(__xludf.DUMMYFUNCTION("""COMPUTED_VALUE"""),"Guadalajara sin Barreras")</f>
        <v>Guadalajara sin Barreras</v>
      </c>
      <c r="E490" s="79" t="str">
        <f ca="1">IFERROR(__xludf.DUMMYFUNCTION("""COMPUTED_VALUE"""),"Desarrollo Integral de Personas Adultas Mayores")</f>
        <v>Desarrollo Integral de Personas Adultas Mayores</v>
      </c>
      <c r="F490" s="79" t="str">
        <f ca="1">IFERROR(__xludf.DUMMYFUNCTION("""COMPUTED_VALUE"""),"A2C4. Raciones alimenticias entregadas en el comedor de DIPAM en 2024")</f>
        <v>A2C4. Raciones alimenticias entregadas en el comedor de DIPAM en 2024</v>
      </c>
      <c r="G490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0" s="79" t="str">
        <f ca="1">IFERROR(__xludf.DUMMYFUNCTION("""COMPUTED_VALUE"""),"NAS enero")</f>
        <v>NAS enero</v>
      </c>
      <c r="I490" s="79" t="str">
        <f ca="1">IFERROR(__xludf.DUMMYFUNCTION("""COMPUTED_VALUE"""),"Enero")</f>
        <v>Enero</v>
      </c>
      <c r="J490" s="79" t="str">
        <f ca="1">IFERROR(__xludf.DUMMYFUNCTION("""COMPUTED_VALUE"""),"NAS")</f>
        <v>NAS</v>
      </c>
      <c r="K490" s="80"/>
      <c r="L490" s="79" t="str">
        <f ca="1">IFERROR(__xludf.DUMMYFUNCTION("""COMPUTED_VALUE"""),"TRIMESTRE 1")</f>
        <v>TRIMESTRE 1</v>
      </c>
      <c r="M490" s="79" t="str">
        <f ca="1">IFERROR(__xludf.DUMMYFUNCTION("""COMPUTED_VALUE"""),"NIÑAS")</f>
        <v>NIÑAS</v>
      </c>
    </row>
    <row r="491" spans="1:26">
      <c r="A491" s="79" t="str">
        <f ca="1">IFERROR(__xludf.DUMMYFUNCTION("""COMPUTED_VALUE"""),"6.1.4.2")</f>
        <v>6.1.4.2</v>
      </c>
      <c r="B491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1" s="79" t="str">
        <f ca="1">IFERROR(__xludf.DUMMYFUNCTION("""COMPUTED_VALUE"""),"5. Inclusión")</f>
        <v>5. Inclusión</v>
      </c>
      <c r="D491" s="79" t="str">
        <f ca="1">IFERROR(__xludf.DUMMYFUNCTION("""COMPUTED_VALUE"""),"Guadalajara sin Barreras")</f>
        <v>Guadalajara sin Barreras</v>
      </c>
      <c r="E491" s="79" t="str">
        <f ca="1">IFERROR(__xludf.DUMMYFUNCTION("""COMPUTED_VALUE"""),"Desarrollo Integral de Personas Adultas Mayores")</f>
        <v>Desarrollo Integral de Personas Adultas Mayores</v>
      </c>
      <c r="F491" s="79" t="str">
        <f ca="1">IFERROR(__xludf.DUMMYFUNCTION("""COMPUTED_VALUE"""),"A2C4. Raciones alimenticias entregadas en el comedor de DIPAM en 2024")</f>
        <v>A2C4. Raciones alimenticias entregadas en el comedor de DIPAM en 2024</v>
      </c>
      <c r="G491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1" s="79" t="str">
        <f ca="1">IFERROR(__xludf.DUMMYFUNCTION("""COMPUTED_VALUE"""),"NOS enero")</f>
        <v>NOS enero</v>
      </c>
      <c r="I491" s="79" t="str">
        <f ca="1">IFERROR(__xludf.DUMMYFUNCTION("""COMPUTED_VALUE"""),"Enero")</f>
        <v>Enero</v>
      </c>
      <c r="J491" s="79" t="str">
        <f ca="1">IFERROR(__xludf.DUMMYFUNCTION("""COMPUTED_VALUE"""),"NOS")</f>
        <v>NOS</v>
      </c>
      <c r="K491" s="80"/>
      <c r="L491" s="79" t="str">
        <f ca="1">IFERROR(__xludf.DUMMYFUNCTION("""COMPUTED_VALUE"""),"TRIMESTRE 1")</f>
        <v>TRIMESTRE 1</v>
      </c>
      <c r="M491" s="79" t="str">
        <f ca="1">IFERROR(__xludf.DUMMYFUNCTION("""COMPUTED_VALUE"""),"NIÑOS")</f>
        <v>NIÑOS</v>
      </c>
    </row>
    <row r="492" spans="1:26">
      <c r="A492" s="79" t="str">
        <f ca="1">IFERROR(__xludf.DUMMYFUNCTION("""COMPUTED_VALUE"""),"6.1.4.2")</f>
        <v>6.1.4.2</v>
      </c>
      <c r="B492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2" s="79" t="str">
        <f ca="1">IFERROR(__xludf.DUMMYFUNCTION("""COMPUTED_VALUE"""),"5. Inclusión")</f>
        <v>5. Inclusión</v>
      </c>
      <c r="D492" s="79" t="str">
        <f ca="1">IFERROR(__xludf.DUMMYFUNCTION("""COMPUTED_VALUE"""),"Guadalajara sin Barreras")</f>
        <v>Guadalajara sin Barreras</v>
      </c>
      <c r="E492" s="79" t="str">
        <f ca="1">IFERROR(__xludf.DUMMYFUNCTION("""COMPUTED_VALUE"""),"Desarrollo Integral de Personas Adultas Mayores")</f>
        <v>Desarrollo Integral de Personas Adultas Mayores</v>
      </c>
      <c r="F492" s="79" t="str">
        <f ca="1">IFERROR(__xludf.DUMMYFUNCTION("""COMPUTED_VALUE"""),"A2C4. Raciones alimenticias entregadas en el comedor de DIPAM en 2024")</f>
        <v>A2C4. Raciones alimenticias entregadas en el comedor de DIPAM en 2024</v>
      </c>
      <c r="G492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2" s="79" t="str">
        <f ca="1">IFERROR(__xludf.DUMMYFUNCTION("""COMPUTED_VALUE"""),"AM enero")</f>
        <v>AM enero</v>
      </c>
      <c r="I492" s="79" t="str">
        <f ca="1">IFERROR(__xludf.DUMMYFUNCTION("""COMPUTED_VALUE"""),"Enero")</f>
        <v>Enero</v>
      </c>
      <c r="J492" s="79" t="str">
        <f ca="1">IFERROR(__xludf.DUMMYFUNCTION("""COMPUTED_VALUE"""),"AM")</f>
        <v>AM</v>
      </c>
      <c r="K492" s="80"/>
      <c r="L492" s="79" t="str">
        <f ca="1">IFERROR(__xludf.DUMMYFUNCTION("""COMPUTED_VALUE"""),"TRIMESTRE 1")</f>
        <v>TRIMESTRE 1</v>
      </c>
      <c r="M492" s="79" t="str">
        <f ca="1">IFERROR(__xludf.DUMMYFUNCTION("""COMPUTED_VALUE"""),"ADOLESCENTES MUJERES")</f>
        <v>ADOLESCENTES MUJERES</v>
      </c>
    </row>
    <row r="493" spans="1:26">
      <c r="A493" s="79" t="str">
        <f ca="1">IFERROR(__xludf.DUMMYFUNCTION("""COMPUTED_VALUE"""),"6.1.4.2")</f>
        <v>6.1.4.2</v>
      </c>
      <c r="B493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3" s="79" t="str">
        <f ca="1">IFERROR(__xludf.DUMMYFUNCTION("""COMPUTED_VALUE"""),"5. Inclusión")</f>
        <v>5. Inclusión</v>
      </c>
      <c r="D493" s="79" t="str">
        <f ca="1">IFERROR(__xludf.DUMMYFUNCTION("""COMPUTED_VALUE"""),"Guadalajara sin Barreras")</f>
        <v>Guadalajara sin Barreras</v>
      </c>
      <c r="E493" s="79" t="str">
        <f ca="1">IFERROR(__xludf.DUMMYFUNCTION("""COMPUTED_VALUE"""),"Desarrollo Integral de Personas Adultas Mayores")</f>
        <v>Desarrollo Integral de Personas Adultas Mayores</v>
      </c>
      <c r="F493" s="79" t="str">
        <f ca="1">IFERROR(__xludf.DUMMYFUNCTION("""COMPUTED_VALUE"""),"A2C4. Raciones alimenticias entregadas en el comedor de DIPAM en 2024")</f>
        <v>A2C4. Raciones alimenticias entregadas en el comedor de DIPAM en 2024</v>
      </c>
      <c r="G493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3" s="79" t="str">
        <f ca="1">IFERROR(__xludf.DUMMYFUNCTION("""COMPUTED_VALUE"""),"AH enero")</f>
        <v>AH enero</v>
      </c>
      <c r="I493" s="79" t="str">
        <f ca="1">IFERROR(__xludf.DUMMYFUNCTION("""COMPUTED_VALUE"""),"Enero")</f>
        <v>Enero</v>
      </c>
      <c r="J493" s="79" t="str">
        <f ca="1">IFERROR(__xludf.DUMMYFUNCTION("""COMPUTED_VALUE"""),"AH")</f>
        <v>AH</v>
      </c>
      <c r="K493" s="80"/>
      <c r="L493" s="79" t="str">
        <f ca="1">IFERROR(__xludf.DUMMYFUNCTION("""COMPUTED_VALUE"""),"TRIMESTRE 1")</f>
        <v>TRIMESTRE 1</v>
      </c>
      <c r="M493" s="79" t="str">
        <f ca="1">IFERROR(__xludf.DUMMYFUNCTION("""COMPUTED_VALUE"""),"ADOLESCENTES HOMBRES")</f>
        <v>ADOLESCENTES HOMBRES</v>
      </c>
    </row>
    <row r="494" spans="1:26">
      <c r="A494" s="79" t="str">
        <f ca="1">IFERROR(__xludf.DUMMYFUNCTION("""COMPUTED_VALUE"""),"6.1.4.2")</f>
        <v>6.1.4.2</v>
      </c>
      <c r="B494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4" s="79" t="str">
        <f ca="1">IFERROR(__xludf.DUMMYFUNCTION("""COMPUTED_VALUE"""),"5. Inclusión")</f>
        <v>5. Inclusión</v>
      </c>
      <c r="D494" s="79" t="str">
        <f ca="1">IFERROR(__xludf.DUMMYFUNCTION("""COMPUTED_VALUE"""),"Guadalajara sin Barreras")</f>
        <v>Guadalajara sin Barreras</v>
      </c>
      <c r="E494" s="79" t="str">
        <f ca="1">IFERROR(__xludf.DUMMYFUNCTION("""COMPUTED_VALUE"""),"Desarrollo Integral de Personas Adultas Mayores")</f>
        <v>Desarrollo Integral de Personas Adultas Mayores</v>
      </c>
      <c r="F494" s="79" t="str">
        <f ca="1">IFERROR(__xludf.DUMMYFUNCTION("""COMPUTED_VALUE"""),"A2C4. Raciones alimenticias entregadas en el comedor de DIPAM en 2024")</f>
        <v>A2C4. Raciones alimenticias entregadas en el comedor de DIPAM en 2024</v>
      </c>
      <c r="G494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4" s="79" t="str">
        <f ca="1">IFERROR(__xludf.DUMMYFUNCTION("""COMPUTED_VALUE"""),"MUJ enero")</f>
        <v>MUJ enero</v>
      </c>
      <c r="I494" s="79" t="str">
        <f ca="1">IFERROR(__xludf.DUMMYFUNCTION("""COMPUTED_VALUE"""),"Enero")</f>
        <v>Enero</v>
      </c>
      <c r="J494" s="79" t="str">
        <f ca="1">IFERROR(__xludf.DUMMYFUNCTION("""COMPUTED_VALUE"""),"MUJ")</f>
        <v>MUJ</v>
      </c>
      <c r="K494" s="80"/>
      <c r="L494" s="79" t="str">
        <f ca="1">IFERROR(__xludf.DUMMYFUNCTION("""COMPUTED_VALUE"""),"TRIMESTRE 1")</f>
        <v>TRIMESTRE 1</v>
      </c>
      <c r="M494" s="79" t="str">
        <f ca="1">IFERROR(__xludf.DUMMYFUNCTION("""COMPUTED_VALUE"""),"MUJERES ADULTAS")</f>
        <v>MUJERES ADULTAS</v>
      </c>
    </row>
    <row r="495" spans="1:26">
      <c r="A495" s="79" t="str">
        <f ca="1">IFERROR(__xludf.DUMMYFUNCTION("""COMPUTED_VALUE"""),"6.1.4.2")</f>
        <v>6.1.4.2</v>
      </c>
      <c r="B495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5" s="79" t="str">
        <f ca="1">IFERROR(__xludf.DUMMYFUNCTION("""COMPUTED_VALUE"""),"5. Inclusión")</f>
        <v>5. Inclusión</v>
      </c>
      <c r="D495" s="79" t="str">
        <f ca="1">IFERROR(__xludf.DUMMYFUNCTION("""COMPUTED_VALUE"""),"Guadalajara sin Barreras")</f>
        <v>Guadalajara sin Barreras</v>
      </c>
      <c r="E495" s="79" t="str">
        <f ca="1">IFERROR(__xludf.DUMMYFUNCTION("""COMPUTED_VALUE"""),"Desarrollo Integral de Personas Adultas Mayores")</f>
        <v>Desarrollo Integral de Personas Adultas Mayores</v>
      </c>
      <c r="F495" s="79" t="str">
        <f ca="1">IFERROR(__xludf.DUMMYFUNCTION("""COMPUTED_VALUE"""),"A2C4. Raciones alimenticias entregadas en el comedor de DIPAM en 2024")</f>
        <v>A2C4. Raciones alimenticias entregadas en el comedor de DIPAM en 2024</v>
      </c>
      <c r="G495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5" s="79" t="str">
        <f ca="1">IFERROR(__xludf.DUMMYFUNCTION("""COMPUTED_VALUE"""),"HOM enero")</f>
        <v>HOM enero</v>
      </c>
      <c r="I495" s="79" t="str">
        <f ca="1">IFERROR(__xludf.DUMMYFUNCTION("""COMPUTED_VALUE"""),"Enero")</f>
        <v>Enero</v>
      </c>
      <c r="J495" s="79" t="str">
        <f ca="1">IFERROR(__xludf.DUMMYFUNCTION("""COMPUTED_VALUE"""),"HOM")</f>
        <v>HOM</v>
      </c>
      <c r="K495" s="80"/>
      <c r="L495" s="79" t="str">
        <f ca="1">IFERROR(__xludf.DUMMYFUNCTION("""COMPUTED_VALUE"""),"TRIMESTRE 1")</f>
        <v>TRIMESTRE 1</v>
      </c>
      <c r="M495" s="79" t="str">
        <f ca="1">IFERROR(__xludf.DUMMYFUNCTION("""COMPUTED_VALUE"""),"HOMBRES ADULTOS")</f>
        <v>HOMBRES ADULTOS</v>
      </c>
    </row>
    <row r="496" spans="1:26">
      <c r="A496" s="79" t="str">
        <f ca="1">IFERROR(__xludf.DUMMYFUNCTION("""COMPUTED_VALUE"""),"6.1.4.2")</f>
        <v>6.1.4.2</v>
      </c>
      <c r="B496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6" s="79" t="str">
        <f ca="1">IFERROR(__xludf.DUMMYFUNCTION("""COMPUTED_VALUE"""),"5. Inclusión")</f>
        <v>5. Inclusión</v>
      </c>
      <c r="D496" s="79" t="str">
        <f ca="1">IFERROR(__xludf.DUMMYFUNCTION("""COMPUTED_VALUE"""),"Guadalajara sin Barreras")</f>
        <v>Guadalajara sin Barreras</v>
      </c>
      <c r="E496" s="79" t="str">
        <f ca="1">IFERROR(__xludf.DUMMYFUNCTION("""COMPUTED_VALUE"""),"Desarrollo Integral de Personas Adultas Mayores")</f>
        <v>Desarrollo Integral de Personas Adultas Mayores</v>
      </c>
      <c r="F496" s="79" t="str">
        <f ca="1">IFERROR(__xludf.DUMMYFUNCTION("""COMPUTED_VALUE"""),"A2C4. Raciones alimenticias entregadas en el comedor de DIPAM en 2024")</f>
        <v>A2C4. Raciones alimenticias entregadas en el comedor de DIPAM en 2024</v>
      </c>
      <c r="G496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6" s="79" t="str">
        <f ca="1">IFERROR(__xludf.DUMMYFUNCTION("""COMPUTED_VALUE"""),"AMM enero")</f>
        <v>AMM enero</v>
      </c>
      <c r="I496" s="79" t="str">
        <f ca="1">IFERROR(__xludf.DUMMYFUNCTION("""COMPUTED_VALUE"""),"Enero")</f>
        <v>Enero</v>
      </c>
      <c r="J496" s="79" t="str">
        <f ca="1">IFERROR(__xludf.DUMMYFUNCTION("""COMPUTED_VALUE"""),"AMM")</f>
        <v>AMM</v>
      </c>
      <c r="K496" s="80">
        <f ca="1">IFERROR(__xludf.DUMMYFUNCTION("""COMPUTED_VALUE"""),1000)</f>
        <v>1000</v>
      </c>
      <c r="L496" s="79" t="str">
        <f ca="1">IFERROR(__xludf.DUMMYFUNCTION("""COMPUTED_VALUE"""),"TRIMESTRE 1")</f>
        <v>TRIMESTRE 1</v>
      </c>
      <c r="M496" s="79" t="str">
        <f ca="1">IFERROR(__xludf.DUMMYFUNCTION("""COMPUTED_VALUE"""),"ADULTA MAYOR MUJER")</f>
        <v>ADULTA MAYOR MUJER</v>
      </c>
    </row>
    <row r="497" spans="1:13">
      <c r="A497" s="79" t="str">
        <f ca="1">IFERROR(__xludf.DUMMYFUNCTION("""COMPUTED_VALUE"""),"6.1.4.2")</f>
        <v>6.1.4.2</v>
      </c>
      <c r="B497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497" s="79" t="str">
        <f ca="1">IFERROR(__xludf.DUMMYFUNCTION("""COMPUTED_VALUE"""),"5. Inclusión")</f>
        <v>5. Inclusión</v>
      </c>
      <c r="D497" s="79" t="str">
        <f ca="1">IFERROR(__xludf.DUMMYFUNCTION("""COMPUTED_VALUE"""),"Guadalajara sin Barreras")</f>
        <v>Guadalajara sin Barreras</v>
      </c>
      <c r="E497" s="79" t="str">
        <f ca="1">IFERROR(__xludf.DUMMYFUNCTION("""COMPUTED_VALUE"""),"Desarrollo Integral de Personas Adultas Mayores")</f>
        <v>Desarrollo Integral de Personas Adultas Mayores</v>
      </c>
      <c r="F497" s="79" t="str">
        <f ca="1">IFERROR(__xludf.DUMMYFUNCTION("""COMPUTED_VALUE"""),"A2C4. Raciones alimenticias entregadas en el comedor de DIPAM en 2024")</f>
        <v>A2C4. Raciones alimenticias entregadas en el comedor de DIPAM en 2024</v>
      </c>
      <c r="G497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497" s="79" t="str">
        <f ca="1">IFERROR(__xludf.DUMMYFUNCTION("""COMPUTED_VALUE"""),"AMH enero")</f>
        <v>AMH enero</v>
      </c>
      <c r="I497" s="79" t="str">
        <f ca="1">IFERROR(__xludf.DUMMYFUNCTION("""COMPUTED_VALUE"""),"Enero")</f>
        <v>Enero</v>
      </c>
      <c r="J497" s="79" t="str">
        <f ca="1">IFERROR(__xludf.DUMMYFUNCTION("""COMPUTED_VALUE"""),"AMH")</f>
        <v>AMH</v>
      </c>
      <c r="K497" s="80">
        <f ca="1">IFERROR(__xludf.DUMMYFUNCTION("""COMPUTED_VALUE"""),1000)</f>
        <v>1000</v>
      </c>
      <c r="L497" s="79" t="str">
        <f ca="1">IFERROR(__xludf.DUMMYFUNCTION("""COMPUTED_VALUE"""),"TRIMESTRE 1")</f>
        <v>TRIMESTRE 1</v>
      </c>
      <c r="M497" s="79" t="str">
        <f ca="1">IFERROR(__xludf.DUMMYFUNCTION("""COMPUTED_VALUE"""),"ADULTO MAYOR HOMBRE")</f>
        <v>ADULTO MAYOR HOMBRE</v>
      </c>
    </row>
    <row r="498" spans="1:13">
      <c r="A498" s="79" t="str">
        <f ca="1">IFERROR(__xludf.DUMMYFUNCTION("""COMPUTED_VALUE"""),"6.1.4.0")</f>
        <v>6.1.4.0</v>
      </c>
      <c r="B498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98" s="79" t="str">
        <f ca="1">IFERROR(__xludf.DUMMYFUNCTION("""COMPUTED_VALUE"""),"5. Inclusión")</f>
        <v>5. Inclusión</v>
      </c>
      <c r="D498" s="79" t="str">
        <f ca="1">IFERROR(__xludf.DUMMYFUNCTION("""COMPUTED_VALUE"""),"Guadalajara sin Barreras")</f>
        <v>Guadalajara sin Barreras</v>
      </c>
      <c r="E498" s="79" t="str">
        <f ca="1">IFERROR(__xludf.DUMMYFUNCTION("""COMPUTED_VALUE"""),"Desarrollo Integral de Personas Adultas Mayores")</f>
        <v>Desarrollo Integral de Personas Adultas Mayores</v>
      </c>
      <c r="F498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98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98" s="79" t="str">
        <f ca="1">IFERROR(__xludf.DUMMYFUNCTION("""COMPUTED_VALUE"""),"NAS Febrero")</f>
        <v>NAS Febrero</v>
      </c>
      <c r="I498" s="79" t="str">
        <f ca="1">IFERROR(__xludf.DUMMYFUNCTION("""COMPUTED_VALUE"""),"Febrero")</f>
        <v>Febrero</v>
      </c>
      <c r="J498" s="79" t="str">
        <f ca="1">IFERROR(__xludf.DUMMYFUNCTION("""COMPUTED_VALUE"""),"NAS")</f>
        <v>NAS</v>
      </c>
      <c r="K498" s="80"/>
      <c r="L498" s="79" t="str">
        <f ca="1">IFERROR(__xludf.DUMMYFUNCTION("""COMPUTED_VALUE"""),"TRIMESTRE 1")</f>
        <v>TRIMESTRE 1</v>
      </c>
      <c r="M498" s="79" t="str">
        <f ca="1">IFERROR(__xludf.DUMMYFUNCTION("""COMPUTED_VALUE"""),"NIÑAS")</f>
        <v>NIÑAS</v>
      </c>
    </row>
    <row r="499" spans="1:13">
      <c r="A499" s="79" t="str">
        <f ca="1">IFERROR(__xludf.DUMMYFUNCTION("""COMPUTED_VALUE"""),"6.1.4.0")</f>
        <v>6.1.4.0</v>
      </c>
      <c r="B499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499" s="79" t="str">
        <f ca="1">IFERROR(__xludf.DUMMYFUNCTION("""COMPUTED_VALUE"""),"5. Inclusión")</f>
        <v>5. Inclusión</v>
      </c>
      <c r="D499" s="79" t="str">
        <f ca="1">IFERROR(__xludf.DUMMYFUNCTION("""COMPUTED_VALUE"""),"Guadalajara sin Barreras")</f>
        <v>Guadalajara sin Barreras</v>
      </c>
      <c r="E499" s="79" t="str">
        <f ca="1">IFERROR(__xludf.DUMMYFUNCTION("""COMPUTED_VALUE"""),"Desarrollo Integral de Personas Adultas Mayores")</f>
        <v>Desarrollo Integral de Personas Adultas Mayores</v>
      </c>
      <c r="F499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499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499" s="79" t="str">
        <f ca="1">IFERROR(__xludf.DUMMYFUNCTION("""COMPUTED_VALUE"""),"NOS Febrero")</f>
        <v>NOS Febrero</v>
      </c>
      <c r="I499" s="79" t="str">
        <f ca="1">IFERROR(__xludf.DUMMYFUNCTION("""COMPUTED_VALUE"""),"Febrero")</f>
        <v>Febrero</v>
      </c>
      <c r="J499" s="79" t="str">
        <f ca="1">IFERROR(__xludf.DUMMYFUNCTION("""COMPUTED_VALUE"""),"NOS")</f>
        <v>NOS</v>
      </c>
      <c r="K499" s="80"/>
      <c r="L499" s="79" t="str">
        <f ca="1">IFERROR(__xludf.DUMMYFUNCTION("""COMPUTED_VALUE"""),"TRIMESTRE 1")</f>
        <v>TRIMESTRE 1</v>
      </c>
      <c r="M499" s="79" t="str">
        <f ca="1">IFERROR(__xludf.DUMMYFUNCTION("""COMPUTED_VALUE"""),"NIÑOS")</f>
        <v>NIÑOS</v>
      </c>
    </row>
    <row r="500" spans="1:13">
      <c r="A500" s="79" t="str">
        <f ca="1">IFERROR(__xludf.DUMMYFUNCTION("""COMPUTED_VALUE"""),"6.1.4.0")</f>
        <v>6.1.4.0</v>
      </c>
      <c r="B500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00" s="79" t="str">
        <f ca="1">IFERROR(__xludf.DUMMYFUNCTION("""COMPUTED_VALUE"""),"5. Inclusión")</f>
        <v>5. Inclusión</v>
      </c>
      <c r="D500" s="79" t="str">
        <f ca="1">IFERROR(__xludf.DUMMYFUNCTION("""COMPUTED_VALUE"""),"Guadalajara sin Barreras")</f>
        <v>Guadalajara sin Barreras</v>
      </c>
      <c r="E500" s="79" t="str">
        <f ca="1">IFERROR(__xludf.DUMMYFUNCTION("""COMPUTED_VALUE"""),"Desarrollo Integral de Personas Adultas Mayores")</f>
        <v>Desarrollo Integral de Personas Adultas Mayores</v>
      </c>
      <c r="F500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00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00" s="79" t="str">
        <f ca="1">IFERROR(__xludf.DUMMYFUNCTION("""COMPUTED_VALUE"""),"AM Febrero")</f>
        <v>AM Febrero</v>
      </c>
      <c r="I500" s="79" t="str">
        <f ca="1">IFERROR(__xludf.DUMMYFUNCTION("""COMPUTED_VALUE"""),"Febrero")</f>
        <v>Febrero</v>
      </c>
      <c r="J500" s="79" t="str">
        <f ca="1">IFERROR(__xludf.DUMMYFUNCTION("""COMPUTED_VALUE"""),"AM")</f>
        <v>AM</v>
      </c>
      <c r="K500" s="80"/>
      <c r="L500" s="79" t="str">
        <f ca="1">IFERROR(__xludf.DUMMYFUNCTION("""COMPUTED_VALUE"""),"TRIMESTRE 1")</f>
        <v>TRIMESTRE 1</v>
      </c>
      <c r="M500" s="79" t="str">
        <f ca="1">IFERROR(__xludf.DUMMYFUNCTION("""COMPUTED_VALUE"""),"ADOLESCENTES MUJERES")</f>
        <v>ADOLESCENTES MUJERES</v>
      </c>
    </row>
    <row r="501" spans="1:13">
      <c r="A501" s="79" t="str">
        <f ca="1">IFERROR(__xludf.DUMMYFUNCTION("""COMPUTED_VALUE"""),"6.1.4.0")</f>
        <v>6.1.4.0</v>
      </c>
      <c r="B501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01" s="79" t="str">
        <f ca="1">IFERROR(__xludf.DUMMYFUNCTION("""COMPUTED_VALUE"""),"5. Inclusión")</f>
        <v>5. Inclusión</v>
      </c>
      <c r="D501" s="79" t="str">
        <f ca="1">IFERROR(__xludf.DUMMYFUNCTION("""COMPUTED_VALUE"""),"Guadalajara sin Barreras")</f>
        <v>Guadalajara sin Barreras</v>
      </c>
      <c r="E501" s="79" t="str">
        <f ca="1">IFERROR(__xludf.DUMMYFUNCTION("""COMPUTED_VALUE"""),"Desarrollo Integral de Personas Adultas Mayores")</f>
        <v>Desarrollo Integral de Personas Adultas Mayores</v>
      </c>
      <c r="F501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01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01" s="79" t="str">
        <f ca="1">IFERROR(__xludf.DUMMYFUNCTION("""COMPUTED_VALUE"""),"AH Febrero")</f>
        <v>AH Febrero</v>
      </c>
      <c r="I501" s="79" t="str">
        <f ca="1">IFERROR(__xludf.DUMMYFUNCTION("""COMPUTED_VALUE"""),"Febrero")</f>
        <v>Febrero</v>
      </c>
      <c r="J501" s="79" t="str">
        <f ca="1">IFERROR(__xludf.DUMMYFUNCTION("""COMPUTED_VALUE"""),"AH")</f>
        <v>AH</v>
      </c>
      <c r="K501" s="80"/>
      <c r="L501" s="79" t="str">
        <f ca="1">IFERROR(__xludf.DUMMYFUNCTION("""COMPUTED_VALUE"""),"TRIMESTRE 1")</f>
        <v>TRIMESTRE 1</v>
      </c>
      <c r="M501" s="79" t="str">
        <f ca="1">IFERROR(__xludf.DUMMYFUNCTION("""COMPUTED_VALUE"""),"ADOLESCENTES HOMBRES")</f>
        <v>ADOLESCENTES HOMBRES</v>
      </c>
    </row>
    <row r="502" spans="1:13">
      <c r="A502" s="79" t="str">
        <f ca="1">IFERROR(__xludf.DUMMYFUNCTION("""COMPUTED_VALUE"""),"6.1.4.0")</f>
        <v>6.1.4.0</v>
      </c>
      <c r="B502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02" s="79" t="str">
        <f ca="1">IFERROR(__xludf.DUMMYFUNCTION("""COMPUTED_VALUE"""),"5. Inclusión")</f>
        <v>5. Inclusión</v>
      </c>
      <c r="D502" s="79" t="str">
        <f ca="1">IFERROR(__xludf.DUMMYFUNCTION("""COMPUTED_VALUE"""),"Guadalajara sin Barreras")</f>
        <v>Guadalajara sin Barreras</v>
      </c>
      <c r="E502" s="79" t="str">
        <f ca="1">IFERROR(__xludf.DUMMYFUNCTION("""COMPUTED_VALUE"""),"Desarrollo Integral de Personas Adultas Mayores")</f>
        <v>Desarrollo Integral de Personas Adultas Mayores</v>
      </c>
      <c r="F502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02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02" s="79" t="str">
        <f ca="1">IFERROR(__xludf.DUMMYFUNCTION("""COMPUTED_VALUE"""),"MUJ Febrero")</f>
        <v>MUJ Febrero</v>
      </c>
      <c r="I502" s="79" t="str">
        <f ca="1">IFERROR(__xludf.DUMMYFUNCTION("""COMPUTED_VALUE"""),"Febrero")</f>
        <v>Febrero</v>
      </c>
      <c r="J502" s="79" t="str">
        <f ca="1">IFERROR(__xludf.DUMMYFUNCTION("""COMPUTED_VALUE"""),"MUJ")</f>
        <v>MUJ</v>
      </c>
      <c r="K502" s="80"/>
      <c r="L502" s="79" t="str">
        <f ca="1">IFERROR(__xludf.DUMMYFUNCTION("""COMPUTED_VALUE"""),"TRIMESTRE 1")</f>
        <v>TRIMESTRE 1</v>
      </c>
      <c r="M502" s="79" t="str">
        <f ca="1">IFERROR(__xludf.DUMMYFUNCTION("""COMPUTED_VALUE"""),"MUJERES ADULTAS")</f>
        <v>MUJERES ADULTAS</v>
      </c>
    </row>
    <row r="503" spans="1:13">
      <c r="A503" s="79" t="str">
        <f ca="1">IFERROR(__xludf.DUMMYFUNCTION("""COMPUTED_VALUE"""),"6.1.4.0")</f>
        <v>6.1.4.0</v>
      </c>
      <c r="B503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03" s="79" t="str">
        <f ca="1">IFERROR(__xludf.DUMMYFUNCTION("""COMPUTED_VALUE"""),"5. Inclusión")</f>
        <v>5. Inclusión</v>
      </c>
      <c r="D503" s="79" t="str">
        <f ca="1">IFERROR(__xludf.DUMMYFUNCTION("""COMPUTED_VALUE"""),"Guadalajara sin Barreras")</f>
        <v>Guadalajara sin Barreras</v>
      </c>
      <c r="E503" s="79" t="str">
        <f ca="1">IFERROR(__xludf.DUMMYFUNCTION("""COMPUTED_VALUE"""),"Desarrollo Integral de Personas Adultas Mayores")</f>
        <v>Desarrollo Integral de Personas Adultas Mayores</v>
      </c>
      <c r="F503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03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03" s="79" t="str">
        <f ca="1">IFERROR(__xludf.DUMMYFUNCTION("""COMPUTED_VALUE"""),"HOM Febrero")</f>
        <v>HOM Febrero</v>
      </c>
      <c r="I503" s="79" t="str">
        <f ca="1">IFERROR(__xludf.DUMMYFUNCTION("""COMPUTED_VALUE"""),"Febrero")</f>
        <v>Febrero</v>
      </c>
      <c r="J503" s="79" t="str">
        <f ca="1">IFERROR(__xludf.DUMMYFUNCTION("""COMPUTED_VALUE"""),"HOM")</f>
        <v>HOM</v>
      </c>
      <c r="K503" s="80"/>
      <c r="L503" s="79" t="str">
        <f ca="1">IFERROR(__xludf.DUMMYFUNCTION("""COMPUTED_VALUE"""),"TRIMESTRE 1")</f>
        <v>TRIMESTRE 1</v>
      </c>
      <c r="M503" s="79" t="str">
        <f ca="1">IFERROR(__xludf.DUMMYFUNCTION("""COMPUTED_VALUE"""),"HOMBRES ADULTOS")</f>
        <v>HOMBRES ADULTOS</v>
      </c>
    </row>
    <row r="504" spans="1:13">
      <c r="A504" s="79" t="str">
        <f ca="1">IFERROR(__xludf.DUMMYFUNCTION("""COMPUTED_VALUE"""),"6.1.4.0")</f>
        <v>6.1.4.0</v>
      </c>
      <c r="B504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04" s="79" t="str">
        <f ca="1">IFERROR(__xludf.DUMMYFUNCTION("""COMPUTED_VALUE"""),"5. Inclusión")</f>
        <v>5. Inclusión</v>
      </c>
      <c r="D504" s="79" t="str">
        <f ca="1">IFERROR(__xludf.DUMMYFUNCTION("""COMPUTED_VALUE"""),"Guadalajara sin Barreras")</f>
        <v>Guadalajara sin Barreras</v>
      </c>
      <c r="E504" s="79" t="str">
        <f ca="1">IFERROR(__xludf.DUMMYFUNCTION("""COMPUTED_VALUE"""),"Desarrollo Integral de Personas Adultas Mayores")</f>
        <v>Desarrollo Integral de Personas Adultas Mayores</v>
      </c>
      <c r="F504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04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04" s="79" t="str">
        <f ca="1">IFERROR(__xludf.DUMMYFUNCTION("""COMPUTED_VALUE"""),"AMM Febrero")</f>
        <v>AMM Febrero</v>
      </c>
      <c r="I504" s="79" t="str">
        <f ca="1">IFERROR(__xludf.DUMMYFUNCTION("""COMPUTED_VALUE"""),"Febrero")</f>
        <v>Febrero</v>
      </c>
      <c r="J504" s="79" t="str">
        <f ca="1">IFERROR(__xludf.DUMMYFUNCTION("""COMPUTED_VALUE"""),"AMM")</f>
        <v>AMM</v>
      </c>
      <c r="K504" s="80">
        <f ca="1">IFERROR(__xludf.DUMMYFUNCTION("""COMPUTED_VALUE"""),2245)</f>
        <v>2245</v>
      </c>
      <c r="L504" s="79" t="str">
        <f ca="1">IFERROR(__xludf.DUMMYFUNCTION("""COMPUTED_VALUE"""),"TRIMESTRE 1")</f>
        <v>TRIMESTRE 1</v>
      </c>
      <c r="M504" s="79" t="str">
        <f ca="1">IFERROR(__xludf.DUMMYFUNCTION("""COMPUTED_VALUE"""),"ADULTA MAYOR MUJER")</f>
        <v>ADULTA MAYOR MUJER</v>
      </c>
    </row>
    <row r="505" spans="1:13">
      <c r="A505" s="79" t="str">
        <f ca="1">IFERROR(__xludf.DUMMYFUNCTION("""COMPUTED_VALUE"""),"6.1.4.0")</f>
        <v>6.1.4.0</v>
      </c>
      <c r="B505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05" s="79" t="str">
        <f ca="1">IFERROR(__xludf.DUMMYFUNCTION("""COMPUTED_VALUE"""),"5. Inclusión")</f>
        <v>5. Inclusión</v>
      </c>
      <c r="D505" s="79" t="str">
        <f ca="1">IFERROR(__xludf.DUMMYFUNCTION("""COMPUTED_VALUE"""),"Guadalajara sin Barreras")</f>
        <v>Guadalajara sin Barreras</v>
      </c>
      <c r="E505" s="79" t="str">
        <f ca="1">IFERROR(__xludf.DUMMYFUNCTION("""COMPUTED_VALUE"""),"Desarrollo Integral de Personas Adultas Mayores")</f>
        <v>Desarrollo Integral de Personas Adultas Mayores</v>
      </c>
      <c r="F505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05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05" s="79" t="str">
        <f ca="1">IFERROR(__xludf.DUMMYFUNCTION("""COMPUTED_VALUE"""),"AMH Febrero")</f>
        <v>AMH Febrero</v>
      </c>
      <c r="I505" s="79" t="str">
        <f ca="1">IFERROR(__xludf.DUMMYFUNCTION("""COMPUTED_VALUE"""),"Febrero")</f>
        <v>Febrero</v>
      </c>
      <c r="J505" s="79" t="str">
        <f ca="1">IFERROR(__xludf.DUMMYFUNCTION("""COMPUTED_VALUE"""),"AMH")</f>
        <v>AMH</v>
      </c>
      <c r="K505" s="80">
        <f ca="1">IFERROR(__xludf.DUMMYFUNCTION("""COMPUTED_VALUE"""),618)</f>
        <v>618</v>
      </c>
      <c r="L505" s="79" t="str">
        <f ca="1">IFERROR(__xludf.DUMMYFUNCTION("""COMPUTED_VALUE"""),"TRIMESTRE 1")</f>
        <v>TRIMESTRE 1</v>
      </c>
      <c r="M505" s="79" t="str">
        <f ca="1">IFERROR(__xludf.DUMMYFUNCTION("""COMPUTED_VALUE"""),"ADULTO MAYOR HOMBRE")</f>
        <v>ADULTO MAYOR HOMBRE</v>
      </c>
    </row>
    <row r="506" spans="1:13">
      <c r="A506" s="79" t="str">
        <f ca="1">IFERROR(__xludf.DUMMYFUNCTION("""COMPUTED_VALUE"""),"6.1.4.2")</f>
        <v>6.1.4.2</v>
      </c>
      <c r="B506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06" s="79" t="str">
        <f ca="1">IFERROR(__xludf.DUMMYFUNCTION("""COMPUTED_VALUE"""),"5. Inclusión")</f>
        <v>5. Inclusión</v>
      </c>
      <c r="D506" s="79" t="str">
        <f ca="1">IFERROR(__xludf.DUMMYFUNCTION("""COMPUTED_VALUE"""),"Guadalajara sin Barreras")</f>
        <v>Guadalajara sin Barreras</v>
      </c>
      <c r="E506" s="79" t="str">
        <f ca="1">IFERROR(__xludf.DUMMYFUNCTION("""COMPUTED_VALUE"""),"Desarrollo Integral de Personas Adultas Mayores")</f>
        <v>Desarrollo Integral de Personas Adultas Mayores</v>
      </c>
      <c r="F506" s="79" t="str">
        <f ca="1">IFERROR(__xludf.DUMMYFUNCTION("""COMPUTED_VALUE"""),"A2C4. Raciones alimenticias entregadas en el comedor de DIPAM en 2024")</f>
        <v>A2C4. Raciones alimenticias entregadas en el comedor de DIPAM en 2024</v>
      </c>
      <c r="G506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06" s="79" t="str">
        <f ca="1">IFERROR(__xludf.DUMMYFUNCTION("""COMPUTED_VALUE"""),"NAS Febrero")</f>
        <v>NAS Febrero</v>
      </c>
      <c r="I506" s="79" t="str">
        <f ca="1">IFERROR(__xludf.DUMMYFUNCTION("""COMPUTED_VALUE"""),"Febrero")</f>
        <v>Febrero</v>
      </c>
      <c r="J506" s="79" t="str">
        <f ca="1">IFERROR(__xludf.DUMMYFUNCTION("""COMPUTED_VALUE"""),"NAS")</f>
        <v>NAS</v>
      </c>
      <c r="K506" s="80"/>
      <c r="L506" s="79" t="str">
        <f ca="1">IFERROR(__xludf.DUMMYFUNCTION("""COMPUTED_VALUE"""),"TRIMESTRE 1")</f>
        <v>TRIMESTRE 1</v>
      </c>
      <c r="M506" s="79" t="str">
        <f ca="1">IFERROR(__xludf.DUMMYFUNCTION("""COMPUTED_VALUE"""),"NIÑAS")</f>
        <v>NIÑAS</v>
      </c>
    </row>
    <row r="507" spans="1:13">
      <c r="A507" s="79" t="str">
        <f ca="1">IFERROR(__xludf.DUMMYFUNCTION("""COMPUTED_VALUE"""),"6.1.4.2")</f>
        <v>6.1.4.2</v>
      </c>
      <c r="B507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07" s="79" t="str">
        <f ca="1">IFERROR(__xludf.DUMMYFUNCTION("""COMPUTED_VALUE"""),"5. Inclusión")</f>
        <v>5. Inclusión</v>
      </c>
      <c r="D507" s="79" t="str">
        <f ca="1">IFERROR(__xludf.DUMMYFUNCTION("""COMPUTED_VALUE"""),"Guadalajara sin Barreras")</f>
        <v>Guadalajara sin Barreras</v>
      </c>
      <c r="E507" s="79" t="str">
        <f ca="1">IFERROR(__xludf.DUMMYFUNCTION("""COMPUTED_VALUE"""),"Desarrollo Integral de Personas Adultas Mayores")</f>
        <v>Desarrollo Integral de Personas Adultas Mayores</v>
      </c>
      <c r="F507" s="79" t="str">
        <f ca="1">IFERROR(__xludf.DUMMYFUNCTION("""COMPUTED_VALUE"""),"A2C4. Raciones alimenticias entregadas en el comedor de DIPAM en 2024")</f>
        <v>A2C4. Raciones alimenticias entregadas en el comedor de DIPAM en 2024</v>
      </c>
      <c r="G507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07" s="79" t="str">
        <f ca="1">IFERROR(__xludf.DUMMYFUNCTION("""COMPUTED_VALUE"""),"NOS Febrero")</f>
        <v>NOS Febrero</v>
      </c>
      <c r="I507" s="79" t="str">
        <f ca="1">IFERROR(__xludf.DUMMYFUNCTION("""COMPUTED_VALUE"""),"Febrero")</f>
        <v>Febrero</v>
      </c>
      <c r="J507" s="79" t="str">
        <f ca="1">IFERROR(__xludf.DUMMYFUNCTION("""COMPUTED_VALUE"""),"NOS")</f>
        <v>NOS</v>
      </c>
      <c r="K507" s="80"/>
      <c r="L507" s="79" t="str">
        <f ca="1">IFERROR(__xludf.DUMMYFUNCTION("""COMPUTED_VALUE"""),"TRIMESTRE 1")</f>
        <v>TRIMESTRE 1</v>
      </c>
      <c r="M507" s="79" t="str">
        <f ca="1">IFERROR(__xludf.DUMMYFUNCTION("""COMPUTED_VALUE"""),"NIÑOS")</f>
        <v>NIÑOS</v>
      </c>
    </row>
    <row r="508" spans="1:13">
      <c r="A508" s="79" t="str">
        <f ca="1">IFERROR(__xludf.DUMMYFUNCTION("""COMPUTED_VALUE"""),"6.1.4.2")</f>
        <v>6.1.4.2</v>
      </c>
      <c r="B508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08" s="79" t="str">
        <f ca="1">IFERROR(__xludf.DUMMYFUNCTION("""COMPUTED_VALUE"""),"5. Inclusión")</f>
        <v>5. Inclusión</v>
      </c>
      <c r="D508" s="79" t="str">
        <f ca="1">IFERROR(__xludf.DUMMYFUNCTION("""COMPUTED_VALUE"""),"Guadalajara sin Barreras")</f>
        <v>Guadalajara sin Barreras</v>
      </c>
      <c r="E508" s="79" t="str">
        <f ca="1">IFERROR(__xludf.DUMMYFUNCTION("""COMPUTED_VALUE"""),"Desarrollo Integral de Personas Adultas Mayores")</f>
        <v>Desarrollo Integral de Personas Adultas Mayores</v>
      </c>
      <c r="F508" s="79" t="str">
        <f ca="1">IFERROR(__xludf.DUMMYFUNCTION("""COMPUTED_VALUE"""),"A2C4. Raciones alimenticias entregadas en el comedor de DIPAM en 2024")</f>
        <v>A2C4. Raciones alimenticias entregadas en el comedor de DIPAM en 2024</v>
      </c>
      <c r="G508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08" s="79" t="str">
        <f ca="1">IFERROR(__xludf.DUMMYFUNCTION("""COMPUTED_VALUE"""),"AM Febrero")</f>
        <v>AM Febrero</v>
      </c>
      <c r="I508" s="79" t="str">
        <f ca="1">IFERROR(__xludf.DUMMYFUNCTION("""COMPUTED_VALUE"""),"Febrero")</f>
        <v>Febrero</v>
      </c>
      <c r="J508" s="79" t="str">
        <f ca="1">IFERROR(__xludf.DUMMYFUNCTION("""COMPUTED_VALUE"""),"AM")</f>
        <v>AM</v>
      </c>
      <c r="K508" s="80"/>
      <c r="L508" s="79" t="str">
        <f ca="1">IFERROR(__xludf.DUMMYFUNCTION("""COMPUTED_VALUE"""),"TRIMESTRE 1")</f>
        <v>TRIMESTRE 1</v>
      </c>
      <c r="M508" s="79" t="str">
        <f ca="1">IFERROR(__xludf.DUMMYFUNCTION("""COMPUTED_VALUE"""),"ADOLESCENTES MUJERES")</f>
        <v>ADOLESCENTES MUJERES</v>
      </c>
    </row>
    <row r="509" spans="1:13">
      <c r="A509" s="79" t="str">
        <f ca="1">IFERROR(__xludf.DUMMYFUNCTION("""COMPUTED_VALUE"""),"6.1.4.2")</f>
        <v>6.1.4.2</v>
      </c>
      <c r="B509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09" s="79" t="str">
        <f ca="1">IFERROR(__xludf.DUMMYFUNCTION("""COMPUTED_VALUE"""),"5. Inclusión")</f>
        <v>5. Inclusión</v>
      </c>
      <c r="D509" s="79" t="str">
        <f ca="1">IFERROR(__xludf.DUMMYFUNCTION("""COMPUTED_VALUE"""),"Guadalajara sin Barreras")</f>
        <v>Guadalajara sin Barreras</v>
      </c>
      <c r="E509" s="79" t="str">
        <f ca="1">IFERROR(__xludf.DUMMYFUNCTION("""COMPUTED_VALUE"""),"Desarrollo Integral de Personas Adultas Mayores")</f>
        <v>Desarrollo Integral de Personas Adultas Mayores</v>
      </c>
      <c r="F509" s="79" t="str">
        <f ca="1">IFERROR(__xludf.DUMMYFUNCTION("""COMPUTED_VALUE"""),"A2C4. Raciones alimenticias entregadas en el comedor de DIPAM en 2024")</f>
        <v>A2C4. Raciones alimenticias entregadas en el comedor de DIPAM en 2024</v>
      </c>
      <c r="G509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09" s="79" t="str">
        <f ca="1">IFERROR(__xludf.DUMMYFUNCTION("""COMPUTED_VALUE"""),"AH Febrero")</f>
        <v>AH Febrero</v>
      </c>
      <c r="I509" s="79" t="str">
        <f ca="1">IFERROR(__xludf.DUMMYFUNCTION("""COMPUTED_VALUE"""),"Febrero")</f>
        <v>Febrero</v>
      </c>
      <c r="J509" s="79" t="str">
        <f ca="1">IFERROR(__xludf.DUMMYFUNCTION("""COMPUTED_VALUE"""),"AH")</f>
        <v>AH</v>
      </c>
      <c r="K509" s="80"/>
      <c r="L509" s="79" t="str">
        <f ca="1">IFERROR(__xludf.DUMMYFUNCTION("""COMPUTED_VALUE"""),"TRIMESTRE 1")</f>
        <v>TRIMESTRE 1</v>
      </c>
      <c r="M509" s="79" t="str">
        <f ca="1">IFERROR(__xludf.DUMMYFUNCTION("""COMPUTED_VALUE"""),"ADOLESCENTES HOMBRES")</f>
        <v>ADOLESCENTES HOMBRES</v>
      </c>
    </row>
    <row r="510" spans="1:13">
      <c r="A510" s="79" t="str">
        <f ca="1">IFERROR(__xludf.DUMMYFUNCTION("""COMPUTED_VALUE"""),"6.1.4.2")</f>
        <v>6.1.4.2</v>
      </c>
      <c r="B510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10" s="79" t="str">
        <f ca="1">IFERROR(__xludf.DUMMYFUNCTION("""COMPUTED_VALUE"""),"5. Inclusión")</f>
        <v>5. Inclusión</v>
      </c>
      <c r="D510" s="79" t="str">
        <f ca="1">IFERROR(__xludf.DUMMYFUNCTION("""COMPUTED_VALUE"""),"Guadalajara sin Barreras")</f>
        <v>Guadalajara sin Barreras</v>
      </c>
      <c r="E510" s="79" t="str">
        <f ca="1">IFERROR(__xludf.DUMMYFUNCTION("""COMPUTED_VALUE"""),"Desarrollo Integral de Personas Adultas Mayores")</f>
        <v>Desarrollo Integral de Personas Adultas Mayores</v>
      </c>
      <c r="F510" s="79" t="str">
        <f ca="1">IFERROR(__xludf.DUMMYFUNCTION("""COMPUTED_VALUE"""),"A2C4. Raciones alimenticias entregadas en el comedor de DIPAM en 2024")</f>
        <v>A2C4. Raciones alimenticias entregadas en el comedor de DIPAM en 2024</v>
      </c>
      <c r="G510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10" s="79" t="str">
        <f ca="1">IFERROR(__xludf.DUMMYFUNCTION("""COMPUTED_VALUE"""),"MUJ Febrero")</f>
        <v>MUJ Febrero</v>
      </c>
      <c r="I510" s="79" t="str">
        <f ca="1">IFERROR(__xludf.DUMMYFUNCTION("""COMPUTED_VALUE"""),"Febrero")</f>
        <v>Febrero</v>
      </c>
      <c r="J510" s="79" t="str">
        <f ca="1">IFERROR(__xludf.DUMMYFUNCTION("""COMPUTED_VALUE"""),"MUJ")</f>
        <v>MUJ</v>
      </c>
      <c r="K510" s="80"/>
      <c r="L510" s="79" t="str">
        <f ca="1">IFERROR(__xludf.DUMMYFUNCTION("""COMPUTED_VALUE"""),"TRIMESTRE 1")</f>
        <v>TRIMESTRE 1</v>
      </c>
      <c r="M510" s="79" t="str">
        <f ca="1">IFERROR(__xludf.DUMMYFUNCTION("""COMPUTED_VALUE"""),"MUJERES ADULTAS")</f>
        <v>MUJERES ADULTAS</v>
      </c>
    </row>
    <row r="511" spans="1:13">
      <c r="A511" s="79" t="str">
        <f ca="1">IFERROR(__xludf.DUMMYFUNCTION("""COMPUTED_VALUE"""),"6.1.4.2")</f>
        <v>6.1.4.2</v>
      </c>
      <c r="B511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11" s="79" t="str">
        <f ca="1">IFERROR(__xludf.DUMMYFUNCTION("""COMPUTED_VALUE"""),"5. Inclusión")</f>
        <v>5. Inclusión</v>
      </c>
      <c r="D511" s="79" t="str">
        <f ca="1">IFERROR(__xludf.DUMMYFUNCTION("""COMPUTED_VALUE"""),"Guadalajara sin Barreras")</f>
        <v>Guadalajara sin Barreras</v>
      </c>
      <c r="E511" s="79" t="str">
        <f ca="1">IFERROR(__xludf.DUMMYFUNCTION("""COMPUTED_VALUE"""),"Desarrollo Integral de Personas Adultas Mayores")</f>
        <v>Desarrollo Integral de Personas Adultas Mayores</v>
      </c>
      <c r="F511" s="79" t="str">
        <f ca="1">IFERROR(__xludf.DUMMYFUNCTION("""COMPUTED_VALUE"""),"A2C4. Raciones alimenticias entregadas en el comedor de DIPAM en 2024")</f>
        <v>A2C4. Raciones alimenticias entregadas en el comedor de DIPAM en 2024</v>
      </c>
      <c r="G511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11" s="79" t="str">
        <f ca="1">IFERROR(__xludf.DUMMYFUNCTION("""COMPUTED_VALUE"""),"HOM Febrero")</f>
        <v>HOM Febrero</v>
      </c>
      <c r="I511" s="79" t="str">
        <f ca="1">IFERROR(__xludf.DUMMYFUNCTION("""COMPUTED_VALUE"""),"Febrero")</f>
        <v>Febrero</v>
      </c>
      <c r="J511" s="79" t="str">
        <f ca="1">IFERROR(__xludf.DUMMYFUNCTION("""COMPUTED_VALUE"""),"HOM")</f>
        <v>HOM</v>
      </c>
      <c r="K511" s="80"/>
      <c r="L511" s="79" t="str">
        <f ca="1">IFERROR(__xludf.DUMMYFUNCTION("""COMPUTED_VALUE"""),"TRIMESTRE 1")</f>
        <v>TRIMESTRE 1</v>
      </c>
      <c r="M511" s="79" t="str">
        <f ca="1">IFERROR(__xludf.DUMMYFUNCTION("""COMPUTED_VALUE"""),"HOMBRES ADULTOS")</f>
        <v>HOMBRES ADULTOS</v>
      </c>
    </row>
    <row r="512" spans="1:13">
      <c r="A512" s="79" t="str">
        <f ca="1">IFERROR(__xludf.DUMMYFUNCTION("""COMPUTED_VALUE"""),"6.1.4.2")</f>
        <v>6.1.4.2</v>
      </c>
      <c r="B512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12" s="79" t="str">
        <f ca="1">IFERROR(__xludf.DUMMYFUNCTION("""COMPUTED_VALUE"""),"5. Inclusión")</f>
        <v>5. Inclusión</v>
      </c>
      <c r="D512" s="79" t="str">
        <f ca="1">IFERROR(__xludf.DUMMYFUNCTION("""COMPUTED_VALUE"""),"Guadalajara sin Barreras")</f>
        <v>Guadalajara sin Barreras</v>
      </c>
      <c r="E512" s="79" t="str">
        <f ca="1">IFERROR(__xludf.DUMMYFUNCTION("""COMPUTED_VALUE"""),"Desarrollo Integral de Personas Adultas Mayores")</f>
        <v>Desarrollo Integral de Personas Adultas Mayores</v>
      </c>
      <c r="F512" s="79" t="str">
        <f ca="1">IFERROR(__xludf.DUMMYFUNCTION("""COMPUTED_VALUE"""),"A2C4. Raciones alimenticias entregadas en el comedor de DIPAM en 2024")</f>
        <v>A2C4. Raciones alimenticias entregadas en el comedor de DIPAM en 2024</v>
      </c>
      <c r="G512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12" s="79" t="str">
        <f ca="1">IFERROR(__xludf.DUMMYFUNCTION("""COMPUTED_VALUE"""),"AMM Febrero")</f>
        <v>AMM Febrero</v>
      </c>
      <c r="I512" s="79" t="str">
        <f ca="1">IFERROR(__xludf.DUMMYFUNCTION("""COMPUTED_VALUE"""),"Febrero")</f>
        <v>Febrero</v>
      </c>
      <c r="J512" s="79" t="str">
        <f ca="1">IFERROR(__xludf.DUMMYFUNCTION("""COMPUTED_VALUE"""),"AMM")</f>
        <v>AMM</v>
      </c>
      <c r="K512" s="80">
        <f ca="1">IFERROR(__xludf.DUMMYFUNCTION("""COMPUTED_VALUE"""),950)</f>
        <v>950</v>
      </c>
      <c r="L512" s="79" t="str">
        <f ca="1">IFERROR(__xludf.DUMMYFUNCTION("""COMPUTED_VALUE"""),"TRIMESTRE 1")</f>
        <v>TRIMESTRE 1</v>
      </c>
      <c r="M512" s="79" t="str">
        <f ca="1">IFERROR(__xludf.DUMMYFUNCTION("""COMPUTED_VALUE"""),"ADULTA MAYOR MUJER")</f>
        <v>ADULTA MAYOR MUJER</v>
      </c>
    </row>
    <row r="513" spans="1:26">
      <c r="A513" s="79" t="str">
        <f ca="1">IFERROR(__xludf.DUMMYFUNCTION("""COMPUTED_VALUE"""),"6.1.4.2")</f>
        <v>6.1.4.2</v>
      </c>
      <c r="B513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13" s="79" t="str">
        <f ca="1">IFERROR(__xludf.DUMMYFUNCTION("""COMPUTED_VALUE"""),"5. Inclusión")</f>
        <v>5. Inclusión</v>
      </c>
      <c r="D513" s="79" t="str">
        <f ca="1">IFERROR(__xludf.DUMMYFUNCTION("""COMPUTED_VALUE"""),"Guadalajara sin Barreras")</f>
        <v>Guadalajara sin Barreras</v>
      </c>
      <c r="E513" s="79" t="str">
        <f ca="1">IFERROR(__xludf.DUMMYFUNCTION("""COMPUTED_VALUE"""),"Desarrollo Integral de Personas Adultas Mayores")</f>
        <v>Desarrollo Integral de Personas Adultas Mayores</v>
      </c>
      <c r="F513" s="79" t="str">
        <f ca="1">IFERROR(__xludf.DUMMYFUNCTION("""COMPUTED_VALUE"""),"A2C4. Raciones alimenticias entregadas en el comedor de DIPAM en 2024")</f>
        <v>A2C4. Raciones alimenticias entregadas en el comedor de DIPAM en 2024</v>
      </c>
      <c r="G513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13" s="79" t="str">
        <f ca="1">IFERROR(__xludf.DUMMYFUNCTION("""COMPUTED_VALUE"""),"AMH Febrero")</f>
        <v>AMH Febrero</v>
      </c>
      <c r="I513" s="79" t="str">
        <f ca="1">IFERROR(__xludf.DUMMYFUNCTION("""COMPUTED_VALUE"""),"Febrero")</f>
        <v>Febrero</v>
      </c>
      <c r="J513" s="79" t="str">
        <f ca="1">IFERROR(__xludf.DUMMYFUNCTION("""COMPUTED_VALUE"""),"AMH")</f>
        <v>AMH</v>
      </c>
      <c r="K513" s="80">
        <f ca="1">IFERROR(__xludf.DUMMYFUNCTION("""COMPUTED_VALUE"""),950)</f>
        <v>950</v>
      </c>
      <c r="L513" s="79" t="str">
        <f ca="1">IFERROR(__xludf.DUMMYFUNCTION("""COMPUTED_VALUE"""),"TRIMESTRE 1")</f>
        <v>TRIMESTRE 1</v>
      </c>
      <c r="M513" s="79" t="str">
        <f ca="1">IFERROR(__xludf.DUMMYFUNCTION("""COMPUTED_VALUE"""),"ADULTO MAYOR HOMBRE")</f>
        <v>ADULTO MAYOR HOMBRE</v>
      </c>
    </row>
    <row r="514" spans="1:26">
      <c r="A514" s="81" t="str">
        <f ca="1">IFERROR(__xludf.DUMMYFUNCTION("""COMPUTED_VALUE"""),"6.1.4.0")</f>
        <v>6.1.4.0</v>
      </c>
      <c r="B514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14" s="81" t="str">
        <f ca="1">IFERROR(__xludf.DUMMYFUNCTION("""COMPUTED_VALUE"""),"5. Inclusión")</f>
        <v>5. Inclusión</v>
      </c>
      <c r="D514" s="81" t="str">
        <f ca="1">IFERROR(__xludf.DUMMYFUNCTION("""COMPUTED_VALUE"""),"Guadalajara sin Barreras")</f>
        <v>Guadalajara sin Barreras</v>
      </c>
      <c r="E514" s="81" t="str">
        <f ca="1">IFERROR(__xludf.DUMMYFUNCTION("""COMPUTED_VALUE"""),"Desarrollo Integral de Personas Adultas Mayores")</f>
        <v>Desarrollo Integral de Personas Adultas Mayores</v>
      </c>
      <c r="F514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14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14" s="81" t="str">
        <f ca="1">IFERROR(__xludf.DUMMYFUNCTION("""COMPUTED_VALUE"""),"NAS Marzo")</f>
        <v>NAS Marzo</v>
      </c>
      <c r="I514" s="81" t="str">
        <f ca="1">IFERROR(__xludf.DUMMYFUNCTION("""COMPUTED_VALUE"""),"Marzo")</f>
        <v>Marzo</v>
      </c>
      <c r="J514" s="81" t="str">
        <f ca="1">IFERROR(__xludf.DUMMYFUNCTION("""COMPUTED_VALUE"""),"NAS")</f>
        <v>NAS</v>
      </c>
      <c r="K514" s="80"/>
      <c r="L514" s="81" t="str">
        <f ca="1">IFERROR(__xludf.DUMMYFUNCTION("""COMPUTED_VALUE"""),"TRIMESTRE 1")</f>
        <v>TRIMESTRE 1</v>
      </c>
      <c r="M514" s="81" t="str">
        <f ca="1">IFERROR(__xludf.DUMMYFUNCTION("""COMPUTED_VALUE"""),"NIÑAS")</f>
        <v>NIÑAS</v>
      </c>
      <c r="N514" s="81"/>
      <c r="O514" s="81"/>
      <c r="P514" s="81"/>
      <c r="Q514" s="81"/>
      <c r="R514" s="81"/>
      <c r="S514" s="81"/>
      <c r="T514" s="81"/>
      <c r="U514" s="81"/>
      <c r="V514" s="81"/>
      <c r="W514" s="81"/>
      <c r="X514" s="81"/>
      <c r="Y514" s="81"/>
      <c r="Z514" s="81"/>
    </row>
    <row r="515" spans="1:26">
      <c r="A515" s="81" t="str">
        <f ca="1">IFERROR(__xludf.DUMMYFUNCTION("""COMPUTED_VALUE"""),"6.1.4.0")</f>
        <v>6.1.4.0</v>
      </c>
      <c r="B515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15" s="81" t="str">
        <f ca="1">IFERROR(__xludf.DUMMYFUNCTION("""COMPUTED_VALUE"""),"5. Inclusión")</f>
        <v>5. Inclusión</v>
      </c>
      <c r="D515" s="81" t="str">
        <f ca="1">IFERROR(__xludf.DUMMYFUNCTION("""COMPUTED_VALUE"""),"Guadalajara sin Barreras")</f>
        <v>Guadalajara sin Barreras</v>
      </c>
      <c r="E515" s="81" t="str">
        <f ca="1">IFERROR(__xludf.DUMMYFUNCTION("""COMPUTED_VALUE"""),"Desarrollo Integral de Personas Adultas Mayores")</f>
        <v>Desarrollo Integral de Personas Adultas Mayores</v>
      </c>
      <c r="F515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15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15" s="81" t="str">
        <f ca="1">IFERROR(__xludf.DUMMYFUNCTION("""COMPUTED_VALUE"""),"NOS Marzo")</f>
        <v>NOS Marzo</v>
      </c>
      <c r="I515" s="81" t="str">
        <f ca="1">IFERROR(__xludf.DUMMYFUNCTION("""COMPUTED_VALUE"""),"Marzo")</f>
        <v>Marzo</v>
      </c>
      <c r="J515" s="81" t="str">
        <f ca="1">IFERROR(__xludf.DUMMYFUNCTION("""COMPUTED_VALUE"""),"NOS")</f>
        <v>NOS</v>
      </c>
      <c r="K515" s="80"/>
      <c r="L515" s="81" t="str">
        <f ca="1">IFERROR(__xludf.DUMMYFUNCTION("""COMPUTED_VALUE"""),"TRIMESTRE 1")</f>
        <v>TRIMESTRE 1</v>
      </c>
      <c r="M515" s="81" t="str">
        <f ca="1">IFERROR(__xludf.DUMMYFUNCTION("""COMPUTED_VALUE"""),"NIÑOS")</f>
        <v>NIÑOS</v>
      </c>
      <c r="N515" s="81"/>
      <c r="O515" s="81"/>
      <c r="P515" s="81"/>
      <c r="Q515" s="81"/>
      <c r="R515" s="81"/>
      <c r="S515" s="81"/>
      <c r="T515" s="81"/>
      <c r="U515" s="81"/>
      <c r="V515" s="81"/>
      <c r="W515" s="81"/>
      <c r="X515" s="81"/>
      <c r="Y515" s="81"/>
      <c r="Z515" s="81"/>
    </row>
    <row r="516" spans="1:26">
      <c r="A516" s="81" t="str">
        <f ca="1">IFERROR(__xludf.DUMMYFUNCTION("""COMPUTED_VALUE"""),"6.1.4.0")</f>
        <v>6.1.4.0</v>
      </c>
      <c r="B516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16" s="81" t="str">
        <f ca="1">IFERROR(__xludf.DUMMYFUNCTION("""COMPUTED_VALUE"""),"5. Inclusión")</f>
        <v>5. Inclusión</v>
      </c>
      <c r="D516" s="81" t="str">
        <f ca="1">IFERROR(__xludf.DUMMYFUNCTION("""COMPUTED_VALUE"""),"Guadalajara sin Barreras")</f>
        <v>Guadalajara sin Barreras</v>
      </c>
      <c r="E516" s="81" t="str">
        <f ca="1">IFERROR(__xludf.DUMMYFUNCTION("""COMPUTED_VALUE"""),"Desarrollo Integral de Personas Adultas Mayores")</f>
        <v>Desarrollo Integral de Personas Adultas Mayores</v>
      </c>
      <c r="F516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16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16" s="81" t="str">
        <f ca="1">IFERROR(__xludf.DUMMYFUNCTION("""COMPUTED_VALUE"""),"AM Marzo")</f>
        <v>AM Marzo</v>
      </c>
      <c r="I516" s="81" t="str">
        <f ca="1">IFERROR(__xludf.DUMMYFUNCTION("""COMPUTED_VALUE"""),"Marzo")</f>
        <v>Marzo</v>
      </c>
      <c r="J516" s="81" t="str">
        <f ca="1">IFERROR(__xludf.DUMMYFUNCTION("""COMPUTED_VALUE"""),"AM")</f>
        <v>AM</v>
      </c>
      <c r="K516" s="80"/>
      <c r="L516" s="81" t="str">
        <f ca="1">IFERROR(__xludf.DUMMYFUNCTION("""COMPUTED_VALUE"""),"TRIMESTRE 1")</f>
        <v>TRIMESTRE 1</v>
      </c>
      <c r="M516" s="81" t="str">
        <f ca="1">IFERROR(__xludf.DUMMYFUNCTION("""COMPUTED_VALUE"""),"ADOLESCENTES MUJERES")</f>
        <v>ADOLESCENTES MUJERES</v>
      </c>
      <c r="N516" s="81"/>
      <c r="O516" s="81"/>
      <c r="P516" s="81"/>
      <c r="Q516" s="81"/>
      <c r="R516" s="81"/>
      <c r="S516" s="81"/>
      <c r="T516" s="81"/>
      <c r="U516" s="81"/>
      <c r="V516" s="81"/>
      <c r="W516" s="81"/>
      <c r="X516" s="81"/>
      <c r="Y516" s="81"/>
      <c r="Z516" s="81"/>
    </row>
    <row r="517" spans="1:26">
      <c r="A517" s="81" t="str">
        <f ca="1">IFERROR(__xludf.DUMMYFUNCTION("""COMPUTED_VALUE"""),"6.1.4.0")</f>
        <v>6.1.4.0</v>
      </c>
      <c r="B517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17" s="81" t="str">
        <f ca="1">IFERROR(__xludf.DUMMYFUNCTION("""COMPUTED_VALUE"""),"5. Inclusión")</f>
        <v>5. Inclusión</v>
      </c>
      <c r="D517" s="81" t="str">
        <f ca="1">IFERROR(__xludf.DUMMYFUNCTION("""COMPUTED_VALUE"""),"Guadalajara sin Barreras")</f>
        <v>Guadalajara sin Barreras</v>
      </c>
      <c r="E517" s="81" t="str">
        <f ca="1">IFERROR(__xludf.DUMMYFUNCTION("""COMPUTED_VALUE"""),"Desarrollo Integral de Personas Adultas Mayores")</f>
        <v>Desarrollo Integral de Personas Adultas Mayores</v>
      </c>
      <c r="F517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17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17" s="81" t="str">
        <f ca="1">IFERROR(__xludf.DUMMYFUNCTION("""COMPUTED_VALUE"""),"AH Marzo")</f>
        <v>AH Marzo</v>
      </c>
      <c r="I517" s="81" t="str">
        <f ca="1">IFERROR(__xludf.DUMMYFUNCTION("""COMPUTED_VALUE"""),"Marzo")</f>
        <v>Marzo</v>
      </c>
      <c r="J517" s="81" t="str">
        <f ca="1">IFERROR(__xludf.DUMMYFUNCTION("""COMPUTED_VALUE"""),"AH")</f>
        <v>AH</v>
      </c>
      <c r="K517" s="80"/>
      <c r="L517" s="81" t="str">
        <f ca="1">IFERROR(__xludf.DUMMYFUNCTION("""COMPUTED_VALUE"""),"TRIMESTRE 1")</f>
        <v>TRIMESTRE 1</v>
      </c>
      <c r="M517" s="81" t="str">
        <f ca="1">IFERROR(__xludf.DUMMYFUNCTION("""COMPUTED_VALUE"""),"ADOLESCENTES HOMBRES")</f>
        <v>ADOLESCENTES HOMBRES</v>
      </c>
      <c r="N517" s="81"/>
      <c r="O517" s="81"/>
      <c r="P517" s="81"/>
      <c r="Q517" s="81"/>
      <c r="R517" s="81"/>
      <c r="S517" s="81"/>
      <c r="T517" s="81"/>
      <c r="U517" s="81"/>
      <c r="V517" s="81"/>
      <c r="W517" s="81"/>
      <c r="X517" s="81"/>
      <c r="Y517" s="81"/>
      <c r="Z517" s="81"/>
    </row>
    <row r="518" spans="1:26">
      <c r="A518" s="81" t="str">
        <f ca="1">IFERROR(__xludf.DUMMYFUNCTION("""COMPUTED_VALUE"""),"6.1.4.0")</f>
        <v>6.1.4.0</v>
      </c>
      <c r="B518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18" s="81" t="str">
        <f ca="1">IFERROR(__xludf.DUMMYFUNCTION("""COMPUTED_VALUE"""),"5. Inclusión")</f>
        <v>5. Inclusión</v>
      </c>
      <c r="D518" s="81" t="str">
        <f ca="1">IFERROR(__xludf.DUMMYFUNCTION("""COMPUTED_VALUE"""),"Guadalajara sin Barreras")</f>
        <v>Guadalajara sin Barreras</v>
      </c>
      <c r="E518" s="81" t="str">
        <f ca="1">IFERROR(__xludf.DUMMYFUNCTION("""COMPUTED_VALUE"""),"Desarrollo Integral de Personas Adultas Mayores")</f>
        <v>Desarrollo Integral de Personas Adultas Mayores</v>
      </c>
      <c r="F518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18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18" s="81" t="str">
        <f ca="1">IFERROR(__xludf.DUMMYFUNCTION("""COMPUTED_VALUE"""),"MUJ Marzo")</f>
        <v>MUJ Marzo</v>
      </c>
      <c r="I518" s="81" t="str">
        <f ca="1">IFERROR(__xludf.DUMMYFUNCTION("""COMPUTED_VALUE"""),"Marzo")</f>
        <v>Marzo</v>
      </c>
      <c r="J518" s="81" t="str">
        <f ca="1">IFERROR(__xludf.DUMMYFUNCTION("""COMPUTED_VALUE"""),"MUJ")</f>
        <v>MUJ</v>
      </c>
      <c r="K518" s="80"/>
      <c r="L518" s="81" t="str">
        <f ca="1">IFERROR(__xludf.DUMMYFUNCTION("""COMPUTED_VALUE"""),"TRIMESTRE 1")</f>
        <v>TRIMESTRE 1</v>
      </c>
      <c r="M518" s="81" t="str">
        <f ca="1">IFERROR(__xludf.DUMMYFUNCTION("""COMPUTED_VALUE"""),"MUJERES ADULTAS")</f>
        <v>MUJERES ADULTAS</v>
      </c>
      <c r="N518" s="81"/>
      <c r="O518" s="81"/>
      <c r="P518" s="81"/>
      <c r="Q518" s="81"/>
      <c r="R518" s="81"/>
      <c r="S518" s="81"/>
      <c r="T518" s="81"/>
      <c r="U518" s="81"/>
      <c r="V518" s="81"/>
      <c r="W518" s="81"/>
      <c r="X518" s="81"/>
      <c r="Y518" s="81"/>
      <c r="Z518" s="81"/>
    </row>
    <row r="519" spans="1:26">
      <c r="A519" s="81" t="str">
        <f ca="1">IFERROR(__xludf.DUMMYFUNCTION("""COMPUTED_VALUE"""),"6.1.4.0")</f>
        <v>6.1.4.0</v>
      </c>
      <c r="B519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19" s="81" t="str">
        <f ca="1">IFERROR(__xludf.DUMMYFUNCTION("""COMPUTED_VALUE"""),"5. Inclusión")</f>
        <v>5. Inclusión</v>
      </c>
      <c r="D519" s="81" t="str">
        <f ca="1">IFERROR(__xludf.DUMMYFUNCTION("""COMPUTED_VALUE"""),"Guadalajara sin Barreras")</f>
        <v>Guadalajara sin Barreras</v>
      </c>
      <c r="E519" s="81" t="str">
        <f ca="1">IFERROR(__xludf.DUMMYFUNCTION("""COMPUTED_VALUE"""),"Desarrollo Integral de Personas Adultas Mayores")</f>
        <v>Desarrollo Integral de Personas Adultas Mayores</v>
      </c>
      <c r="F519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19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19" s="81" t="str">
        <f ca="1">IFERROR(__xludf.DUMMYFUNCTION("""COMPUTED_VALUE"""),"HOM Marzo")</f>
        <v>HOM Marzo</v>
      </c>
      <c r="I519" s="81" t="str">
        <f ca="1">IFERROR(__xludf.DUMMYFUNCTION("""COMPUTED_VALUE"""),"Marzo")</f>
        <v>Marzo</v>
      </c>
      <c r="J519" s="81" t="str">
        <f ca="1">IFERROR(__xludf.DUMMYFUNCTION("""COMPUTED_VALUE"""),"HOM")</f>
        <v>HOM</v>
      </c>
      <c r="K519" s="80"/>
      <c r="L519" s="81" t="str">
        <f ca="1">IFERROR(__xludf.DUMMYFUNCTION("""COMPUTED_VALUE"""),"TRIMESTRE 1")</f>
        <v>TRIMESTRE 1</v>
      </c>
      <c r="M519" s="81" t="str">
        <f ca="1">IFERROR(__xludf.DUMMYFUNCTION("""COMPUTED_VALUE"""),"HOMBRES ADULTOS")</f>
        <v>HOMBRES ADULTOS</v>
      </c>
      <c r="N519" s="81"/>
      <c r="O519" s="81"/>
      <c r="P519" s="81"/>
      <c r="Q519" s="81"/>
      <c r="R519" s="81"/>
      <c r="S519" s="81"/>
      <c r="T519" s="81"/>
      <c r="U519" s="81"/>
      <c r="V519" s="81"/>
      <c r="W519" s="81"/>
      <c r="X519" s="81"/>
      <c r="Y519" s="81"/>
      <c r="Z519" s="81"/>
    </row>
    <row r="520" spans="1:26">
      <c r="A520" s="81" t="str">
        <f ca="1">IFERROR(__xludf.DUMMYFUNCTION("""COMPUTED_VALUE"""),"6.1.4.0")</f>
        <v>6.1.4.0</v>
      </c>
      <c r="B520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20" s="81" t="str">
        <f ca="1">IFERROR(__xludf.DUMMYFUNCTION("""COMPUTED_VALUE"""),"5. Inclusión")</f>
        <v>5. Inclusión</v>
      </c>
      <c r="D520" s="81" t="str">
        <f ca="1">IFERROR(__xludf.DUMMYFUNCTION("""COMPUTED_VALUE"""),"Guadalajara sin Barreras")</f>
        <v>Guadalajara sin Barreras</v>
      </c>
      <c r="E520" s="81" t="str">
        <f ca="1">IFERROR(__xludf.DUMMYFUNCTION("""COMPUTED_VALUE"""),"Desarrollo Integral de Personas Adultas Mayores")</f>
        <v>Desarrollo Integral de Personas Adultas Mayores</v>
      </c>
      <c r="F520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20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20" s="81" t="str">
        <f ca="1">IFERROR(__xludf.DUMMYFUNCTION("""COMPUTED_VALUE"""),"AMM Marzo")</f>
        <v>AMM Marzo</v>
      </c>
      <c r="I520" s="81" t="str">
        <f ca="1">IFERROR(__xludf.DUMMYFUNCTION("""COMPUTED_VALUE"""),"Marzo")</f>
        <v>Marzo</v>
      </c>
      <c r="J520" s="81" t="str">
        <f ca="1">IFERROR(__xludf.DUMMYFUNCTION("""COMPUTED_VALUE"""),"AMM")</f>
        <v>AMM</v>
      </c>
      <c r="K520" s="80">
        <f ca="1">IFERROR(__xludf.DUMMYFUNCTION("""COMPUTED_VALUE"""),1782)</f>
        <v>1782</v>
      </c>
      <c r="L520" s="81" t="str">
        <f ca="1">IFERROR(__xludf.DUMMYFUNCTION("""COMPUTED_VALUE"""),"TRIMESTRE 1")</f>
        <v>TRIMESTRE 1</v>
      </c>
      <c r="M520" s="81" t="str">
        <f ca="1">IFERROR(__xludf.DUMMYFUNCTION("""COMPUTED_VALUE"""),"ADULTA MAYOR MUJER")</f>
        <v>ADULTA MAYOR MUJER</v>
      </c>
      <c r="N520" s="81"/>
      <c r="O520" s="81"/>
      <c r="P520" s="81"/>
      <c r="Q520" s="81"/>
      <c r="R520" s="81"/>
      <c r="S520" s="81"/>
      <c r="T520" s="81"/>
      <c r="U520" s="81"/>
      <c r="V520" s="81"/>
      <c r="W520" s="81"/>
      <c r="X520" s="81"/>
      <c r="Y520" s="81"/>
      <c r="Z520" s="81"/>
    </row>
    <row r="521" spans="1:26">
      <c r="A521" s="81" t="str">
        <f ca="1">IFERROR(__xludf.DUMMYFUNCTION("""COMPUTED_VALUE"""),"6.1.4.0")</f>
        <v>6.1.4.0</v>
      </c>
      <c r="B521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21" s="81" t="str">
        <f ca="1">IFERROR(__xludf.DUMMYFUNCTION("""COMPUTED_VALUE"""),"5. Inclusión")</f>
        <v>5. Inclusión</v>
      </c>
      <c r="D521" s="81" t="str">
        <f ca="1">IFERROR(__xludf.DUMMYFUNCTION("""COMPUTED_VALUE"""),"Guadalajara sin Barreras")</f>
        <v>Guadalajara sin Barreras</v>
      </c>
      <c r="E521" s="81" t="str">
        <f ca="1">IFERROR(__xludf.DUMMYFUNCTION("""COMPUTED_VALUE"""),"Desarrollo Integral de Personas Adultas Mayores")</f>
        <v>Desarrollo Integral de Personas Adultas Mayores</v>
      </c>
      <c r="F521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21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21" s="81" t="str">
        <f ca="1">IFERROR(__xludf.DUMMYFUNCTION("""COMPUTED_VALUE"""),"AMH Marzo")</f>
        <v>AMH Marzo</v>
      </c>
      <c r="I521" s="81" t="str">
        <f ca="1">IFERROR(__xludf.DUMMYFUNCTION("""COMPUTED_VALUE"""),"Marzo")</f>
        <v>Marzo</v>
      </c>
      <c r="J521" s="81" t="str">
        <f ca="1">IFERROR(__xludf.DUMMYFUNCTION("""COMPUTED_VALUE"""),"AMH")</f>
        <v>AMH</v>
      </c>
      <c r="K521" s="80">
        <f ca="1">IFERROR(__xludf.DUMMYFUNCTION("""COMPUTED_VALUE"""),425)</f>
        <v>425</v>
      </c>
      <c r="L521" s="81" t="str">
        <f ca="1">IFERROR(__xludf.DUMMYFUNCTION("""COMPUTED_VALUE"""),"TRIMESTRE 1")</f>
        <v>TRIMESTRE 1</v>
      </c>
      <c r="M521" s="81" t="str">
        <f ca="1">IFERROR(__xludf.DUMMYFUNCTION("""COMPUTED_VALUE"""),"ADULTO MAYOR HOMBRE")</f>
        <v>ADULTO MAYOR HOMBRE</v>
      </c>
      <c r="N521" s="81"/>
      <c r="O521" s="81"/>
      <c r="P521" s="81"/>
      <c r="Q521" s="81"/>
      <c r="R521" s="81"/>
      <c r="S521" s="81"/>
      <c r="T521" s="81"/>
      <c r="U521" s="81"/>
      <c r="V521" s="81"/>
      <c r="W521" s="81"/>
      <c r="X521" s="81"/>
      <c r="Y521" s="81"/>
      <c r="Z521" s="81"/>
    </row>
    <row r="522" spans="1:26">
      <c r="A522" s="79" t="str">
        <f ca="1">IFERROR(__xludf.DUMMYFUNCTION("""COMPUTED_VALUE"""),"6.1.4.2")</f>
        <v>6.1.4.2</v>
      </c>
      <c r="B522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2" s="79" t="str">
        <f ca="1">IFERROR(__xludf.DUMMYFUNCTION("""COMPUTED_VALUE"""),"5. Inclusión")</f>
        <v>5. Inclusión</v>
      </c>
      <c r="D522" s="79" t="str">
        <f ca="1">IFERROR(__xludf.DUMMYFUNCTION("""COMPUTED_VALUE"""),"Guadalajara sin Barreras")</f>
        <v>Guadalajara sin Barreras</v>
      </c>
      <c r="E522" s="79" t="str">
        <f ca="1">IFERROR(__xludf.DUMMYFUNCTION("""COMPUTED_VALUE"""),"Desarrollo Integral de Personas Adultas Mayores")</f>
        <v>Desarrollo Integral de Personas Adultas Mayores</v>
      </c>
      <c r="F522" s="79" t="str">
        <f ca="1">IFERROR(__xludf.DUMMYFUNCTION("""COMPUTED_VALUE"""),"A2C4. Raciones alimenticias entregadas en el comedor de DIPAM en 2024")</f>
        <v>A2C4. Raciones alimenticias entregadas en el comedor de DIPAM en 2024</v>
      </c>
      <c r="G522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2" s="79" t="str">
        <f ca="1">IFERROR(__xludf.DUMMYFUNCTION("""COMPUTED_VALUE"""),"NAS Marzo")</f>
        <v>NAS Marzo</v>
      </c>
      <c r="I522" s="79" t="str">
        <f ca="1">IFERROR(__xludf.DUMMYFUNCTION("""COMPUTED_VALUE"""),"Marzo")</f>
        <v>Marzo</v>
      </c>
      <c r="J522" s="79" t="str">
        <f ca="1">IFERROR(__xludf.DUMMYFUNCTION("""COMPUTED_VALUE"""),"NAS")</f>
        <v>NAS</v>
      </c>
      <c r="K522" s="80"/>
      <c r="L522" s="79" t="str">
        <f ca="1">IFERROR(__xludf.DUMMYFUNCTION("""COMPUTED_VALUE"""),"TRIMESTRE 1")</f>
        <v>TRIMESTRE 1</v>
      </c>
      <c r="M522" s="79" t="str">
        <f ca="1">IFERROR(__xludf.DUMMYFUNCTION("""COMPUTED_VALUE"""),"NIÑAS")</f>
        <v>NIÑAS</v>
      </c>
    </row>
    <row r="523" spans="1:26">
      <c r="A523" s="79" t="str">
        <f ca="1">IFERROR(__xludf.DUMMYFUNCTION("""COMPUTED_VALUE"""),"6.1.4.2")</f>
        <v>6.1.4.2</v>
      </c>
      <c r="B523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3" s="79" t="str">
        <f ca="1">IFERROR(__xludf.DUMMYFUNCTION("""COMPUTED_VALUE"""),"5. Inclusión")</f>
        <v>5. Inclusión</v>
      </c>
      <c r="D523" s="79" t="str">
        <f ca="1">IFERROR(__xludf.DUMMYFUNCTION("""COMPUTED_VALUE"""),"Guadalajara sin Barreras")</f>
        <v>Guadalajara sin Barreras</v>
      </c>
      <c r="E523" s="79" t="str">
        <f ca="1">IFERROR(__xludf.DUMMYFUNCTION("""COMPUTED_VALUE"""),"Desarrollo Integral de Personas Adultas Mayores")</f>
        <v>Desarrollo Integral de Personas Adultas Mayores</v>
      </c>
      <c r="F523" s="79" t="str">
        <f ca="1">IFERROR(__xludf.DUMMYFUNCTION("""COMPUTED_VALUE"""),"A2C4. Raciones alimenticias entregadas en el comedor de DIPAM en 2024")</f>
        <v>A2C4. Raciones alimenticias entregadas en el comedor de DIPAM en 2024</v>
      </c>
      <c r="G523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3" s="79" t="str">
        <f ca="1">IFERROR(__xludf.DUMMYFUNCTION("""COMPUTED_VALUE"""),"NOS Marzo")</f>
        <v>NOS Marzo</v>
      </c>
      <c r="I523" s="79" t="str">
        <f ca="1">IFERROR(__xludf.DUMMYFUNCTION("""COMPUTED_VALUE"""),"Marzo")</f>
        <v>Marzo</v>
      </c>
      <c r="J523" s="79" t="str">
        <f ca="1">IFERROR(__xludf.DUMMYFUNCTION("""COMPUTED_VALUE"""),"NOS")</f>
        <v>NOS</v>
      </c>
      <c r="K523" s="80"/>
      <c r="L523" s="79" t="str">
        <f ca="1">IFERROR(__xludf.DUMMYFUNCTION("""COMPUTED_VALUE"""),"TRIMESTRE 1")</f>
        <v>TRIMESTRE 1</v>
      </c>
      <c r="M523" s="79" t="str">
        <f ca="1">IFERROR(__xludf.DUMMYFUNCTION("""COMPUTED_VALUE"""),"NIÑOS")</f>
        <v>NIÑOS</v>
      </c>
    </row>
    <row r="524" spans="1:26">
      <c r="A524" s="79" t="str">
        <f ca="1">IFERROR(__xludf.DUMMYFUNCTION("""COMPUTED_VALUE"""),"6.1.4.2")</f>
        <v>6.1.4.2</v>
      </c>
      <c r="B524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4" s="79" t="str">
        <f ca="1">IFERROR(__xludf.DUMMYFUNCTION("""COMPUTED_VALUE"""),"5. Inclusión")</f>
        <v>5. Inclusión</v>
      </c>
      <c r="D524" s="79" t="str">
        <f ca="1">IFERROR(__xludf.DUMMYFUNCTION("""COMPUTED_VALUE"""),"Guadalajara sin Barreras")</f>
        <v>Guadalajara sin Barreras</v>
      </c>
      <c r="E524" s="79" t="str">
        <f ca="1">IFERROR(__xludf.DUMMYFUNCTION("""COMPUTED_VALUE"""),"Desarrollo Integral de Personas Adultas Mayores")</f>
        <v>Desarrollo Integral de Personas Adultas Mayores</v>
      </c>
      <c r="F524" s="79" t="str">
        <f ca="1">IFERROR(__xludf.DUMMYFUNCTION("""COMPUTED_VALUE"""),"A2C4. Raciones alimenticias entregadas en el comedor de DIPAM en 2024")</f>
        <v>A2C4. Raciones alimenticias entregadas en el comedor de DIPAM en 2024</v>
      </c>
      <c r="G524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4" s="79" t="str">
        <f ca="1">IFERROR(__xludf.DUMMYFUNCTION("""COMPUTED_VALUE"""),"AM Marzo")</f>
        <v>AM Marzo</v>
      </c>
      <c r="I524" s="79" t="str">
        <f ca="1">IFERROR(__xludf.DUMMYFUNCTION("""COMPUTED_VALUE"""),"Marzo")</f>
        <v>Marzo</v>
      </c>
      <c r="J524" s="79" t="str">
        <f ca="1">IFERROR(__xludf.DUMMYFUNCTION("""COMPUTED_VALUE"""),"AM")</f>
        <v>AM</v>
      </c>
      <c r="K524" s="80"/>
      <c r="L524" s="79" t="str">
        <f ca="1">IFERROR(__xludf.DUMMYFUNCTION("""COMPUTED_VALUE"""),"TRIMESTRE 1")</f>
        <v>TRIMESTRE 1</v>
      </c>
      <c r="M524" s="79" t="str">
        <f ca="1">IFERROR(__xludf.DUMMYFUNCTION("""COMPUTED_VALUE"""),"ADOLESCENTES MUJERES")</f>
        <v>ADOLESCENTES MUJERES</v>
      </c>
    </row>
    <row r="525" spans="1:26">
      <c r="A525" s="79" t="str">
        <f ca="1">IFERROR(__xludf.DUMMYFUNCTION("""COMPUTED_VALUE"""),"6.1.4.2")</f>
        <v>6.1.4.2</v>
      </c>
      <c r="B525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5" s="79" t="str">
        <f ca="1">IFERROR(__xludf.DUMMYFUNCTION("""COMPUTED_VALUE"""),"5. Inclusión")</f>
        <v>5. Inclusión</v>
      </c>
      <c r="D525" s="79" t="str">
        <f ca="1">IFERROR(__xludf.DUMMYFUNCTION("""COMPUTED_VALUE"""),"Guadalajara sin Barreras")</f>
        <v>Guadalajara sin Barreras</v>
      </c>
      <c r="E525" s="79" t="str">
        <f ca="1">IFERROR(__xludf.DUMMYFUNCTION("""COMPUTED_VALUE"""),"Desarrollo Integral de Personas Adultas Mayores")</f>
        <v>Desarrollo Integral de Personas Adultas Mayores</v>
      </c>
      <c r="F525" s="79" t="str">
        <f ca="1">IFERROR(__xludf.DUMMYFUNCTION("""COMPUTED_VALUE"""),"A2C4. Raciones alimenticias entregadas en el comedor de DIPAM en 2024")</f>
        <v>A2C4. Raciones alimenticias entregadas en el comedor de DIPAM en 2024</v>
      </c>
      <c r="G525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5" s="79" t="str">
        <f ca="1">IFERROR(__xludf.DUMMYFUNCTION("""COMPUTED_VALUE"""),"AH Marzo")</f>
        <v>AH Marzo</v>
      </c>
      <c r="I525" s="79" t="str">
        <f ca="1">IFERROR(__xludf.DUMMYFUNCTION("""COMPUTED_VALUE"""),"Marzo")</f>
        <v>Marzo</v>
      </c>
      <c r="J525" s="79" t="str">
        <f ca="1">IFERROR(__xludf.DUMMYFUNCTION("""COMPUTED_VALUE"""),"AH")</f>
        <v>AH</v>
      </c>
      <c r="K525" s="80"/>
      <c r="L525" s="79" t="str">
        <f ca="1">IFERROR(__xludf.DUMMYFUNCTION("""COMPUTED_VALUE"""),"TRIMESTRE 1")</f>
        <v>TRIMESTRE 1</v>
      </c>
      <c r="M525" s="79" t="str">
        <f ca="1">IFERROR(__xludf.DUMMYFUNCTION("""COMPUTED_VALUE"""),"ADOLESCENTES HOMBRES")</f>
        <v>ADOLESCENTES HOMBRES</v>
      </c>
    </row>
    <row r="526" spans="1:26">
      <c r="A526" s="79" t="str">
        <f ca="1">IFERROR(__xludf.DUMMYFUNCTION("""COMPUTED_VALUE"""),"6.1.4.2")</f>
        <v>6.1.4.2</v>
      </c>
      <c r="B526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6" s="79" t="str">
        <f ca="1">IFERROR(__xludf.DUMMYFUNCTION("""COMPUTED_VALUE"""),"5. Inclusión")</f>
        <v>5. Inclusión</v>
      </c>
      <c r="D526" s="79" t="str">
        <f ca="1">IFERROR(__xludf.DUMMYFUNCTION("""COMPUTED_VALUE"""),"Guadalajara sin Barreras")</f>
        <v>Guadalajara sin Barreras</v>
      </c>
      <c r="E526" s="79" t="str">
        <f ca="1">IFERROR(__xludf.DUMMYFUNCTION("""COMPUTED_VALUE"""),"Desarrollo Integral de Personas Adultas Mayores")</f>
        <v>Desarrollo Integral de Personas Adultas Mayores</v>
      </c>
      <c r="F526" s="79" t="str">
        <f ca="1">IFERROR(__xludf.DUMMYFUNCTION("""COMPUTED_VALUE"""),"A2C4. Raciones alimenticias entregadas en el comedor de DIPAM en 2024")</f>
        <v>A2C4. Raciones alimenticias entregadas en el comedor de DIPAM en 2024</v>
      </c>
      <c r="G526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6" s="79" t="str">
        <f ca="1">IFERROR(__xludf.DUMMYFUNCTION("""COMPUTED_VALUE"""),"MUJ Marzo")</f>
        <v>MUJ Marzo</v>
      </c>
      <c r="I526" s="79" t="str">
        <f ca="1">IFERROR(__xludf.DUMMYFUNCTION("""COMPUTED_VALUE"""),"Marzo")</f>
        <v>Marzo</v>
      </c>
      <c r="J526" s="79" t="str">
        <f ca="1">IFERROR(__xludf.DUMMYFUNCTION("""COMPUTED_VALUE"""),"MUJ")</f>
        <v>MUJ</v>
      </c>
      <c r="K526" s="80"/>
      <c r="L526" s="79" t="str">
        <f ca="1">IFERROR(__xludf.DUMMYFUNCTION("""COMPUTED_VALUE"""),"TRIMESTRE 1")</f>
        <v>TRIMESTRE 1</v>
      </c>
      <c r="M526" s="79" t="str">
        <f ca="1">IFERROR(__xludf.DUMMYFUNCTION("""COMPUTED_VALUE"""),"MUJERES ADULTAS")</f>
        <v>MUJERES ADULTAS</v>
      </c>
    </row>
    <row r="527" spans="1:26">
      <c r="A527" s="79" t="str">
        <f ca="1">IFERROR(__xludf.DUMMYFUNCTION("""COMPUTED_VALUE"""),"6.1.4.2")</f>
        <v>6.1.4.2</v>
      </c>
      <c r="B527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7" s="79" t="str">
        <f ca="1">IFERROR(__xludf.DUMMYFUNCTION("""COMPUTED_VALUE"""),"5. Inclusión")</f>
        <v>5. Inclusión</v>
      </c>
      <c r="D527" s="79" t="str">
        <f ca="1">IFERROR(__xludf.DUMMYFUNCTION("""COMPUTED_VALUE"""),"Guadalajara sin Barreras")</f>
        <v>Guadalajara sin Barreras</v>
      </c>
      <c r="E527" s="79" t="str">
        <f ca="1">IFERROR(__xludf.DUMMYFUNCTION("""COMPUTED_VALUE"""),"Desarrollo Integral de Personas Adultas Mayores")</f>
        <v>Desarrollo Integral de Personas Adultas Mayores</v>
      </c>
      <c r="F527" s="79" t="str">
        <f ca="1">IFERROR(__xludf.DUMMYFUNCTION("""COMPUTED_VALUE"""),"A2C4. Raciones alimenticias entregadas en el comedor de DIPAM en 2024")</f>
        <v>A2C4. Raciones alimenticias entregadas en el comedor de DIPAM en 2024</v>
      </c>
      <c r="G527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7" s="79" t="str">
        <f ca="1">IFERROR(__xludf.DUMMYFUNCTION("""COMPUTED_VALUE"""),"HOM Marzo")</f>
        <v>HOM Marzo</v>
      </c>
      <c r="I527" s="79" t="str">
        <f ca="1">IFERROR(__xludf.DUMMYFUNCTION("""COMPUTED_VALUE"""),"Marzo")</f>
        <v>Marzo</v>
      </c>
      <c r="J527" s="79" t="str">
        <f ca="1">IFERROR(__xludf.DUMMYFUNCTION("""COMPUTED_VALUE"""),"HOM")</f>
        <v>HOM</v>
      </c>
      <c r="K527" s="80"/>
      <c r="L527" s="79" t="str">
        <f ca="1">IFERROR(__xludf.DUMMYFUNCTION("""COMPUTED_VALUE"""),"TRIMESTRE 1")</f>
        <v>TRIMESTRE 1</v>
      </c>
      <c r="M527" s="79" t="str">
        <f ca="1">IFERROR(__xludf.DUMMYFUNCTION("""COMPUTED_VALUE"""),"HOMBRES ADULTOS")</f>
        <v>HOMBRES ADULTOS</v>
      </c>
    </row>
    <row r="528" spans="1:26">
      <c r="A528" s="79" t="str">
        <f ca="1">IFERROR(__xludf.DUMMYFUNCTION("""COMPUTED_VALUE"""),"6.1.4.2")</f>
        <v>6.1.4.2</v>
      </c>
      <c r="B528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8" s="79" t="str">
        <f ca="1">IFERROR(__xludf.DUMMYFUNCTION("""COMPUTED_VALUE"""),"5. Inclusión")</f>
        <v>5. Inclusión</v>
      </c>
      <c r="D528" s="79" t="str">
        <f ca="1">IFERROR(__xludf.DUMMYFUNCTION("""COMPUTED_VALUE"""),"Guadalajara sin Barreras")</f>
        <v>Guadalajara sin Barreras</v>
      </c>
      <c r="E528" s="79" t="str">
        <f ca="1">IFERROR(__xludf.DUMMYFUNCTION("""COMPUTED_VALUE"""),"Desarrollo Integral de Personas Adultas Mayores")</f>
        <v>Desarrollo Integral de Personas Adultas Mayores</v>
      </c>
      <c r="F528" s="79" t="str">
        <f ca="1">IFERROR(__xludf.DUMMYFUNCTION("""COMPUTED_VALUE"""),"A2C4. Raciones alimenticias entregadas en el comedor de DIPAM en 2024")</f>
        <v>A2C4. Raciones alimenticias entregadas en el comedor de DIPAM en 2024</v>
      </c>
      <c r="G528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8" s="79" t="str">
        <f ca="1">IFERROR(__xludf.DUMMYFUNCTION("""COMPUTED_VALUE"""),"AMM Marzo")</f>
        <v>AMM Marzo</v>
      </c>
      <c r="I528" s="79" t="str">
        <f ca="1">IFERROR(__xludf.DUMMYFUNCTION("""COMPUTED_VALUE"""),"Marzo")</f>
        <v>Marzo</v>
      </c>
      <c r="J528" s="79" t="str">
        <f ca="1">IFERROR(__xludf.DUMMYFUNCTION("""COMPUTED_VALUE"""),"AMM")</f>
        <v>AMM</v>
      </c>
      <c r="K528" s="80">
        <f ca="1">IFERROR(__xludf.DUMMYFUNCTION("""COMPUTED_VALUE"""),960)</f>
        <v>960</v>
      </c>
      <c r="L528" s="79" t="str">
        <f ca="1">IFERROR(__xludf.DUMMYFUNCTION("""COMPUTED_VALUE"""),"TRIMESTRE 1")</f>
        <v>TRIMESTRE 1</v>
      </c>
      <c r="M528" s="79" t="str">
        <f ca="1">IFERROR(__xludf.DUMMYFUNCTION("""COMPUTED_VALUE"""),"ADULTA MAYOR MUJER")</f>
        <v>ADULTA MAYOR MUJER</v>
      </c>
    </row>
    <row r="529" spans="1:13">
      <c r="A529" s="79" t="str">
        <f ca="1">IFERROR(__xludf.DUMMYFUNCTION("""COMPUTED_VALUE"""),"6.1.4.2")</f>
        <v>6.1.4.2</v>
      </c>
      <c r="B529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29" s="79" t="str">
        <f ca="1">IFERROR(__xludf.DUMMYFUNCTION("""COMPUTED_VALUE"""),"5. Inclusión")</f>
        <v>5. Inclusión</v>
      </c>
      <c r="D529" s="79" t="str">
        <f ca="1">IFERROR(__xludf.DUMMYFUNCTION("""COMPUTED_VALUE"""),"Guadalajara sin Barreras")</f>
        <v>Guadalajara sin Barreras</v>
      </c>
      <c r="E529" s="79" t="str">
        <f ca="1">IFERROR(__xludf.DUMMYFUNCTION("""COMPUTED_VALUE"""),"Desarrollo Integral de Personas Adultas Mayores")</f>
        <v>Desarrollo Integral de Personas Adultas Mayores</v>
      </c>
      <c r="F529" s="79" t="str">
        <f ca="1">IFERROR(__xludf.DUMMYFUNCTION("""COMPUTED_VALUE"""),"A2C4. Raciones alimenticias entregadas en el comedor de DIPAM en 2024")</f>
        <v>A2C4. Raciones alimenticias entregadas en el comedor de DIPAM en 2024</v>
      </c>
      <c r="G529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29" s="79" t="str">
        <f ca="1">IFERROR(__xludf.DUMMYFUNCTION("""COMPUTED_VALUE"""),"AMH Marzo")</f>
        <v>AMH Marzo</v>
      </c>
      <c r="I529" s="79" t="str">
        <f ca="1">IFERROR(__xludf.DUMMYFUNCTION("""COMPUTED_VALUE"""),"Marzo")</f>
        <v>Marzo</v>
      </c>
      <c r="J529" s="79" t="str">
        <f ca="1">IFERROR(__xludf.DUMMYFUNCTION("""COMPUTED_VALUE"""),"AMH")</f>
        <v>AMH</v>
      </c>
      <c r="K529" s="80">
        <f ca="1">IFERROR(__xludf.DUMMYFUNCTION("""COMPUTED_VALUE"""),704)</f>
        <v>704</v>
      </c>
      <c r="L529" s="79" t="str">
        <f ca="1">IFERROR(__xludf.DUMMYFUNCTION("""COMPUTED_VALUE"""),"TRIMESTRE 1")</f>
        <v>TRIMESTRE 1</v>
      </c>
      <c r="M529" s="79" t="str">
        <f ca="1">IFERROR(__xludf.DUMMYFUNCTION("""COMPUTED_VALUE"""),"ADULTO MAYOR HOMBRE")</f>
        <v>ADULTO MAYOR HOMBRE</v>
      </c>
    </row>
    <row r="530" spans="1:13">
      <c r="A530" s="79" t="str">
        <f ca="1">IFERROR(__xludf.DUMMYFUNCTION("""COMPUTED_VALUE"""),"6.1.4.0")</f>
        <v>6.1.4.0</v>
      </c>
      <c r="B530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0" s="79" t="str">
        <f ca="1">IFERROR(__xludf.DUMMYFUNCTION("""COMPUTED_VALUE"""),"5. Inclusión")</f>
        <v>5. Inclusión</v>
      </c>
      <c r="D530" s="79" t="str">
        <f ca="1">IFERROR(__xludf.DUMMYFUNCTION("""COMPUTED_VALUE"""),"Guadalajara sin Barreras")</f>
        <v>Guadalajara sin Barreras</v>
      </c>
      <c r="E530" s="79" t="str">
        <f ca="1">IFERROR(__xludf.DUMMYFUNCTION("""COMPUTED_VALUE"""),"Desarrollo Integral de Personas Adultas Mayores")</f>
        <v>Desarrollo Integral de Personas Adultas Mayores</v>
      </c>
      <c r="F530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0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0" s="79" t="str">
        <f ca="1">IFERROR(__xludf.DUMMYFUNCTION("""COMPUTED_VALUE"""),"NAS Abril")</f>
        <v>NAS Abril</v>
      </c>
      <c r="I530" s="79" t="str">
        <f ca="1">IFERROR(__xludf.DUMMYFUNCTION("""COMPUTED_VALUE"""),"Abril")</f>
        <v>Abril</v>
      </c>
      <c r="J530" s="79" t="str">
        <f ca="1">IFERROR(__xludf.DUMMYFUNCTION("""COMPUTED_VALUE"""),"NAS")</f>
        <v>NAS</v>
      </c>
      <c r="K530" s="80"/>
      <c r="L530" s="79" t="str">
        <f ca="1">IFERROR(__xludf.DUMMYFUNCTION("""COMPUTED_VALUE"""),"TRIMESTRE 2")</f>
        <v>TRIMESTRE 2</v>
      </c>
      <c r="M530" s="79" t="str">
        <f ca="1">IFERROR(__xludf.DUMMYFUNCTION("""COMPUTED_VALUE"""),"NIÑAS")</f>
        <v>NIÑAS</v>
      </c>
    </row>
    <row r="531" spans="1:13">
      <c r="A531" s="79" t="str">
        <f ca="1">IFERROR(__xludf.DUMMYFUNCTION("""COMPUTED_VALUE"""),"6.1.4.0")</f>
        <v>6.1.4.0</v>
      </c>
      <c r="B531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1" s="79" t="str">
        <f ca="1">IFERROR(__xludf.DUMMYFUNCTION("""COMPUTED_VALUE"""),"5. Inclusión")</f>
        <v>5. Inclusión</v>
      </c>
      <c r="D531" s="79" t="str">
        <f ca="1">IFERROR(__xludf.DUMMYFUNCTION("""COMPUTED_VALUE"""),"Guadalajara sin Barreras")</f>
        <v>Guadalajara sin Barreras</v>
      </c>
      <c r="E531" s="79" t="str">
        <f ca="1">IFERROR(__xludf.DUMMYFUNCTION("""COMPUTED_VALUE"""),"Desarrollo Integral de Personas Adultas Mayores")</f>
        <v>Desarrollo Integral de Personas Adultas Mayores</v>
      </c>
      <c r="F531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1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1" s="79" t="str">
        <f ca="1">IFERROR(__xludf.DUMMYFUNCTION("""COMPUTED_VALUE"""),"NOS Abril")</f>
        <v>NOS Abril</v>
      </c>
      <c r="I531" s="79" t="str">
        <f ca="1">IFERROR(__xludf.DUMMYFUNCTION("""COMPUTED_VALUE"""),"Abril")</f>
        <v>Abril</v>
      </c>
      <c r="J531" s="79" t="str">
        <f ca="1">IFERROR(__xludf.DUMMYFUNCTION("""COMPUTED_VALUE"""),"NOS")</f>
        <v>NOS</v>
      </c>
      <c r="K531" s="80"/>
      <c r="L531" s="79" t="str">
        <f ca="1">IFERROR(__xludf.DUMMYFUNCTION("""COMPUTED_VALUE"""),"TRIMESTRE 2")</f>
        <v>TRIMESTRE 2</v>
      </c>
      <c r="M531" s="79" t="str">
        <f ca="1">IFERROR(__xludf.DUMMYFUNCTION("""COMPUTED_VALUE"""),"NIÑOS")</f>
        <v>NIÑOS</v>
      </c>
    </row>
    <row r="532" spans="1:13">
      <c r="A532" s="79" t="str">
        <f ca="1">IFERROR(__xludf.DUMMYFUNCTION("""COMPUTED_VALUE"""),"6.1.4.0")</f>
        <v>6.1.4.0</v>
      </c>
      <c r="B532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2" s="79" t="str">
        <f ca="1">IFERROR(__xludf.DUMMYFUNCTION("""COMPUTED_VALUE"""),"5. Inclusión")</f>
        <v>5. Inclusión</v>
      </c>
      <c r="D532" s="79" t="str">
        <f ca="1">IFERROR(__xludf.DUMMYFUNCTION("""COMPUTED_VALUE"""),"Guadalajara sin Barreras")</f>
        <v>Guadalajara sin Barreras</v>
      </c>
      <c r="E532" s="79" t="str">
        <f ca="1">IFERROR(__xludf.DUMMYFUNCTION("""COMPUTED_VALUE"""),"Desarrollo Integral de Personas Adultas Mayores")</f>
        <v>Desarrollo Integral de Personas Adultas Mayores</v>
      </c>
      <c r="F532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2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2" s="79" t="str">
        <f ca="1">IFERROR(__xludf.DUMMYFUNCTION("""COMPUTED_VALUE"""),"AM Abril")</f>
        <v>AM Abril</v>
      </c>
      <c r="I532" s="79" t="str">
        <f ca="1">IFERROR(__xludf.DUMMYFUNCTION("""COMPUTED_VALUE"""),"Abril")</f>
        <v>Abril</v>
      </c>
      <c r="J532" s="79" t="str">
        <f ca="1">IFERROR(__xludf.DUMMYFUNCTION("""COMPUTED_VALUE"""),"AM")</f>
        <v>AM</v>
      </c>
      <c r="K532" s="80"/>
      <c r="L532" s="79" t="str">
        <f ca="1">IFERROR(__xludf.DUMMYFUNCTION("""COMPUTED_VALUE"""),"TRIMESTRE 2")</f>
        <v>TRIMESTRE 2</v>
      </c>
      <c r="M532" s="79" t="str">
        <f ca="1">IFERROR(__xludf.DUMMYFUNCTION("""COMPUTED_VALUE"""),"ADOLESCENTES MUJERES")</f>
        <v>ADOLESCENTES MUJERES</v>
      </c>
    </row>
    <row r="533" spans="1:13">
      <c r="A533" s="79" t="str">
        <f ca="1">IFERROR(__xludf.DUMMYFUNCTION("""COMPUTED_VALUE"""),"6.1.4.0")</f>
        <v>6.1.4.0</v>
      </c>
      <c r="B533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3" s="79" t="str">
        <f ca="1">IFERROR(__xludf.DUMMYFUNCTION("""COMPUTED_VALUE"""),"5. Inclusión")</f>
        <v>5. Inclusión</v>
      </c>
      <c r="D533" s="79" t="str">
        <f ca="1">IFERROR(__xludf.DUMMYFUNCTION("""COMPUTED_VALUE"""),"Guadalajara sin Barreras")</f>
        <v>Guadalajara sin Barreras</v>
      </c>
      <c r="E533" s="79" t="str">
        <f ca="1">IFERROR(__xludf.DUMMYFUNCTION("""COMPUTED_VALUE"""),"Desarrollo Integral de Personas Adultas Mayores")</f>
        <v>Desarrollo Integral de Personas Adultas Mayores</v>
      </c>
      <c r="F533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3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3" s="79" t="str">
        <f ca="1">IFERROR(__xludf.DUMMYFUNCTION("""COMPUTED_VALUE"""),"AH Abril")</f>
        <v>AH Abril</v>
      </c>
      <c r="I533" s="79" t="str">
        <f ca="1">IFERROR(__xludf.DUMMYFUNCTION("""COMPUTED_VALUE"""),"Abril")</f>
        <v>Abril</v>
      </c>
      <c r="J533" s="79" t="str">
        <f ca="1">IFERROR(__xludf.DUMMYFUNCTION("""COMPUTED_VALUE"""),"AH")</f>
        <v>AH</v>
      </c>
      <c r="K533" s="80"/>
      <c r="L533" s="79" t="str">
        <f ca="1">IFERROR(__xludf.DUMMYFUNCTION("""COMPUTED_VALUE"""),"TRIMESTRE 2")</f>
        <v>TRIMESTRE 2</v>
      </c>
      <c r="M533" s="79" t="str">
        <f ca="1">IFERROR(__xludf.DUMMYFUNCTION("""COMPUTED_VALUE"""),"ADOLESCENTES HOMBRES")</f>
        <v>ADOLESCENTES HOMBRES</v>
      </c>
    </row>
    <row r="534" spans="1:13">
      <c r="A534" s="79" t="str">
        <f ca="1">IFERROR(__xludf.DUMMYFUNCTION("""COMPUTED_VALUE"""),"6.1.4.0")</f>
        <v>6.1.4.0</v>
      </c>
      <c r="B534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4" s="79" t="str">
        <f ca="1">IFERROR(__xludf.DUMMYFUNCTION("""COMPUTED_VALUE"""),"5. Inclusión")</f>
        <v>5. Inclusión</v>
      </c>
      <c r="D534" s="79" t="str">
        <f ca="1">IFERROR(__xludf.DUMMYFUNCTION("""COMPUTED_VALUE"""),"Guadalajara sin Barreras")</f>
        <v>Guadalajara sin Barreras</v>
      </c>
      <c r="E534" s="79" t="str">
        <f ca="1">IFERROR(__xludf.DUMMYFUNCTION("""COMPUTED_VALUE"""),"Desarrollo Integral de Personas Adultas Mayores")</f>
        <v>Desarrollo Integral de Personas Adultas Mayores</v>
      </c>
      <c r="F534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4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4" s="79" t="str">
        <f ca="1">IFERROR(__xludf.DUMMYFUNCTION("""COMPUTED_VALUE"""),"MUJ Abril")</f>
        <v>MUJ Abril</v>
      </c>
      <c r="I534" s="79" t="str">
        <f ca="1">IFERROR(__xludf.DUMMYFUNCTION("""COMPUTED_VALUE"""),"Abril")</f>
        <v>Abril</v>
      </c>
      <c r="J534" s="79" t="str">
        <f ca="1">IFERROR(__xludf.DUMMYFUNCTION("""COMPUTED_VALUE"""),"MUJ")</f>
        <v>MUJ</v>
      </c>
      <c r="K534" s="80"/>
      <c r="L534" s="79" t="str">
        <f ca="1">IFERROR(__xludf.DUMMYFUNCTION("""COMPUTED_VALUE"""),"TRIMESTRE 2")</f>
        <v>TRIMESTRE 2</v>
      </c>
      <c r="M534" s="79" t="str">
        <f ca="1">IFERROR(__xludf.DUMMYFUNCTION("""COMPUTED_VALUE"""),"MUJERES ADULTAS")</f>
        <v>MUJERES ADULTAS</v>
      </c>
    </row>
    <row r="535" spans="1:13">
      <c r="A535" s="79" t="str">
        <f ca="1">IFERROR(__xludf.DUMMYFUNCTION("""COMPUTED_VALUE"""),"6.1.4.0")</f>
        <v>6.1.4.0</v>
      </c>
      <c r="B535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5" s="79" t="str">
        <f ca="1">IFERROR(__xludf.DUMMYFUNCTION("""COMPUTED_VALUE"""),"5. Inclusión")</f>
        <v>5. Inclusión</v>
      </c>
      <c r="D535" s="79" t="str">
        <f ca="1">IFERROR(__xludf.DUMMYFUNCTION("""COMPUTED_VALUE"""),"Guadalajara sin Barreras")</f>
        <v>Guadalajara sin Barreras</v>
      </c>
      <c r="E535" s="79" t="str">
        <f ca="1">IFERROR(__xludf.DUMMYFUNCTION("""COMPUTED_VALUE"""),"Desarrollo Integral de Personas Adultas Mayores")</f>
        <v>Desarrollo Integral de Personas Adultas Mayores</v>
      </c>
      <c r="F535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5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5" s="79" t="str">
        <f ca="1">IFERROR(__xludf.DUMMYFUNCTION("""COMPUTED_VALUE"""),"HOM Abril")</f>
        <v>HOM Abril</v>
      </c>
      <c r="I535" s="79" t="str">
        <f ca="1">IFERROR(__xludf.DUMMYFUNCTION("""COMPUTED_VALUE"""),"Abril")</f>
        <v>Abril</v>
      </c>
      <c r="J535" s="79" t="str">
        <f ca="1">IFERROR(__xludf.DUMMYFUNCTION("""COMPUTED_VALUE"""),"HOM")</f>
        <v>HOM</v>
      </c>
      <c r="K535" s="80"/>
      <c r="L535" s="79" t="str">
        <f ca="1">IFERROR(__xludf.DUMMYFUNCTION("""COMPUTED_VALUE"""),"TRIMESTRE 2")</f>
        <v>TRIMESTRE 2</v>
      </c>
      <c r="M535" s="79" t="str">
        <f ca="1">IFERROR(__xludf.DUMMYFUNCTION("""COMPUTED_VALUE"""),"HOMBRES ADULTOS")</f>
        <v>HOMBRES ADULTOS</v>
      </c>
    </row>
    <row r="536" spans="1:13">
      <c r="A536" s="79" t="str">
        <f ca="1">IFERROR(__xludf.DUMMYFUNCTION("""COMPUTED_VALUE"""),"6.1.4.0")</f>
        <v>6.1.4.0</v>
      </c>
      <c r="B536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6" s="79" t="str">
        <f ca="1">IFERROR(__xludf.DUMMYFUNCTION("""COMPUTED_VALUE"""),"5. Inclusión")</f>
        <v>5. Inclusión</v>
      </c>
      <c r="D536" s="79" t="str">
        <f ca="1">IFERROR(__xludf.DUMMYFUNCTION("""COMPUTED_VALUE"""),"Guadalajara sin Barreras")</f>
        <v>Guadalajara sin Barreras</v>
      </c>
      <c r="E536" s="79" t="str">
        <f ca="1">IFERROR(__xludf.DUMMYFUNCTION("""COMPUTED_VALUE"""),"Desarrollo Integral de Personas Adultas Mayores")</f>
        <v>Desarrollo Integral de Personas Adultas Mayores</v>
      </c>
      <c r="F536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6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6" s="79" t="str">
        <f ca="1">IFERROR(__xludf.DUMMYFUNCTION("""COMPUTED_VALUE"""),"AMM Abril")</f>
        <v>AMM Abril</v>
      </c>
      <c r="I536" s="79" t="str">
        <f ca="1">IFERROR(__xludf.DUMMYFUNCTION("""COMPUTED_VALUE"""),"Abril")</f>
        <v>Abril</v>
      </c>
      <c r="J536" s="79" t="str">
        <f ca="1">IFERROR(__xludf.DUMMYFUNCTION("""COMPUTED_VALUE"""),"AMM")</f>
        <v>AMM</v>
      </c>
      <c r="K536" s="80">
        <f ca="1">IFERROR(__xludf.DUMMYFUNCTION("""COMPUTED_VALUE"""),2301)</f>
        <v>2301</v>
      </c>
      <c r="L536" s="79" t="str">
        <f ca="1">IFERROR(__xludf.DUMMYFUNCTION("""COMPUTED_VALUE"""),"TRIMESTRE 2")</f>
        <v>TRIMESTRE 2</v>
      </c>
      <c r="M536" s="79" t="str">
        <f ca="1">IFERROR(__xludf.DUMMYFUNCTION("""COMPUTED_VALUE"""),"ADULTA MAYOR MUJER")</f>
        <v>ADULTA MAYOR MUJER</v>
      </c>
    </row>
    <row r="537" spans="1:13">
      <c r="A537" s="79" t="str">
        <f ca="1">IFERROR(__xludf.DUMMYFUNCTION("""COMPUTED_VALUE"""),"6.1.4.0")</f>
        <v>6.1.4.0</v>
      </c>
      <c r="B537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37" s="79" t="str">
        <f ca="1">IFERROR(__xludf.DUMMYFUNCTION("""COMPUTED_VALUE"""),"5. Inclusión")</f>
        <v>5. Inclusión</v>
      </c>
      <c r="D537" s="79" t="str">
        <f ca="1">IFERROR(__xludf.DUMMYFUNCTION("""COMPUTED_VALUE"""),"Guadalajara sin Barreras")</f>
        <v>Guadalajara sin Barreras</v>
      </c>
      <c r="E537" s="79" t="str">
        <f ca="1">IFERROR(__xludf.DUMMYFUNCTION("""COMPUTED_VALUE"""),"Desarrollo Integral de Personas Adultas Mayores")</f>
        <v>Desarrollo Integral de Personas Adultas Mayores</v>
      </c>
      <c r="F537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37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37" s="79" t="str">
        <f ca="1">IFERROR(__xludf.DUMMYFUNCTION("""COMPUTED_VALUE"""),"AMH Abril")</f>
        <v>AMH Abril</v>
      </c>
      <c r="I537" s="79" t="str">
        <f ca="1">IFERROR(__xludf.DUMMYFUNCTION("""COMPUTED_VALUE"""),"Abril")</f>
        <v>Abril</v>
      </c>
      <c r="J537" s="79" t="str">
        <f ca="1">IFERROR(__xludf.DUMMYFUNCTION("""COMPUTED_VALUE"""),"AMH")</f>
        <v>AMH</v>
      </c>
      <c r="K537" s="80">
        <f ca="1">IFERROR(__xludf.DUMMYFUNCTION("""COMPUTED_VALUE"""),608)</f>
        <v>608</v>
      </c>
      <c r="L537" s="79" t="str">
        <f ca="1">IFERROR(__xludf.DUMMYFUNCTION("""COMPUTED_VALUE"""),"TRIMESTRE 2")</f>
        <v>TRIMESTRE 2</v>
      </c>
      <c r="M537" s="79" t="str">
        <f ca="1">IFERROR(__xludf.DUMMYFUNCTION("""COMPUTED_VALUE"""),"ADULTO MAYOR HOMBRE")</f>
        <v>ADULTO MAYOR HOMBRE</v>
      </c>
    </row>
    <row r="538" spans="1:13">
      <c r="A538" s="79" t="str">
        <f ca="1">IFERROR(__xludf.DUMMYFUNCTION("""COMPUTED_VALUE"""),"6.1.4.2")</f>
        <v>6.1.4.2</v>
      </c>
      <c r="B538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38" s="79" t="str">
        <f ca="1">IFERROR(__xludf.DUMMYFUNCTION("""COMPUTED_VALUE"""),"5. Inclusión")</f>
        <v>5. Inclusión</v>
      </c>
      <c r="D538" s="79" t="str">
        <f ca="1">IFERROR(__xludf.DUMMYFUNCTION("""COMPUTED_VALUE"""),"Guadalajara sin Barreras")</f>
        <v>Guadalajara sin Barreras</v>
      </c>
      <c r="E538" s="79" t="str">
        <f ca="1">IFERROR(__xludf.DUMMYFUNCTION("""COMPUTED_VALUE"""),"Desarrollo Integral de Personas Adultas Mayores")</f>
        <v>Desarrollo Integral de Personas Adultas Mayores</v>
      </c>
      <c r="F538" s="79" t="str">
        <f ca="1">IFERROR(__xludf.DUMMYFUNCTION("""COMPUTED_VALUE"""),"A2C4. Raciones alimenticias entregadas en el comedor de DIPAM en 2024")</f>
        <v>A2C4. Raciones alimenticias entregadas en el comedor de DIPAM en 2024</v>
      </c>
      <c r="G538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38" s="79" t="str">
        <f ca="1">IFERROR(__xludf.DUMMYFUNCTION("""COMPUTED_VALUE"""),"NAS Abril")</f>
        <v>NAS Abril</v>
      </c>
      <c r="I538" s="79" t="str">
        <f ca="1">IFERROR(__xludf.DUMMYFUNCTION("""COMPUTED_VALUE"""),"Abril")</f>
        <v>Abril</v>
      </c>
      <c r="J538" s="79" t="str">
        <f ca="1">IFERROR(__xludf.DUMMYFUNCTION("""COMPUTED_VALUE"""),"NAS")</f>
        <v>NAS</v>
      </c>
      <c r="K538" s="80"/>
      <c r="L538" s="79" t="str">
        <f ca="1">IFERROR(__xludf.DUMMYFUNCTION("""COMPUTED_VALUE"""),"TRIMESTRE 2")</f>
        <v>TRIMESTRE 2</v>
      </c>
      <c r="M538" s="79" t="str">
        <f ca="1">IFERROR(__xludf.DUMMYFUNCTION("""COMPUTED_VALUE"""),"NIÑAS")</f>
        <v>NIÑAS</v>
      </c>
    </row>
    <row r="539" spans="1:13">
      <c r="A539" s="79" t="str">
        <f ca="1">IFERROR(__xludf.DUMMYFUNCTION("""COMPUTED_VALUE"""),"6.1.4.2")</f>
        <v>6.1.4.2</v>
      </c>
      <c r="B539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39" s="79" t="str">
        <f ca="1">IFERROR(__xludf.DUMMYFUNCTION("""COMPUTED_VALUE"""),"5. Inclusión")</f>
        <v>5. Inclusión</v>
      </c>
      <c r="D539" s="79" t="str">
        <f ca="1">IFERROR(__xludf.DUMMYFUNCTION("""COMPUTED_VALUE"""),"Guadalajara sin Barreras")</f>
        <v>Guadalajara sin Barreras</v>
      </c>
      <c r="E539" s="79" t="str">
        <f ca="1">IFERROR(__xludf.DUMMYFUNCTION("""COMPUTED_VALUE"""),"Desarrollo Integral de Personas Adultas Mayores")</f>
        <v>Desarrollo Integral de Personas Adultas Mayores</v>
      </c>
      <c r="F539" s="79" t="str">
        <f ca="1">IFERROR(__xludf.DUMMYFUNCTION("""COMPUTED_VALUE"""),"A2C4. Raciones alimenticias entregadas en el comedor de DIPAM en 2024")</f>
        <v>A2C4. Raciones alimenticias entregadas en el comedor de DIPAM en 2024</v>
      </c>
      <c r="G539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39" s="79" t="str">
        <f ca="1">IFERROR(__xludf.DUMMYFUNCTION("""COMPUTED_VALUE"""),"NOS Abril")</f>
        <v>NOS Abril</v>
      </c>
      <c r="I539" s="79" t="str">
        <f ca="1">IFERROR(__xludf.DUMMYFUNCTION("""COMPUTED_VALUE"""),"Abril")</f>
        <v>Abril</v>
      </c>
      <c r="J539" s="79" t="str">
        <f ca="1">IFERROR(__xludf.DUMMYFUNCTION("""COMPUTED_VALUE"""),"NOS")</f>
        <v>NOS</v>
      </c>
      <c r="K539" s="80"/>
      <c r="L539" s="79" t="str">
        <f ca="1">IFERROR(__xludf.DUMMYFUNCTION("""COMPUTED_VALUE"""),"TRIMESTRE 2")</f>
        <v>TRIMESTRE 2</v>
      </c>
      <c r="M539" s="79" t="str">
        <f ca="1">IFERROR(__xludf.DUMMYFUNCTION("""COMPUTED_VALUE"""),"NIÑOS")</f>
        <v>NIÑOS</v>
      </c>
    </row>
    <row r="540" spans="1:13">
      <c r="A540" s="79" t="str">
        <f ca="1">IFERROR(__xludf.DUMMYFUNCTION("""COMPUTED_VALUE"""),"6.1.4.2")</f>
        <v>6.1.4.2</v>
      </c>
      <c r="B540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40" s="79" t="str">
        <f ca="1">IFERROR(__xludf.DUMMYFUNCTION("""COMPUTED_VALUE"""),"5. Inclusión")</f>
        <v>5. Inclusión</v>
      </c>
      <c r="D540" s="79" t="str">
        <f ca="1">IFERROR(__xludf.DUMMYFUNCTION("""COMPUTED_VALUE"""),"Guadalajara sin Barreras")</f>
        <v>Guadalajara sin Barreras</v>
      </c>
      <c r="E540" s="79" t="str">
        <f ca="1">IFERROR(__xludf.DUMMYFUNCTION("""COMPUTED_VALUE"""),"Desarrollo Integral de Personas Adultas Mayores")</f>
        <v>Desarrollo Integral de Personas Adultas Mayores</v>
      </c>
      <c r="F540" s="79" t="str">
        <f ca="1">IFERROR(__xludf.DUMMYFUNCTION("""COMPUTED_VALUE"""),"A2C4. Raciones alimenticias entregadas en el comedor de DIPAM en 2024")</f>
        <v>A2C4. Raciones alimenticias entregadas en el comedor de DIPAM en 2024</v>
      </c>
      <c r="G540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40" s="79" t="str">
        <f ca="1">IFERROR(__xludf.DUMMYFUNCTION("""COMPUTED_VALUE"""),"AM Abril")</f>
        <v>AM Abril</v>
      </c>
      <c r="I540" s="79" t="str">
        <f ca="1">IFERROR(__xludf.DUMMYFUNCTION("""COMPUTED_VALUE"""),"Abril")</f>
        <v>Abril</v>
      </c>
      <c r="J540" s="79" t="str">
        <f ca="1">IFERROR(__xludf.DUMMYFUNCTION("""COMPUTED_VALUE"""),"AM")</f>
        <v>AM</v>
      </c>
      <c r="K540" s="80"/>
      <c r="L540" s="79" t="str">
        <f ca="1">IFERROR(__xludf.DUMMYFUNCTION("""COMPUTED_VALUE"""),"TRIMESTRE 2")</f>
        <v>TRIMESTRE 2</v>
      </c>
      <c r="M540" s="79" t="str">
        <f ca="1">IFERROR(__xludf.DUMMYFUNCTION("""COMPUTED_VALUE"""),"ADOLESCENTES MUJERES")</f>
        <v>ADOLESCENTES MUJERES</v>
      </c>
    </row>
    <row r="541" spans="1:13">
      <c r="A541" s="79" t="str">
        <f ca="1">IFERROR(__xludf.DUMMYFUNCTION("""COMPUTED_VALUE"""),"6.1.4.2")</f>
        <v>6.1.4.2</v>
      </c>
      <c r="B541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41" s="79" t="str">
        <f ca="1">IFERROR(__xludf.DUMMYFUNCTION("""COMPUTED_VALUE"""),"5. Inclusión")</f>
        <v>5. Inclusión</v>
      </c>
      <c r="D541" s="79" t="str">
        <f ca="1">IFERROR(__xludf.DUMMYFUNCTION("""COMPUTED_VALUE"""),"Guadalajara sin Barreras")</f>
        <v>Guadalajara sin Barreras</v>
      </c>
      <c r="E541" s="79" t="str">
        <f ca="1">IFERROR(__xludf.DUMMYFUNCTION("""COMPUTED_VALUE"""),"Desarrollo Integral de Personas Adultas Mayores")</f>
        <v>Desarrollo Integral de Personas Adultas Mayores</v>
      </c>
      <c r="F541" s="79" t="str">
        <f ca="1">IFERROR(__xludf.DUMMYFUNCTION("""COMPUTED_VALUE"""),"A2C4. Raciones alimenticias entregadas en el comedor de DIPAM en 2024")</f>
        <v>A2C4. Raciones alimenticias entregadas en el comedor de DIPAM en 2024</v>
      </c>
      <c r="G541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41" s="79" t="str">
        <f ca="1">IFERROR(__xludf.DUMMYFUNCTION("""COMPUTED_VALUE"""),"AH Abril")</f>
        <v>AH Abril</v>
      </c>
      <c r="I541" s="79" t="str">
        <f ca="1">IFERROR(__xludf.DUMMYFUNCTION("""COMPUTED_VALUE"""),"Abril")</f>
        <v>Abril</v>
      </c>
      <c r="J541" s="79" t="str">
        <f ca="1">IFERROR(__xludf.DUMMYFUNCTION("""COMPUTED_VALUE"""),"AH")</f>
        <v>AH</v>
      </c>
      <c r="K541" s="80"/>
      <c r="L541" s="79" t="str">
        <f ca="1">IFERROR(__xludf.DUMMYFUNCTION("""COMPUTED_VALUE"""),"TRIMESTRE 2")</f>
        <v>TRIMESTRE 2</v>
      </c>
      <c r="M541" s="79" t="str">
        <f ca="1">IFERROR(__xludf.DUMMYFUNCTION("""COMPUTED_VALUE"""),"ADOLESCENTES HOMBRES")</f>
        <v>ADOLESCENTES HOMBRES</v>
      </c>
    </row>
    <row r="542" spans="1:13">
      <c r="A542" s="79" t="str">
        <f ca="1">IFERROR(__xludf.DUMMYFUNCTION("""COMPUTED_VALUE"""),"6.1.4.2")</f>
        <v>6.1.4.2</v>
      </c>
      <c r="B542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42" s="79" t="str">
        <f ca="1">IFERROR(__xludf.DUMMYFUNCTION("""COMPUTED_VALUE"""),"5. Inclusión")</f>
        <v>5. Inclusión</v>
      </c>
      <c r="D542" s="79" t="str">
        <f ca="1">IFERROR(__xludf.DUMMYFUNCTION("""COMPUTED_VALUE"""),"Guadalajara sin Barreras")</f>
        <v>Guadalajara sin Barreras</v>
      </c>
      <c r="E542" s="79" t="str">
        <f ca="1">IFERROR(__xludf.DUMMYFUNCTION("""COMPUTED_VALUE"""),"Desarrollo Integral de Personas Adultas Mayores")</f>
        <v>Desarrollo Integral de Personas Adultas Mayores</v>
      </c>
      <c r="F542" s="79" t="str">
        <f ca="1">IFERROR(__xludf.DUMMYFUNCTION("""COMPUTED_VALUE"""),"A2C4. Raciones alimenticias entregadas en el comedor de DIPAM en 2024")</f>
        <v>A2C4. Raciones alimenticias entregadas en el comedor de DIPAM en 2024</v>
      </c>
      <c r="G542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42" s="79" t="str">
        <f ca="1">IFERROR(__xludf.DUMMYFUNCTION("""COMPUTED_VALUE"""),"MUJ Abril")</f>
        <v>MUJ Abril</v>
      </c>
      <c r="I542" s="79" t="str">
        <f ca="1">IFERROR(__xludf.DUMMYFUNCTION("""COMPUTED_VALUE"""),"Abril")</f>
        <v>Abril</v>
      </c>
      <c r="J542" s="79" t="str">
        <f ca="1">IFERROR(__xludf.DUMMYFUNCTION("""COMPUTED_VALUE"""),"MUJ")</f>
        <v>MUJ</v>
      </c>
      <c r="K542" s="80"/>
      <c r="L542" s="79" t="str">
        <f ca="1">IFERROR(__xludf.DUMMYFUNCTION("""COMPUTED_VALUE"""),"TRIMESTRE 2")</f>
        <v>TRIMESTRE 2</v>
      </c>
      <c r="M542" s="79" t="str">
        <f ca="1">IFERROR(__xludf.DUMMYFUNCTION("""COMPUTED_VALUE"""),"MUJERES ADULTAS")</f>
        <v>MUJERES ADULTAS</v>
      </c>
    </row>
    <row r="543" spans="1:13">
      <c r="A543" s="79" t="str">
        <f ca="1">IFERROR(__xludf.DUMMYFUNCTION("""COMPUTED_VALUE"""),"6.1.4.2")</f>
        <v>6.1.4.2</v>
      </c>
      <c r="B543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43" s="79" t="str">
        <f ca="1">IFERROR(__xludf.DUMMYFUNCTION("""COMPUTED_VALUE"""),"5. Inclusión")</f>
        <v>5. Inclusión</v>
      </c>
      <c r="D543" s="79" t="str">
        <f ca="1">IFERROR(__xludf.DUMMYFUNCTION("""COMPUTED_VALUE"""),"Guadalajara sin Barreras")</f>
        <v>Guadalajara sin Barreras</v>
      </c>
      <c r="E543" s="79" t="str">
        <f ca="1">IFERROR(__xludf.DUMMYFUNCTION("""COMPUTED_VALUE"""),"Desarrollo Integral de Personas Adultas Mayores")</f>
        <v>Desarrollo Integral de Personas Adultas Mayores</v>
      </c>
      <c r="F543" s="79" t="str">
        <f ca="1">IFERROR(__xludf.DUMMYFUNCTION("""COMPUTED_VALUE"""),"A2C4. Raciones alimenticias entregadas en el comedor de DIPAM en 2024")</f>
        <v>A2C4. Raciones alimenticias entregadas en el comedor de DIPAM en 2024</v>
      </c>
      <c r="G543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43" s="79" t="str">
        <f ca="1">IFERROR(__xludf.DUMMYFUNCTION("""COMPUTED_VALUE"""),"HOM Abril")</f>
        <v>HOM Abril</v>
      </c>
      <c r="I543" s="79" t="str">
        <f ca="1">IFERROR(__xludf.DUMMYFUNCTION("""COMPUTED_VALUE"""),"Abril")</f>
        <v>Abril</v>
      </c>
      <c r="J543" s="79" t="str">
        <f ca="1">IFERROR(__xludf.DUMMYFUNCTION("""COMPUTED_VALUE"""),"HOM")</f>
        <v>HOM</v>
      </c>
      <c r="K543" s="80"/>
      <c r="L543" s="79" t="str">
        <f ca="1">IFERROR(__xludf.DUMMYFUNCTION("""COMPUTED_VALUE"""),"TRIMESTRE 2")</f>
        <v>TRIMESTRE 2</v>
      </c>
      <c r="M543" s="79" t="str">
        <f ca="1">IFERROR(__xludf.DUMMYFUNCTION("""COMPUTED_VALUE"""),"HOMBRES ADULTOS")</f>
        <v>HOMBRES ADULTOS</v>
      </c>
    </row>
    <row r="544" spans="1:13">
      <c r="A544" s="79" t="str">
        <f ca="1">IFERROR(__xludf.DUMMYFUNCTION("""COMPUTED_VALUE"""),"6.1.4.2")</f>
        <v>6.1.4.2</v>
      </c>
      <c r="B544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44" s="79" t="str">
        <f ca="1">IFERROR(__xludf.DUMMYFUNCTION("""COMPUTED_VALUE"""),"5. Inclusión")</f>
        <v>5. Inclusión</v>
      </c>
      <c r="D544" s="79" t="str">
        <f ca="1">IFERROR(__xludf.DUMMYFUNCTION("""COMPUTED_VALUE"""),"Guadalajara sin Barreras")</f>
        <v>Guadalajara sin Barreras</v>
      </c>
      <c r="E544" s="79" t="str">
        <f ca="1">IFERROR(__xludf.DUMMYFUNCTION("""COMPUTED_VALUE"""),"Desarrollo Integral de Personas Adultas Mayores")</f>
        <v>Desarrollo Integral de Personas Adultas Mayores</v>
      </c>
      <c r="F544" s="79" t="str">
        <f ca="1">IFERROR(__xludf.DUMMYFUNCTION("""COMPUTED_VALUE"""),"A2C4. Raciones alimenticias entregadas en el comedor de DIPAM en 2024")</f>
        <v>A2C4. Raciones alimenticias entregadas en el comedor de DIPAM en 2024</v>
      </c>
      <c r="G544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44" s="79" t="str">
        <f ca="1">IFERROR(__xludf.DUMMYFUNCTION("""COMPUTED_VALUE"""),"AMM Abril")</f>
        <v>AMM Abril</v>
      </c>
      <c r="I544" s="79" t="str">
        <f ca="1">IFERROR(__xludf.DUMMYFUNCTION("""COMPUTED_VALUE"""),"Abril")</f>
        <v>Abril</v>
      </c>
      <c r="J544" s="79" t="str">
        <f ca="1">IFERROR(__xludf.DUMMYFUNCTION("""COMPUTED_VALUE"""),"AMM")</f>
        <v>AMM</v>
      </c>
      <c r="K544" s="80">
        <f ca="1">IFERROR(__xludf.DUMMYFUNCTION("""COMPUTED_VALUE"""),896)</f>
        <v>896</v>
      </c>
      <c r="L544" s="79" t="str">
        <f ca="1">IFERROR(__xludf.DUMMYFUNCTION("""COMPUTED_VALUE"""),"TRIMESTRE 2")</f>
        <v>TRIMESTRE 2</v>
      </c>
      <c r="M544" s="79" t="str">
        <f ca="1">IFERROR(__xludf.DUMMYFUNCTION("""COMPUTED_VALUE"""),"ADULTA MAYOR MUJER")</f>
        <v>ADULTA MAYOR MUJER</v>
      </c>
    </row>
    <row r="545" spans="1:26">
      <c r="A545" s="79" t="str">
        <f ca="1">IFERROR(__xludf.DUMMYFUNCTION("""COMPUTED_VALUE"""),"6.1.4.2")</f>
        <v>6.1.4.2</v>
      </c>
      <c r="B545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45" s="79" t="str">
        <f ca="1">IFERROR(__xludf.DUMMYFUNCTION("""COMPUTED_VALUE"""),"5. Inclusión")</f>
        <v>5. Inclusión</v>
      </c>
      <c r="D545" s="79" t="str">
        <f ca="1">IFERROR(__xludf.DUMMYFUNCTION("""COMPUTED_VALUE"""),"Guadalajara sin Barreras")</f>
        <v>Guadalajara sin Barreras</v>
      </c>
      <c r="E545" s="79" t="str">
        <f ca="1">IFERROR(__xludf.DUMMYFUNCTION("""COMPUTED_VALUE"""),"Desarrollo Integral de Personas Adultas Mayores")</f>
        <v>Desarrollo Integral de Personas Adultas Mayores</v>
      </c>
      <c r="F545" s="79" t="str">
        <f ca="1">IFERROR(__xludf.DUMMYFUNCTION("""COMPUTED_VALUE"""),"A2C4. Raciones alimenticias entregadas en el comedor de DIPAM en 2024")</f>
        <v>A2C4. Raciones alimenticias entregadas en el comedor de DIPAM en 2024</v>
      </c>
      <c r="G545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45" s="79" t="str">
        <f ca="1">IFERROR(__xludf.DUMMYFUNCTION("""COMPUTED_VALUE"""),"AMH Abril")</f>
        <v>AMH Abril</v>
      </c>
      <c r="I545" s="79" t="str">
        <f ca="1">IFERROR(__xludf.DUMMYFUNCTION("""COMPUTED_VALUE"""),"Abril")</f>
        <v>Abril</v>
      </c>
      <c r="J545" s="79" t="str">
        <f ca="1">IFERROR(__xludf.DUMMYFUNCTION("""COMPUTED_VALUE"""),"AMH")</f>
        <v>AMH</v>
      </c>
      <c r="K545" s="80">
        <f ca="1">IFERROR(__xludf.DUMMYFUNCTION("""COMPUTED_VALUE"""),736)</f>
        <v>736</v>
      </c>
      <c r="L545" s="79" t="str">
        <f ca="1">IFERROR(__xludf.DUMMYFUNCTION("""COMPUTED_VALUE"""),"TRIMESTRE 2")</f>
        <v>TRIMESTRE 2</v>
      </c>
      <c r="M545" s="79" t="str">
        <f ca="1">IFERROR(__xludf.DUMMYFUNCTION("""COMPUTED_VALUE"""),"ADULTO MAYOR HOMBRE")</f>
        <v>ADULTO MAYOR HOMBRE</v>
      </c>
    </row>
    <row r="546" spans="1:26">
      <c r="A546" s="81" t="str">
        <f ca="1">IFERROR(__xludf.DUMMYFUNCTION("""COMPUTED_VALUE"""),"6.1.4.0")</f>
        <v>6.1.4.0</v>
      </c>
      <c r="B546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46" s="81" t="str">
        <f ca="1">IFERROR(__xludf.DUMMYFUNCTION("""COMPUTED_VALUE"""),"5. Inclusión")</f>
        <v>5. Inclusión</v>
      </c>
      <c r="D546" s="81" t="str">
        <f ca="1">IFERROR(__xludf.DUMMYFUNCTION("""COMPUTED_VALUE"""),"Guadalajara sin Barreras")</f>
        <v>Guadalajara sin Barreras</v>
      </c>
      <c r="E546" s="81" t="str">
        <f ca="1">IFERROR(__xludf.DUMMYFUNCTION("""COMPUTED_VALUE"""),"Desarrollo Integral de Personas Adultas Mayores")</f>
        <v>Desarrollo Integral de Personas Adultas Mayores</v>
      </c>
      <c r="F546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46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46" s="81" t="str">
        <f ca="1">IFERROR(__xludf.DUMMYFUNCTION("""COMPUTED_VALUE"""),"NAS Mayo")</f>
        <v>NAS Mayo</v>
      </c>
      <c r="I546" s="81" t="str">
        <f ca="1">IFERROR(__xludf.DUMMYFUNCTION("""COMPUTED_VALUE"""),"Mayo")</f>
        <v>Mayo</v>
      </c>
      <c r="J546" s="81" t="str">
        <f ca="1">IFERROR(__xludf.DUMMYFUNCTION("""COMPUTED_VALUE"""),"NAS")</f>
        <v>NAS</v>
      </c>
      <c r="K546" s="80"/>
      <c r="L546" s="81" t="str">
        <f ca="1">IFERROR(__xludf.DUMMYFUNCTION("""COMPUTED_VALUE"""),"TRIMESTRE 2")</f>
        <v>TRIMESTRE 2</v>
      </c>
      <c r="M546" s="81" t="str">
        <f ca="1">IFERROR(__xludf.DUMMYFUNCTION("""COMPUTED_VALUE"""),"NIÑAS")</f>
        <v>NIÑAS</v>
      </c>
      <c r="N546" s="81"/>
      <c r="O546" s="81"/>
      <c r="P546" s="81"/>
      <c r="Q546" s="81"/>
      <c r="R546" s="81"/>
      <c r="S546" s="81"/>
      <c r="T546" s="81"/>
      <c r="U546" s="81"/>
      <c r="V546" s="81"/>
      <c r="W546" s="81"/>
      <c r="X546" s="81"/>
      <c r="Y546" s="81"/>
      <c r="Z546" s="81"/>
    </row>
    <row r="547" spans="1:26">
      <c r="A547" s="81" t="str">
        <f ca="1">IFERROR(__xludf.DUMMYFUNCTION("""COMPUTED_VALUE"""),"6.1.4.0")</f>
        <v>6.1.4.0</v>
      </c>
      <c r="B547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47" s="81" t="str">
        <f ca="1">IFERROR(__xludf.DUMMYFUNCTION("""COMPUTED_VALUE"""),"5. Inclusión")</f>
        <v>5. Inclusión</v>
      </c>
      <c r="D547" s="81" t="str">
        <f ca="1">IFERROR(__xludf.DUMMYFUNCTION("""COMPUTED_VALUE"""),"Guadalajara sin Barreras")</f>
        <v>Guadalajara sin Barreras</v>
      </c>
      <c r="E547" s="81" t="str">
        <f ca="1">IFERROR(__xludf.DUMMYFUNCTION("""COMPUTED_VALUE"""),"Desarrollo Integral de Personas Adultas Mayores")</f>
        <v>Desarrollo Integral de Personas Adultas Mayores</v>
      </c>
      <c r="F547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47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47" s="81" t="str">
        <f ca="1">IFERROR(__xludf.DUMMYFUNCTION("""COMPUTED_VALUE"""),"NOS Mayo")</f>
        <v>NOS Mayo</v>
      </c>
      <c r="I547" s="81" t="str">
        <f ca="1">IFERROR(__xludf.DUMMYFUNCTION("""COMPUTED_VALUE"""),"Mayo")</f>
        <v>Mayo</v>
      </c>
      <c r="J547" s="81" t="str">
        <f ca="1">IFERROR(__xludf.DUMMYFUNCTION("""COMPUTED_VALUE"""),"NOS")</f>
        <v>NOS</v>
      </c>
      <c r="K547" s="80"/>
      <c r="L547" s="81" t="str">
        <f ca="1">IFERROR(__xludf.DUMMYFUNCTION("""COMPUTED_VALUE"""),"TRIMESTRE 2")</f>
        <v>TRIMESTRE 2</v>
      </c>
      <c r="M547" s="81" t="str">
        <f ca="1">IFERROR(__xludf.DUMMYFUNCTION("""COMPUTED_VALUE"""),"NIÑOS")</f>
        <v>NIÑOS</v>
      </c>
      <c r="N547" s="81"/>
      <c r="O547" s="81"/>
      <c r="P547" s="81"/>
      <c r="Q547" s="81"/>
      <c r="R547" s="81"/>
      <c r="S547" s="81"/>
      <c r="T547" s="81"/>
      <c r="U547" s="81"/>
      <c r="V547" s="81"/>
      <c r="W547" s="81"/>
      <c r="X547" s="81"/>
      <c r="Y547" s="81"/>
      <c r="Z547" s="81"/>
    </row>
    <row r="548" spans="1:26">
      <c r="A548" s="81" t="str">
        <f ca="1">IFERROR(__xludf.DUMMYFUNCTION("""COMPUTED_VALUE"""),"6.1.4.0")</f>
        <v>6.1.4.0</v>
      </c>
      <c r="B548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48" s="81" t="str">
        <f ca="1">IFERROR(__xludf.DUMMYFUNCTION("""COMPUTED_VALUE"""),"5. Inclusión")</f>
        <v>5. Inclusión</v>
      </c>
      <c r="D548" s="81" t="str">
        <f ca="1">IFERROR(__xludf.DUMMYFUNCTION("""COMPUTED_VALUE"""),"Guadalajara sin Barreras")</f>
        <v>Guadalajara sin Barreras</v>
      </c>
      <c r="E548" s="81" t="str">
        <f ca="1">IFERROR(__xludf.DUMMYFUNCTION("""COMPUTED_VALUE"""),"Desarrollo Integral de Personas Adultas Mayores")</f>
        <v>Desarrollo Integral de Personas Adultas Mayores</v>
      </c>
      <c r="F548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48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48" s="81" t="str">
        <f ca="1">IFERROR(__xludf.DUMMYFUNCTION("""COMPUTED_VALUE"""),"AM Mayo")</f>
        <v>AM Mayo</v>
      </c>
      <c r="I548" s="81" t="str">
        <f ca="1">IFERROR(__xludf.DUMMYFUNCTION("""COMPUTED_VALUE"""),"Mayo")</f>
        <v>Mayo</v>
      </c>
      <c r="J548" s="81" t="str">
        <f ca="1">IFERROR(__xludf.DUMMYFUNCTION("""COMPUTED_VALUE"""),"AM")</f>
        <v>AM</v>
      </c>
      <c r="K548" s="80"/>
      <c r="L548" s="81" t="str">
        <f ca="1">IFERROR(__xludf.DUMMYFUNCTION("""COMPUTED_VALUE"""),"TRIMESTRE 2")</f>
        <v>TRIMESTRE 2</v>
      </c>
      <c r="M548" s="81" t="str">
        <f ca="1">IFERROR(__xludf.DUMMYFUNCTION("""COMPUTED_VALUE"""),"ADOLESCENTES MUJERES")</f>
        <v>ADOLESCENTES MUJERES</v>
      </c>
      <c r="N548" s="81"/>
      <c r="O548" s="81"/>
      <c r="P548" s="81"/>
      <c r="Q548" s="81"/>
      <c r="R548" s="81"/>
      <c r="S548" s="81"/>
      <c r="T548" s="81"/>
      <c r="U548" s="81"/>
      <c r="V548" s="81"/>
      <c r="W548" s="81"/>
      <c r="X548" s="81"/>
      <c r="Y548" s="81"/>
      <c r="Z548" s="81"/>
    </row>
    <row r="549" spans="1:26">
      <c r="A549" s="81" t="str">
        <f ca="1">IFERROR(__xludf.DUMMYFUNCTION("""COMPUTED_VALUE"""),"6.1.4.0")</f>
        <v>6.1.4.0</v>
      </c>
      <c r="B549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49" s="81" t="str">
        <f ca="1">IFERROR(__xludf.DUMMYFUNCTION("""COMPUTED_VALUE"""),"5. Inclusión")</f>
        <v>5. Inclusión</v>
      </c>
      <c r="D549" s="81" t="str">
        <f ca="1">IFERROR(__xludf.DUMMYFUNCTION("""COMPUTED_VALUE"""),"Guadalajara sin Barreras")</f>
        <v>Guadalajara sin Barreras</v>
      </c>
      <c r="E549" s="81" t="str">
        <f ca="1">IFERROR(__xludf.DUMMYFUNCTION("""COMPUTED_VALUE"""),"Desarrollo Integral de Personas Adultas Mayores")</f>
        <v>Desarrollo Integral de Personas Adultas Mayores</v>
      </c>
      <c r="F549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49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49" s="81" t="str">
        <f ca="1">IFERROR(__xludf.DUMMYFUNCTION("""COMPUTED_VALUE"""),"AH Mayo")</f>
        <v>AH Mayo</v>
      </c>
      <c r="I549" s="81" t="str">
        <f ca="1">IFERROR(__xludf.DUMMYFUNCTION("""COMPUTED_VALUE"""),"Mayo")</f>
        <v>Mayo</v>
      </c>
      <c r="J549" s="81" t="str">
        <f ca="1">IFERROR(__xludf.DUMMYFUNCTION("""COMPUTED_VALUE"""),"AH")</f>
        <v>AH</v>
      </c>
      <c r="K549" s="80"/>
      <c r="L549" s="81" t="str">
        <f ca="1">IFERROR(__xludf.DUMMYFUNCTION("""COMPUTED_VALUE"""),"TRIMESTRE 2")</f>
        <v>TRIMESTRE 2</v>
      </c>
      <c r="M549" s="81" t="str">
        <f ca="1">IFERROR(__xludf.DUMMYFUNCTION("""COMPUTED_VALUE"""),"ADOLESCENTES HOMBRES")</f>
        <v>ADOLESCENTES HOMBRES</v>
      </c>
      <c r="N549" s="81"/>
      <c r="O549" s="81"/>
      <c r="P549" s="81"/>
      <c r="Q549" s="81"/>
      <c r="R549" s="81"/>
      <c r="S549" s="81"/>
      <c r="T549" s="81"/>
      <c r="U549" s="81"/>
      <c r="V549" s="81"/>
      <c r="W549" s="81"/>
      <c r="X549" s="81"/>
      <c r="Y549" s="81"/>
      <c r="Z549" s="81"/>
    </row>
    <row r="550" spans="1:26">
      <c r="A550" s="81" t="str">
        <f ca="1">IFERROR(__xludf.DUMMYFUNCTION("""COMPUTED_VALUE"""),"6.1.4.0")</f>
        <v>6.1.4.0</v>
      </c>
      <c r="B550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50" s="81" t="str">
        <f ca="1">IFERROR(__xludf.DUMMYFUNCTION("""COMPUTED_VALUE"""),"5. Inclusión")</f>
        <v>5. Inclusión</v>
      </c>
      <c r="D550" s="81" t="str">
        <f ca="1">IFERROR(__xludf.DUMMYFUNCTION("""COMPUTED_VALUE"""),"Guadalajara sin Barreras")</f>
        <v>Guadalajara sin Barreras</v>
      </c>
      <c r="E550" s="81" t="str">
        <f ca="1">IFERROR(__xludf.DUMMYFUNCTION("""COMPUTED_VALUE"""),"Desarrollo Integral de Personas Adultas Mayores")</f>
        <v>Desarrollo Integral de Personas Adultas Mayores</v>
      </c>
      <c r="F550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50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50" s="81" t="str">
        <f ca="1">IFERROR(__xludf.DUMMYFUNCTION("""COMPUTED_VALUE"""),"MUJ Mayo")</f>
        <v>MUJ Mayo</v>
      </c>
      <c r="I550" s="81" t="str">
        <f ca="1">IFERROR(__xludf.DUMMYFUNCTION("""COMPUTED_VALUE"""),"Mayo")</f>
        <v>Mayo</v>
      </c>
      <c r="J550" s="81" t="str">
        <f ca="1">IFERROR(__xludf.DUMMYFUNCTION("""COMPUTED_VALUE"""),"MUJ")</f>
        <v>MUJ</v>
      </c>
      <c r="K550" s="80"/>
      <c r="L550" s="81" t="str">
        <f ca="1">IFERROR(__xludf.DUMMYFUNCTION("""COMPUTED_VALUE"""),"TRIMESTRE 2")</f>
        <v>TRIMESTRE 2</v>
      </c>
      <c r="M550" s="81" t="str">
        <f ca="1">IFERROR(__xludf.DUMMYFUNCTION("""COMPUTED_VALUE"""),"MUJERES ADULTAS")</f>
        <v>MUJERES ADULTAS</v>
      </c>
      <c r="N550" s="81"/>
      <c r="O550" s="81"/>
      <c r="P550" s="81"/>
      <c r="Q550" s="81"/>
      <c r="R550" s="81"/>
      <c r="S550" s="81"/>
      <c r="T550" s="81"/>
      <c r="U550" s="81"/>
      <c r="V550" s="81"/>
      <c r="W550" s="81"/>
      <c r="X550" s="81"/>
      <c r="Y550" s="81"/>
      <c r="Z550" s="81"/>
    </row>
    <row r="551" spans="1:26">
      <c r="A551" s="81" t="str">
        <f ca="1">IFERROR(__xludf.DUMMYFUNCTION("""COMPUTED_VALUE"""),"6.1.4.0")</f>
        <v>6.1.4.0</v>
      </c>
      <c r="B551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51" s="81" t="str">
        <f ca="1">IFERROR(__xludf.DUMMYFUNCTION("""COMPUTED_VALUE"""),"5. Inclusión")</f>
        <v>5. Inclusión</v>
      </c>
      <c r="D551" s="81" t="str">
        <f ca="1">IFERROR(__xludf.DUMMYFUNCTION("""COMPUTED_VALUE"""),"Guadalajara sin Barreras")</f>
        <v>Guadalajara sin Barreras</v>
      </c>
      <c r="E551" s="81" t="str">
        <f ca="1">IFERROR(__xludf.DUMMYFUNCTION("""COMPUTED_VALUE"""),"Desarrollo Integral de Personas Adultas Mayores")</f>
        <v>Desarrollo Integral de Personas Adultas Mayores</v>
      </c>
      <c r="F551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51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51" s="81" t="str">
        <f ca="1">IFERROR(__xludf.DUMMYFUNCTION("""COMPUTED_VALUE"""),"HOM Mayo")</f>
        <v>HOM Mayo</v>
      </c>
      <c r="I551" s="81" t="str">
        <f ca="1">IFERROR(__xludf.DUMMYFUNCTION("""COMPUTED_VALUE"""),"Mayo")</f>
        <v>Mayo</v>
      </c>
      <c r="J551" s="81" t="str">
        <f ca="1">IFERROR(__xludf.DUMMYFUNCTION("""COMPUTED_VALUE"""),"HOM")</f>
        <v>HOM</v>
      </c>
      <c r="K551" s="80"/>
      <c r="L551" s="81" t="str">
        <f ca="1">IFERROR(__xludf.DUMMYFUNCTION("""COMPUTED_VALUE"""),"TRIMESTRE 2")</f>
        <v>TRIMESTRE 2</v>
      </c>
      <c r="M551" s="81" t="str">
        <f ca="1">IFERROR(__xludf.DUMMYFUNCTION("""COMPUTED_VALUE"""),"HOMBRES ADULTOS")</f>
        <v>HOMBRES ADULTOS</v>
      </c>
      <c r="N551" s="81"/>
      <c r="O551" s="81"/>
      <c r="P551" s="81"/>
      <c r="Q551" s="81"/>
      <c r="R551" s="81"/>
      <c r="S551" s="81"/>
      <c r="T551" s="81"/>
      <c r="U551" s="81"/>
      <c r="V551" s="81"/>
      <c r="W551" s="81"/>
      <c r="X551" s="81"/>
      <c r="Y551" s="81"/>
      <c r="Z551" s="81"/>
    </row>
    <row r="552" spans="1:26">
      <c r="A552" s="81" t="str">
        <f ca="1">IFERROR(__xludf.DUMMYFUNCTION("""COMPUTED_VALUE"""),"6.1.4.0")</f>
        <v>6.1.4.0</v>
      </c>
      <c r="B552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52" s="81" t="str">
        <f ca="1">IFERROR(__xludf.DUMMYFUNCTION("""COMPUTED_VALUE"""),"5. Inclusión")</f>
        <v>5. Inclusión</v>
      </c>
      <c r="D552" s="81" t="str">
        <f ca="1">IFERROR(__xludf.DUMMYFUNCTION("""COMPUTED_VALUE"""),"Guadalajara sin Barreras")</f>
        <v>Guadalajara sin Barreras</v>
      </c>
      <c r="E552" s="81" t="str">
        <f ca="1">IFERROR(__xludf.DUMMYFUNCTION("""COMPUTED_VALUE"""),"Desarrollo Integral de Personas Adultas Mayores")</f>
        <v>Desarrollo Integral de Personas Adultas Mayores</v>
      </c>
      <c r="F552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52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52" s="81" t="str">
        <f ca="1">IFERROR(__xludf.DUMMYFUNCTION("""COMPUTED_VALUE"""),"AMM Mayo")</f>
        <v>AMM Mayo</v>
      </c>
      <c r="I552" s="81" t="str">
        <f ca="1">IFERROR(__xludf.DUMMYFUNCTION("""COMPUTED_VALUE"""),"Mayo")</f>
        <v>Mayo</v>
      </c>
      <c r="J552" s="81" t="str">
        <f ca="1">IFERROR(__xludf.DUMMYFUNCTION("""COMPUTED_VALUE"""),"AMM")</f>
        <v>AMM</v>
      </c>
      <c r="K552" s="80">
        <f ca="1">IFERROR(__xludf.DUMMYFUNCTION("""COMPUTED_VALUE"""),2591)</f>
        <v>2591</v>
      </c>
      <c r="L552" s="81" t="str">
        <f ca="1">IFERROR(__xludf.DUMMYFUNCTION("""COMPUTED_VALUE"""),"TRIMESTRE 2")</f>
        <v>TRIMESTRE 2</v>
      </c>
      <c r="M552" s="81" t="str">
        <f ca="1">IFERROR(__xludf.DUMMYFUNCTION("""COMPUTED_VALUE"""),"ADULTA MAYOR MUJER")</f>
        <v>ADULTA MAYOR MUJER</v>
      </c>
      <c r="N552" s="81"/>
      <c r="O552" s="81"/>
      <c r="P552" s="81"/>
      <c r="Q552" s="81"/>
      <c r="R552" s="81"/>
      <c r="S552" s="81"/>
      <c r="T552" s="81"/>
      <c r="U552" s="81"/>
      <c r="V552" s="81"/>
      <c r="W552" s="81"/>
      <c r="X552" s="81"/>
      <c r="Y552" s="81"/>
      <c r="Z552" s="81"/>
    </row>
    <row r="553" spans="1:26">
      <c r="A553" s="81" t="str">
        <f ca="1">IFERROR(__xludf.DUMMYFUNCTION("""COMPUTED_VALUE"""),"6.1.4.0")</f>
        <v>6.1.4.0</v>
      </c>
      <c r="B553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53" s="81" t="str">
        <f ca="1">IFERROR(__xludf.DUMMYFUNCTION("""COMPUTED_VALUE"""),"5. Inclusión")</f>
        <v>5. Inclusión</v>
      </c>
      <c r="D553" s="81" t="str">
        <f ca="1">IFERROR(__xludf.DUMMYFUNCTION("""COMPUTED_VALUE"""),"Guadalajara sin Barreras")</f>
        <v>Guadalajara sin Barreras</v>
      </c>
      <c r="E553" s="81" t="str">
        <f ca="1">IFERROR(__xludf.DUMMYFUNCTION("""COMPUTED_VALUE"""),"Desarrollo Integral de Personas Adultas Mayores")</f>
        <v>Desarrollo Integral de Personas Adultas Mayores</v>
      </c>
      <c r="F553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53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53" s="81" t="str">
        <f ca="1">IFERROR(__xludf.DUMMYFUNCTION("""COMPUTED_VALUE"""),"AMH Mayo")</f>
        <v>AMH Mayo</v>
      </c>
      <c r="I553" s="81" t="str">
        <f ca="1">IFERROR(__xludf.DUMMYFUNCTION("""COMPUTED_VALUE"""),"Mayo")</f>
        <v>Mayo</v>
      </c>
      <c r="J553" s="81" t="str">
        <f ca="1">IFERROR(__xludf.DUMMYFUNCTION("""COMPUTED_VALUE"""),"AMH")</f>
        <v>AMH</v>
      </c>
      <c r="K553" s="80">
        <f ca="1">IFERROR(__xludf.DUMMYFUNCTION("""COMPUTED_VALUE"""),622)</f>
        <v>622</v>
      </c>
      <c r="L553" s="81" t="str">
        <f ca="1">IFERROR(__xludf.DUMMYFUNCTION("""COMPUTED_VALUE"""),"TRIMESTRE 2")</f>
        <v>TRIMESTRE 2</v>
      </c>
      <c r="M553" s="81" t="str">
        <f ca="1">IFERROR(__xludf.DUMMYFUNCTION("""COMPUTED_VALUE"""),"ADULTO MAYOR HOMBRE")</f>
        <v>ADULTO MAYOR HOMBRE</v>
      </c>
      <c r="N553" s="81"/>
      <c r="O553" s="81"/>
      <c r="P553" s="81"/>
      <c r="Q553" s="81"/>
      <c r="R553" s="81"/>
      <c r="S553" s="81"/>
      <c r="T553" s="81"/>
      <c r="U553" s="81"/>
      <c r="V553" s="81"/>
      <c r="W553" s="81"/>
      <c r="X553" s="81"/>
      <c r="Y553" s="81"/>
      <c r="Z553" s="81"/>
    </row>
    <row r="554" spans="1:26">
      <c r="A554" s="79" t="str">
        <f ca="1">IFERROR(__xludf.DUMMYFUNCTION("""COMPUTED_VALUE"""),"6.1.4.2")</f>
        <v>6.1.4.2</v>
      </c>
      <c r="B554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54" s="79" t="str">
        <f ca="1">IFERROR(__xludf.DUMMYFUNCTION("""COMPUTED_VALUE"""),"5. Inclusión")</f>
        <v>5. Inclusión</v>
      </c>
      <c r="D554" s="79" t="str">
        <f ca="1">IFERROR(__xludf.DUMMYFUNCTION("""COMPUTED_VALUE"""),"Guadalajara sin Barreras")</f>
        <v>Guadalajara sin Barreras</v>
      </c>
      <c r="E554" s="79" t="str">
        <f ca="1">IFERROR(__xludf.DUMMYFUNCTION("""COMPUTED_VALUE"""),"Desarrollo Integral de Personas Adultas Mayores")</f>
        <v>Desarrollo Integral de Personas Adultas Mayores</v>
      </c>
      <c r="F554" s="79" t="str">
        <f ca="1">IFERROR(__xludf.DUMMYFUNCTION("""COMPUTED_VALUE"""),"A2C4. Raciones alimenticias entregadas en el comedor de DIPAM en 2024")</f>
        <v>A2C4. Raciones alimenticias entregadas en el comedor de DIPAM en 2024</v>
      </c>
      <c r="G554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54" s="79" t="str">
        <f ca="1">IFERROR(__xludf.DUMMYFUNCTION("""COMPUTED_VALUE"""),"NAS Mayo")</f>
        <v>NAS Mayo</v>
      </c>
      <c r="I554" s="79" t="str">
        <f ca="1">IFERROR(__xludf.DUMMYFUNCTION("""COMPUTED_VALUE"""),"Mayo")</f>
        <v>Mayo</v>
      </c>
      <c r="J554" s="79" t="str">
        <f ca="1">IFERROR(__xludf.DUMMYFUNCTION("""COMPUTED_VALUE"""),"NAS")</f>
        <v>NAS</v>
      </c>
      <c r="K554" s="80"/>
      <c r="L554" s="79" t="str">
        <f ca="1">IFERROR(__xludf.DUMMYFUNCTION("""COMPUTED_VALUE"""),"TRIMESTRE 2")</f>
        <v>TRIMESTRE 2</v>
      </c>
      <c r="M554" s="79" t="str">
        <f ca="1">IFERROR(__xludf.DUMMYFUNCTION("""COMPUTED_VALUE"""),"NIÑAS")</f>
        <v>NIÑAS</v>
      </c>
    </row>
    <row r="555" spans="1:26">
      <c r="A555" s="79" t="str">
        <f ca="1">IFERROR(__xludf.DUMMYFUNCTION("""COMPUTED_VALUE"""),"6.1.4.2")</f>
        <v>6.1.4.2</v>
      </c>
      <c r="B555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55" s="79" t="str">
        <f ca="1">IFERROR(__xludf.DUMMYFUNCTION("""COMPUTED_VALUE"""),"5. Inclusión")</f>
        <v>5. Inclusión</v>
      </c>
      <c r="D555" s="79" t="str">
        <f ca="1">IFERROR(__xludf.DUMMYFUNCTION("""COMPUTED_VALUE"""),"Guadalajara sin Barreras")</f>
        <v>Guadalajara sin Barreras</v>
      </c>
      <c r="E555" s="79" t="str">
        <f ca="1">IFERROR(__xludf.DUMMYFUNCTION("""COMPUTED_VALUE"""),"Desarrollo Integral de Personas Adultas Mayores")</f>
        <v>Desarrollo Integral de Personas Adultas Mayores</v>
      </c>
      <c r="F555" s="79" t="str">
        <f ca="1">IFERROR(__xludf.DUMMYFUNCTION("""COMPUTED_VALUE"""),"A2C4. Raciones alimenticias entregadas en el comedor de DIPAM en 2024")</f>
        <v>A2C4. Raciones alimenticias entregadas en el comedor de DIPAM en 2024</v>
      </c>
      <c r="G555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55" s="79" t="str">
        <f ca="1">IFERROR(__xludf.DUMMYFUNCTION("""COMPUTED_VALUE"""),"NOS Mayo")</f>
        <v>NOS Mayo</v>
      </c>
      <c r="I555" s="79" t="str">
        <f ca="1">IFERROR(__xludf.DUMMYFUNCTION("""COMPUTED_VALUE"""),"Mayo")</f>
        <v>Mayo</v>
      </c>
      <c r="J555" s="79" t="str">
        <f ca="1">IFERROR(__xludf.DUMMYFUNCTION("""COMPUTED_VALUE"""),"NOS")</f>
        <v>NOS</v>
      </c>
      <c r="K555" s="80"/>
      <c r="L555" s="79" t="str">
        <f ca="1">IFERROR(__xludf.DUMMYFUNCTION("""COMPUTED_VALUE"""),"TRIMESTRE 2")</f>
        <v>TRIMESTRE 2</v>
      </c>
      <c r="M555" s="79" t="str">
        <f ca="1">IFERROR(__xludf.DUMMYFUNCTION("""COMPUTED_VALUE"""),"NIÑOS")</f>
        <v>NIÑOS</v>
      </c>
    </row>
    <row r="556" spans="1:26">
      <c r="A556" s="79" t="str">
        <f ca="1">IFERROR(__xludf.DUMMYFUNCTION("""COMPUTED_VALUE"""),"6.1.4.2")</f>
        <v>6.1.4.2</v>
      </c>
      <c r="B556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56" s="79" t="str">
        <f ca="1">IFERROR(__xludf.DUMMYFUNCTION("""COMPUTED_VALUE"""),"5. Inclusión")</f>
        <v>5. Inclusión</v>
      </c>
      <c r="D556" s="79" t="str">
        <f ca="1">IFERROR(__xludf.DUMMYFUNCTION("""COMPUTED_VALUE"""),"Guadalajara sin Barreras")</f>
        <v>Guadalajara sin Barreras</v>
      </c>
      <c r="E556" s="79" t="str">
        <f ca="1">IFERROR(__xludf.DUMMYFUNCTION("""COMPUTED_VALUE"""),"Desarrollo Integral de Personas Adultas Mayores")</f>
        <v>Desarrollo Integral de Personas Adultas Mayores</v>
      </c>
      <c r="F556" s="79" t="str">
        <f ca="1">IFERROR(__xludf.DUMMYFUNCTION("""COMPUTED_VALUE"""),"A2C4. Raciones alimenticias entregadas en el comedor de DIPAM en 2024")</f>
        <v>A2C4. Raciones alimenticias entregadas en el comedor de DIPAM en 2024</v>
      </c>
      <c r="G556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56" s="79" t="str">
        <f ca="1">IFERROR(__xludf.DUMMYFUNCTION("""COMPUTED_VALUE"""),"AM Mayo")</f>
        <v>AM Mayo</v>
      </c>
      <c r="I556" s="79" t="str">
        <f ca="1">IFERROR(__xludf.DUMMYFUNCTION("""COMPUTED_VALUE"""),"Mayo")</f>
        <v>Mayo</v>
      </c>
      <c r="J556" s="79" t="str">
        <f ca="1">IFERROR(__xludf.DUMMYFUNCTION("""COMPUTED_VALUE"""),"AM")</f>
        <v>AM</v>
      </c>
      <c r="K556" s="80"/>
      <c r="L556" s="79" t="str">
        <f ca="1">IFERROR(__xludf.DUMMYFUNCTION("""COMPUTED_VALUE"""),"TRIMESTRE 2")</f>
        <v>TRIMESTRE 2</v>
      </c>
      <c r="M556" s="79" t="str">
        <f ca="1">IFERROR(__xludf.DUMMYFUNCTION("""COMPUTED_VALUE"""),"ADOLESCENTES MUJERES")</f>
        <v>ADOLESCENTES MUJERES</v>
      </c>
    </row>
    <row r="557" spans="1:26">
      <c r="A557" s="79" t="str">
        <f ca="1">IFERROR(__xludf.DUMMYFUNCTION("""COMPUTED_VALUE"""),"6.1.4.2")</f>
        <v>6.1.4.2</v>
      </c>
      <c r="B557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57" s="79" t="str">
        <f ca="1">IFERROR(__xludf.DUMMYFUNCTION("""COMPUTED_VALUE"""),"5. Inclusión")</f>
        <v>5. Inclusión</v>
      </c>
      <c r="D557" s="79" t="str">
        <f ca="1">IFERROR(__xludf.DUMMYFUNCTION("""COMPUTED_VALUE"""),"Guadalajara sin Barreras")</f>
        <v>Guadalajara sin Barreras</v>
      </c>
      <c r="E557" s="79" t="str">
        <f ca="1">IFERROR(__xludf.DUMMYFUNCTION("""COMPUTED_VALUE"""),"Desarrollo Integral de Personas Adultas Mayores")</f>
        <v>Desarrollo Integral de Personas Adultas Mayores</v>
      </c>
      <c r="F557" s="79" t="str">
        <f ca="1">IFERROR(__xludf.DUMMYFUNCTION("""COMPUTED_VALUE"""),"A2C4. Raciones alimenticias entregadas en el comedor de DIPAM en 2024")</f>
        <v>A2C4. Raciones alimenticias entregadas en el comedor de DIPAM en 2024</v>
      </c>
      <c r="G557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57" s="79" t="str">
        <f ca="1">IFERROR(__xludf.DUMMYFUNCTION("""COMPUTED_VALUE"""),"AH Mayo")</f>
        <v>AH Mayo</v>
      </c>
      <c r="I557" s="79" t="str">
        <f ca="1">IFERROR(__xludf.DUMMYFUNCTION("""COMPUTED_VALUE"""),"Mayo")</f>
        <v>Mayo</v>
      </c>
      <c r="J557" s="79" t="str">
        <f ca="1">IFERROR(__xludf.DUMMYFUNCTION("""COMPUTED_VALUE"""),"AH")</f>
        <v>AH</v>
      </c>
      <c r="K557" s="80"/>
      <c r="L557" s="79" t="str">
        <f ca="1">IFERROR(__xludf.DUMMYFUNCTION("""COMPUTED_VALUE"""),"TRIMESTRE 2")</f>
        <v>TRIMESTRE 2</v>
      </c>
      <c r="M557" s="79" t="str">
        <f ca="1">IFERROR(__xludf.DUMMYFUNCTION("""COMPUTED_VALUE"""),"ADOLESCENTES HOMBRES")</f>
        <v>ADOLESCENTES HOMBRES</v>
      </c>
    </row>
    <row r="558" spans="1:26">
      <c r="A558" s="79" t="str">
        <f ca="1">IFERROR(__xludf.DUMMYFUNCTION("""COMPUTED_VALUE"""),"6.1.4.2")</f>
        <v>6.1.4.2</v>
      </c>
      <c r="B558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58" s="79" t="str">
        <f ca="1">IFERROR(__xludf.DUMMYFUNCTION("""COMPUTED_VALUE"""),"5. Inclusión")</f>
        <v>5. Inclusión</v>
      </c>
      <c r="D558" s="79" t="str">
        <f ca="1">IFERROR(__xludf.DUMMYFUNCTION("""COMPUTED_VALUE"""),"Guadalajara sin Barreras")</f>
        <v>Guadalajara sin Barreras</v>
      </c>
      <c r="E558" s="79" t="str">
        <f ca="1">IFERROR(__xludf.DUMMYFUNCTION("""COMPUTED_VALUE"""),"Desarrollo Integral de Personas Adultas Mayores")</f>
        <v>Desarrollo Integral de Personas Adultas Mayores</v>
      </c>
      <c r="F558" s="79" t="str">
        <f ca="1">IFERROR(__xludf.DUMMYFUNCTION("""COMPUTED_VALUE"""),"A2C4. Raciones alimenticias entregadas en el comedor de DIPAM en 2024")</f>
        <v>A2C4. Raciones alimenticias entregadas en el comedor de DIPAM en 2024</v>
      </c>
      <c r="G558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58" s="79" t="str">
        <f ca="1">IFERROR(__xludf.DUMMYFUNCTION("""COMPUTED_VALUE"""),"MUJ Mayo")</f>
        <v>MUJ Mayo</v>
      </c>
      <c r="I558" s="79" t="str">
        <f ca="1">IFERROR(__xludf.DUMMYFUNCTION("""COMPUTED_VALUE"""),"Mayo")</f>
        <v>Mayo</v>
      </c>
      <c r="J558" s="79" t="str">
        <f ca="1">IFERROR(__xludf.DUMMYFUNCTION("""COMPUTED_VALUE"""),"MUJ")</f>
        <v>MUJ</v>
      </c>
      <c r="K558" s="80"/>
      <c r="L558" s="79" t="str">
        <f ca="1">IFERROR(__xludf.DUMMYFUNCTION("""COMPUTED_VALUE"""),"TRIMESTRE 2")</f>
        <v>TRIMESTRE 2</v>
      </c>
      <c r="M558" s="79" t="str">
        <f ca="1">IFERROR(__xludf.DUMMYFUNCTION("""COMPUTED_VALUE"""),"MUJERES ADULTAS")</f>
        <v>MUJERES ADULTAS</v>
      </c>
    </row>
    <row r="559" spans="1:26">
      <c r="A559" s="79" t="str">
        <f ca="1">IFERROR(__xludf.DUMMYFUNCTION("""COMPUTED_VALUE"""),"6.1.4.2")</f>
        <v>6.1.4.2</v>
      </c>
      <c r="B559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59" s="79" t="str">
        <f ca="1">IFERROR(__xludf.DUMMYFUNCTION("""COMPUTED_VALUE"""),"5. Inclusión")</f>
        <v>5. Inclusión</v>
      </c>
      <c r="D559" s="79" t="str">
        <f ca="1">IFERROR(__xludf.DUMMYFUNCTION("""COMPUTED_VALUE"""),"Guadalajara sin Barreras")</f>
        <v>Guadalajara sin Barreras</v>
      </c>
      <c r="E559" s="79" t="str">
        <f ca="1">IFERROR(__xludf.DUMMYFUNCTION("""COMPUTED_VALUE"""),"Desarrollo Integral de Personas Adultas Mayores")</f>
        <v>Desarrollo Integral de Personas Adultas Mayores</v>
      </c>
      <c r="F559" s="79" t="str">
        <f ca="1">IFERROR(__xludf.DUMMYFUNCTION("""COMPUTED_VALUE"""),"A2C4. Raciones alimenticias entregadas en el comedor de DIPAM en 2024")</f>
        <v>A2C4. Raciones alimenticias entregadas en el comedor de DIPAM en 2024</v>
      </c>
      <c r="G559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59" s="79" t="str">
        <f ca="1">IFERROR(__xludf.DUMMYFUNCTION("""COMPUTED_VALUE"""),"HOM Mayo")</f>
        <v>HOM Mayo</v>
      </c>
      <c r="I559" s="79" t="str">
        <f ca="1">IFERROR(__xludf.DUMMYFUNCTION("""COMPUTED_VALUE"""),"Mayo")</f>
        <v>Mayo</v>
      </c>
      <c r="J559" s="79" t="str">
        <f ca="1">IFERROR(__xludf.DUMMYFUNCTION("""COMPUTED_VALUE"""),"HOM")</f>
        <v>HOM</v>
      </c>
      <c r="K559" s="80"/>
      <c r="L559" s="79" t="str">
        <f ca="1">IFERROR(__xludf.DUMMYFUNCTION("""COMPUTED_VALUE"""),"TRIMESTRE 2")</f>
        <v>TRIMESTRE 2</v>
      </c>
      <c r="M559" s="79" t="str">
        <f ca="1">IFERROR(__xludf.DUMMYFUNCTION("""COMPUTED_VALUE"""),"HOMBRES ADULTOS")</f>
        <v>HOMBRES ADULTOS</v>
      </c>
    </row>
    <row r="560" spans="1:26">
      <c r="A560" s="79" t="str">
        <f ca="1">IFERROR(__xludf.DUMMYFUNCTION("""COMPUTED_VALUE"""),"6.1.4.2")</f>
        <v>6.1.4.2</v>
      </c>
      <c r="B560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60" s="79" t="str">
        <f ca="1">IFERROR(__xludf.DUMMYFUNCTION("""COMPUTED_VALUE"""),"5. Inclusión")</f>
        <v>5. Inclusión</v>
      </c>
      <c r="D560" s="79" t="str">
        <f ca="1">IFERROR(__xludf.DUMMYFUNCTION("""COMPUTED_VALUE"""),"Guadalajara sin Barreras")</f>
        <v>Guadalajara sin Barreras</v>
      </c>
      <c r="E560" s="79" t="str">
        <f ca="1">IFERROR(__xludf.DUMMYFUNCTION("""COMPUTED_VALUE"""),"Desarrollo Integral de Personas Adultas Mayores")</f>
        <v>Desarrollo Integral de Personas Adultas Mayores</v>
      </c>
      <c r="F560" s="79" t="str">
        <f ca="1">IFERROR(__xludf.DUMMYFUNCTION("""COMPUTED_VALUE"""),"A2C4. Raciones alimenticias entregadas en el comedor de DIPAM en 2024")</f>
        <v>A2C4. Raciones alimenticias entregadas en el comedor de DIPAM en 2024</v>
      </c>
      <c r="G560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60" s="79" t="str">
        <f ca="1">IFERROR(__xludf.DUMMYFUNCTION("""COMPUTED_VALUE"""),"AMM Mayo")</f>
        <v>AMM Mayo</v>
      </c>
      <c r="I560" s="79" t="str">
        <f ca="1">IFERROR(__xludf.DUMMYFUNCTION("""COMPUTED_VALUE"""),"Mayo")</f>
        <v>Mayo</v>
      </c>
      <c r="J560" s="79" t="str">
        <f ca="1">IFERROR(__xludf.DUMMYFUNCTION("""COMPUTED_VALUE"""),"AMM")</f>
        <v>AMM</v>
      </c>
      <c r="K560" s="80">
        <f ca="1">IFERROR(__xludf.DUMMYFUNCTION("""COMPUTED_VALUE"""),1188)</f>
        <v>1188</v>
      </c>
      <c r="L560" s="79" t="str">
        <f ca="1">IFERROR(__xludf.DUMMYFUNCTION("""COMPUTED_VALUE"""),"TRIMESTRE 2")</f>
        <v>TRIMESTRE 2</v>
      </c>
      <c r="M560" s="79" t="str">
        <f ca="1">IFERROR(__xludf.DUMMYFUNCTION("""COMPUTED_VALUE"""),"ADULTA MAYOR MUJER")</f>
        <v>ADULTA MAYOR MUJER</v>
      </c>
    </row>
    <row r="561" spans="1:13">
      <c r="A561" s="79" t="str">
        <f ca="1">IFERROR(__xludf.DUMMYFUNCTION("""COMPUTED_VALUE"""),"6.1.4.2")</f>
        <v>6.1.4.2</v>
      </c>
      <c r="B561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61" s="79" t="str">
        <f ca="1">IFERROR(__xludf.DUMMYFUNCTION("""COMPUTED_VALUE"""),"5. Inclusión")</f>
        <v>5. Inclusión</v>
      </c>
      <c r="D561" s="79" t="str">
        <f ca="1">IFERROR(__xludf.DUMMYFUNCTION("""COMPUTED_VALUE"""),"Guadalajara sin Barreras")</f>
        <v>Guadalajara sin Barreras</v>
      </c>
      <c r="E561" s="79" t="str">
        <f ca="1">IFERROR(__xludf.DUMMYFUNCTION("""COMPUTED_VALUE"""),"Desarrollo Integral de Personas Adultas Mayores")</f>
        <v>Desarrollo Integral de Personas Adultas Mayores</v>
      </c>
      <c r="F561" s="79" t="str">
        <f ca="1">IFERROR(__xludf.DUMMYFUNCTION("""COMPUTED_VALUE"""),"A2C4. Raciones alimenticias entregadas en el comedor de DIPAM en 2024")</f>
        <v>A2C4. Raciones alimenticias entregadas en el comedor de DIPAM en 2024</v>
      </c>
      <c r="G561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61" s="79" t="str">
        <f ca="1">IFERROR(__xludf.DUMMYFUNCTION("""COMPUTED_VALUE"""),"AMH Mayo")</f>
        <v>AMH Mayo</v>
      </c>
      <c r="I561" s="79" t="str">
        <f ca="1">IFERROR(__xludf.DUMMYFUNCTION("""COMPUTED_VALUE"""),"Mayo")</f>
        <v>Mayo</v>
      </c>
      <c r="J561" s="79" t="str">
        <f ca="1">IFERROR(__xludf.DUMMYFUNCTION("""COMPUTED_VALUE"""),"AMH")</f>
        <v>AMH</v>
      </c>
      <c r="K561" s="80">
        <f ca="1">IFERROR(__xludf.DUMMYFUNCTION("""COMPUTED_VALUE"""),1012)</f>
        <v>1012</v>
      </c>
      <c r="L561" s="79" t="str">
        <f ca="1">IFERROR(__xludf.DUMMYFUNCTION("""COMPUTED_VALUE"""),"TRIMESTRE 2")</f>
        <v>TRIMESTRE 2</v>
      </c>
      <c r="M561" s="79" t="str">
        <f ca="1">IFERROR(__xludf.DUMMYFUNCTION("""COMPUTED_VALUE"""),"ADULTO MAYOR HOMBRE")</f>
        <v>ADULTO MAYOR HOMBRE</v>
      </c>
    </row>
    <row r="562" spans="1:13">
      <c r="A562" s="79" t="str">
        <f ca="1">IFERROR(__xludf.DUMMYFUNCTION("""COMPUTED_VALUE"""),"6.1.4.0")</f>
        <v>6.1.4.0</v>
      </c>
      <c r="B562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2" s="79" t="str">
        <f ca="1">IFERROR(__xludf.DUMMYFUNCTION("""COMPUTED_VALUE"""),"5. Inclusión")</f>
        <v>5. Inclusión</v>
      </c>
      <c r="D562" s="79" t="str">
        <f ca="1">IFERROR(__xludf.DUMMYFUNCTION("""COMPUTED_VALUE"""),"Guadalajara sin Barreras")</f>
        <v>Guadalajara sin Barreras</v>
      </c>
      <c r="E562" s="79" t="str">
        <f ca="1">IFERROR(__xludf.DUMMYFUNCTION("""COMPUTED_VALUE"""),"Desarrollo Integral de Personas Adultas Mayores")</f>
        <v>Desarrollo Integral de Personas Adultas Mayores</v>
      </c>
      <c r="F562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2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2" s="79" t="str">
        <f ca="1">IFERROR(__xludf.DUMMYFUNCTION("""COMPUTED_VALUE"""),"NAS Junio")</f>
        <v>NAS Junio</v>
      </c>
      <c r="I562" s="79" t="str">
        <f ca="1">IFERROR(__xludf.DUMMYFUNCTION("""COMPUTED_VALUE"""),"Junio")</f>
        <v>Junio</v>
      </c>
      <c r="J562" s="79" t="str">
        <f ca="1">IFERROR(__xludf.DUMMYFUNCTION("""COMPUTED_VALUE"""),"NAS")</f>
        <v>NAS</v>
      </c>
      <c r="K562" s="80"/>
      <c r="L562" s="79" t="str">
        <f ca="1">IFERROR(__xludf.DUMMYFUNCTION("""COMPUTED_VALUE"""),"TRIMESTRE 2")</f>
        <v>TRIMESTRE 2</v>
      </c>
      <c r="M562" s="79" t="str">
        <f ca="1">IFERROR(__xludf.DUMMYFUNCTION("""COMPUTED_VALUE"""),"NIÑAS")</f>
        <v>NIÑAS</v>
      </c>
    </row>
    <row r="563" spans="1:13">
      <c r="A563" s="79" t="str">
        <f ca="1">IFERROR(__xludf.DUMMYFUNCTION("""COMPUTED_VALUE"""),"6.1.4.0")</f>
        <v>6.1.4.0</v>
      </c>
      <c r="B563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3" s="79" t="str">
        <f ca="1">IFERROR(__xludf.DUMMYFUNCTION("""COMPUTED_VALUE"""),"5. Inclusión")</f>
        <v>5. Inclusión</v>
      </c>
      <c r="D563" s="79" t="str">
        <f ca="1">IFERROR(__xludf.DUMMYFUNCTION("""COMPUTED_VALUE"""),"Guadalajara sin Barreras")</f>
        <v>Guadalajara sin Barreras</v>
      </c>
      <c r="E563" s="79" t="str">
        <f ca="1">IFERROR(__xludf.DUMMYFUNCTION("""COMPUTED_VALUE"""),"Desarrollo Integral de Personas Adultas Mayores")</f>
        <v>Desarrollo Integral de Personas Adultas Mayores</v>
      </c>
      <c r="F563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3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3" s="79" t="str">
        <f ca="1">IFERROR(__xludf.DUMMYFUNCTION("""COMPUTED_VALUE"""),"NOS Junio")</f>
        <v>NOS Junio</v>
      </c>
      <c r="I563" s="79" t="str">
        <f ca="1">IFERROR(__xludf.DUMMYFUNCTION("""COMPUTED_VALUE"""),"Junio")</f>
        <v>Junio</v>
      </c>
      <c r="J563" s="79" t="str">
        <f ca="1">IFERROR(__xludf.DUMMYFUNCTION("""COMPUTED_VALUE"""),"NOS")</f>
        <v>NOS</v>
      </c>
      <c r="K563" s="80"/>
      <c r="L563" s="79" t="str">
        <f ca="1">IFERROR(__xludf.DUMMYFUNCTION("""COMPUTED_VALUE"""),"TRIMESTRE 2")</f>
        <v>TRIMESTRE 2</v>
      </c>
      <c r="M563" s="79" t="str">
        <f ca="1">IFERROR(__xludf.DUMMYFUNCTION("""COMPUTED_VALUE"""),"NIÑOS")</f>
        <v>NIÑOS</v>
      </c>
    </row>
    <row r="564" spans="1:13">
      <c r="A564" s="79" t="str">
        <f ca="1">IFERROR(__xludf.DUMMYFUNCTION("""COMPUTED_VALUE"""),"6.1.4.0")</f>
        <v>6.1.4.0</v>
      </c>
      <c r="B564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4" s="79" t="str">
        <f ca="1">IFERROR(__xludf.DUMMYFUNCTION("""COMPUTED_VALUE"""),"5. Inclusión")</f>
        <v>5. Inclusión</v>
      </c>
      <c r="D564" s="79" t="str">
        <f ca="1">IFERROR(__xludf.DUMMYFUNCTION("""COMPUTED_VALUE"""),"Guadalajara sin Barreras")</f>
        <v>Guadalajara sin Barreras</v>
      </c>
      <c r="E564" s="79" t="str">
        <f ca="1">IFERROR(__xludf.DUMMYFUNCTION("""COMPUTED_VALUE"""),"Desarrollo Integral de Personas Adultas Mayores")</f>
        <v>Desarrollo Integral de Personas Adultas Mayores</v>
      </c>
      <c r="F564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4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4" s="79" t="str">
        <f ca="1">IFERROR(__xludf.DUMMYFUNCTION("""COMPUTED_VALUE"""),"AM Junio")</f>
        <v>AM Junio</v>
      </c>
      <c r="I564" s="79" t="str">
        <f ca="1">IFERROR(__xludf.DUMMYFUNCTION("""COMPUTED_VALUE"""),"Junio")</f>
        <v>Junio</v>
      </c>
      <c r="J564" s="79" t="str">
        <f ca="1">IFERROR(__xludf.DUMMYFUNCTION("""COMPUTED_VALUE"""),"AM")</f>
        <v>AM</v>
      </c>
      <c r="K564" s="80"/>
      <c r="L564" s="79" t="str">
        <f ca="1">IFERROR(__xludf.DUMMYFUNCTION("""COMPUTED_VALUE"""),"TRIMESTRE 2")</f>
        <v>TRIMESTRE 2</v>
      </c>
      <c r="M564" s="79" t="str">
        <f ca="1">IFERROR(__xludf.DUMMYFUNCTION("""COMPUTED_VALUE"""),"ADOLESCENTES MUJERES")</f>
        <v>ADOLESCENTES MUJERES</v>
      </c>
    </row>
    <row r="565" spans="1:13">
      <c r="A565" s="79" t="str">
        <f ca="1">IFERROR(__xludf.DUMMYFUNCTION("""COMPUTED_VALUE"""),"6.1.4.0")</f>
        <v>6.1.4.0</v>
      </c>
      <c r="B565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5" s="79" t="str">
        <f ca="1">IFERROR(__xludf.DUMMYFUNCTION("""COMPUTED_VALUE"""),"5. Inclusión")</f>
        <v>5. Inclusión</v>
      </c>
      <c r="D565" s="79" t="str">
        <f ca="1">IFERROR(__xludf.DUMMYFUNCTION("""COMPUTED_VALUE"""),"Guadalajara sin Barreras")</f>
        <v>Guadalajara sin Barreras</v>
      </c>
      <c r="E565" s="79" t="str">
        <f ca="1">IFERROR(__xludf.DUMMYFUNCTION("""COMPUTED_VALUE"""),"Desarrollo Integral de Personas Adultas Mayores")</f>
        <v>Desarrollo Integral de Personas Adultas Mayores</v>
      </c>
      <c r="F565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5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5" s="79" t="str">
        <f ca="1">IFERROR(__xludf.DUMMYFUNCTION("""COMPUTED_VALUE"""),"AH Junio")</f>
        <v>AH Junio</v>
      </c>
      <c r="I565" s="79" t="str">
        <f ca="1">IFERROR(__xludf.DUMMYFUNCTION("""COMPUTED_VALUE"""),"Junio")</f>
        <v>Junio</v>
      </c>
      <c r="J565" s="79" t="str">
        <f ca="1">IFERROR(__xludf.DUMMYFUNCTION("""COMPUTED_VALUE"""),"AH")</f>
        <v>AH</v>
      </c>
      <c r="K565" s="80"/>
      <c r="L565" s="79" t="str">
        <f ca="1">IFERROR(__xludf.DUMMYFUNCTION("""COMPUTED_VALUE"""),"TRIMESTRE 2")</f>
        <v>TRIMESTRE 2</v>
      </c>
      <c r="M565" s="79" t="str">
        <f ca="1">IFERROR(__xludf.DUMMYFUNCTION("""COMPUTED_VALUE"""),"ADOLESCENTES HOMBRES")</f>
        <v>ADOLESCENTES HOMBRES</v>
      </c>
    </row>
    <row r="566" spans="1:13">
      <c r="A566" s="79" t="str">
        <f ca="1">IFERROR(__xludf.DUMMYFUNCTION("""COMPUTED_VALUE"""),"6.1.4.0")</f>
        <v>6.1.4.0</v>
      </c>
      <c r="B566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6" s="79" t="str">
        <f ca="1">IFERROR(__xludf.DUMMYFUNCTION("""COMPUTED_VALUE"""),"5. Inclusión")</f>
        <v>5. Inclusión</v>
      </c>
      <c r="D566" s="79" t="str">
        <f ca="1">IFERROR(__xludf.DUMMYFUNCTION("""COMPUTED_VALUE"""),"Guadalajara sin Barreras")</f>
        <v>Guadalajara sin Barreras</v>
      </c>
      <c r="E566" s="79" t="str">
        <f ca="1">IFERROR(__xludf.DUMMYFUNCTION("""COMPUTED_VALUE"""),"Desarrollo Integral de Personas Adultas Mayores")</f>
        <v>Desarrollo Integral de Personas Adultas Mayores</v>
      </c>
      <c r="F566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6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6" s="79" t="str">
        <f ca="1">IFERROR(__xludf.DUMMYFUNCTION("""COMPUTED_VALUE"""),"MUJ Junio")</f>
        <v>MUJ Junio</v>
      </c>
      <c r="I566" s="79" t="str">
        <f ca="1">IFERROR(__xludf.DUMMYFUNCTION("""COMPUTED_VALUE"""),"Junio")</f>
        <v>Junio</v>
      </c>
      <c r="J566" s="79" t="str">
        <f ca="1">IFERROR(__xludf.DUMMYFUNCTION("""COMPUTED_VALUE"""),"MUJ")</f>
        <v>MUJ</v>
      </c>
      <c r="K566" s="80"/>
      <c r="L566" s="79" t="str">
        <f ca="1">IFERROR(__xludf.DUMMYFUNCTION("""COMPUTED_VALUE"""),"TRIMESTRE 2")</f>
        <v>TRIMESTRE 2</v>
      </c>
      <c r="M566" s="79" t="str">
        <f ca="1">IFERROR(__xludf.DUMMYFUNCTION("""COMPUTED_VALUE"""),"MUJERES ADULTAS")</f>
        <v>MUJERES ADULTAS</v>
      </c>
    </row>
    <row r="567" spans="1:13">
      <c r="A567" s="79" t="str">
        <f ca="1">IFERROR(__xludf.DUMMYFUNCTION("""COMPUTED_VALUE"""),"6.1.4.0")</f>
        <v>6.1.4.0</v>
      </c>
      <c r="B567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7" s="79" t="str">
        <f ca="1">IFERROR(__xludf.DUMMYFUNCTION("""COMPUTED_VALUE"""),"5. Inclusión")</f>
        <v>5. Inclusión</v>
      </c>
      <c r="D567" s="79" t="str">
        <f ca="1">IFERROR(__xludf.DUMMYFUNCTION("""COMPUTED_VALUE"""),"Guadalajara sin Barreras")</f>
        <v>Guadalajara sin Barreras</v>
      </c>
      <c r="E567" s="79" t="str">
        <f ca="1">IFERROR(__xludf.DUMMYFUNCTION("""COMPUTED_VALUE"""),"Desarrollo Integral de Personas Adultas Mayores")</f>
        <v>Desarrollo Integral de Personas Adultas Mayores</v>
      </c>
      <c r="F567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7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7" s="79" t="str">
        <f ca="1">IFERROR(__xludf.DUMMYFUNCTION("""COMPUTED_VALUE"""),"HOM Junio")</f>
        <v>HOM Junio</v>
      </c>
      <c r="I567" s="79" t="str">
        <f ca="1">IFERROR(__xludf.DUMMYFUNCTION("""COMPUTED_VALUE"""),"Junio")</f>
        <v>Junio</v>
      </c>
      <c r="J567" s="79" t="str">
        <f ca="1">IFERROR(__xludf.DUMMYFUNCTION("""COMPUTED_VALUE"""),"HOM")</f>
        <v>HOM</v>
      </c>
      <c r="K567" s="80"/>
      <c r="L567" s="79" t="str">
        <f ca="1">IFERROR(__xludf.DUMMYFUNCTION("""COMPUTED_VALUE"""),"TRIMESTRE 2")</f>
        <v>TRIMESTRE 2</v>
      </c>
      <c r="M567" s="79" t="str">
        <f ca="1">IFERROR(__xludf.DUMMYFUNCTION("""COMPUTED_VALUE"""),"HOMBRES ADULTOS")</f>
        <v>HOMBRES ADULTOS</v>
      </c>
    </row>
    <row r="568" spans="1:13">
      <c r="A568" s="79" t="str">
        <f ca="1">IFERROR(__xludf.DUMMYFUNCTION("""COMPUTED_VALUE"""),"6.1.4.0")</f>
        <v>6.1.4.0</v>
      </c>
      <c r="B568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8" s="79" t="str">
        <f ca="1">IFERROR(__xludf.DUMMYFUNCTION("""COMPUTED_VALUE"""),"5. Inclusión")</f>
        <v>5. Inclusión</v>
      </c>
      <c r="D568" s="79" t="str">
        <f ca="1">IFERROR(__xludf.DUMMYFUNCTION("""COMPUTED_VALUE"""),"Guadalajara sin Barreras")</f>
        <v>Guadalajara sin Barreras</v>
      </c>
      <c r="E568" s="79" t="str">
        <f ca="1">IFERROR(__xludf.DUMMYFUNCTION("""COMPUTED_VALUE"""),"Desarrollo Integral de Personas Adultas Mayores")</f>
        <v>Desarrollo Integral de Personas Adultas Mayores</v>
      </c>
      <c r="F568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8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8" s="79" t="str">
        <f ca="1">IFERROR(__xludf.DUMMYFUNCTION("""COMPUTED_VALUE"""),"AMM Junio")</f>
        <v>AMM Junio</v>
      </c>
      <c r="I568" s="79" t="str">
        <f ca="1">IFERROR(__xludf.DUMMYFUNCTION("""COMPUTED_VALUE"""),"Junio")</f>
        <v>Junio</v>
      </c>
      <c r="J568" s="79" t="str">
        <f ca="1">IFERROR(__xludf.DUMMYFUNCTION("""COMPUTED_VALUE"""),"AMM")</f>
        <v>AMM</v>
      </c>
      <c r="K568" s="80">
        <f ca="1">IFERROR(__xludf.DUMMYFUNCTION("""COMPUTED_VALUE"""),1811)</f>
        <v>1811</v>
      </c>
      <c r="L568" s="79" t="str">
        <f ca="1">IFERROR(__xludf.DUMMYFUNCTION("""COMPUTED_VALUE"""),"TRIMESTRE 2")</f>
        <v>TRIMESTRE 2</v>
      </c>
      <c r="M568" s="79" t="str">
        <f ca="1">IFERROR(__xludf.DUMMYFUNCTION("""COMPUTED_VALUE"""),"ADULTA MAYOR MUJER")</f>
        <v>ADULTA MAYOR MUJER</v>
      </c>
    </row>
    <row r="569" spans="1:13">
      <c r="A569" s="79" t="str">
        <f ca="1">IFERROR(__xludf.DUMMYFUNCTION("""COMPUTED_VALUE"""),"6.1.4.0")</f>
        <v>6.1.4.0</v>
      </c>
      <c r="B569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69" s="79" t="str">
        <f ca="1">IFERROR(__xludf.DUMMYFUNCTION("""COMPUTED_VALUE"""),"5. Inclusión")</f>
        <v>5. Inclusión</v>
      </c>
      <c r="D569" s="79" t="str">
        <f ca="1">IFERROR(__xludf.DUMMYFUNCTION("""COMPUTED_VALUE"""),"Guadalajara sin Barreras")</f>
        <v>Guadalajara sin Barreras</v>
      </c>
      <c r="E569" s="79" t="str">
        <f ca="1">IFERROR(__xludf.DUMMYFUNCTION("""COMPUTED_VALUE"""),"Desarrollo Integral de Personas Adultas Mayores")</f>
        <v>Desarrollo Integral de Personas Adultas Mayores</v>
      </c>
      <c r="F569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69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69" s="79" t="str">
        <f ca="1">IFERROR(__xludf.DUMMYFUNCTION("""COMPUTED_VALUE"""),"AMH Junio")</f>
        <v>AMH Junio</v>
      </c>
      <c r="I569" s="79" t="str">
        <f ca="1">IFERROR(__xludf.DUMMYFUNCTION("""COMPUTED_VALUE"""),"Junio")</f>
        <v>Junio</v>
      </c>
      <c r="J569" s="79" t="str">
        <f ca="1">IFERROR(__xludf.DUMMYFUNCTION("""COMPUTED_VALUE"""),"AMH")</f>
        <v>AMH</v>
      </c>
      <c r="K569" s="80">
        <f ca="1">IFERROR(__xludf.DUMMYFUNCTION("""COMPUTED_VALUE"""),374)</f>
        <v>374</v>
      </c>
      <c r="L569" s="79" t="str">
        <f ca="1">IFERROR(__xludf.DUMMYFUNCTION("""COMPUTED_VALUE"""),"TRIMESTRE 2")</f>
        <v>TRIMESTRE 2</v>
      </c>
      <c r="M569" s="79" t="str">
        <f ca="1">IFERROR(__xludf.DUMMYFUNCTION("""COMPUTED_VALUE"""),"ADULTO MAYOR HOMBRE")</f>
        <v>ADULTO MAYOR HOMBRE</v>
      </c>
    </row>
    <row r="570" spans="1:13">
      <c r="A570" s="79" t="str">
        <f ca="1">IFERROR(__xludf.DUMMYFUNCTION("""COMPUTED_VALUE"""),"6.1.4.2")</f>
        <v>6.1.4.2</v>
      </c>
      <c r="B570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0" s="79" t="str">
        <f ca="1">IFERROR(__xludf.DUMMYFUNCTION("""COMPUTED_VALUE"""),"5. Inclusión")</f>
        <v>5. Inclusión</v>
      </c>
      <c r="D570" s="79" t="str">
        <f ca="1">IFERROR(__xludf.DUMMYFUNCTION("""COMPUTED_VALUE"""),"Guadalajara sin Barreras")</f>
        <v>Guadalajara sin Barreras</v>
      </c>
      <c r="E570" s="79" t="str">
        <f ca="1">IFERROR(__xludf.DUMMYFUNCTION("""COMPUTED_VALUE"""),"Desarrollo Integral de Personas Adultas Mayores")</f>
        <v>Desarrollo Integral de Personas Adultas Mayores</v>
      </c>
      <c r="F570" s="79" t="str">
        <f ca="1">IFERROR(__xludf.DUMMYFUNCTION("""COMPUTED_VALUE"""),"A2C4. Raciones alimenticias entregadas en el comedor de DIPAM en 2024")</f>
        <v>A2C4. Raciones alimenticias entregadas en el comedor de DIPAM en 2024</v>
      </c>
      <c r="G570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0" s="79" t="str">
        <f ca="1">IFERROR(__xludf.DUMMYFUNCTION("""COMPUTED_VALUE"""),"NAS Junio")</f>
        <v>NAS Junio</v>
      </c>
      <c r="I570" s="79" t="str">
        <f ca="1">IFERROR(__xludf.DUMMYFUNCTION("""COMPUTED_VALUE"""),"Junio")</f>
        <v>Junio</v>
      </c>
      <c r="J570" s="79" t="str">
        <f ca="1">IFERROR(__xludf.DUMMYFUNCTION("""COMPUTED_VALUE"""),"NAS")</f>
        <v>NAS</v>
      </c>
      <c r="K570" s="80"/>
      <c r="L570" s="79" t="str">
        <f ca="1">IFERROR(__xludf.DUMMYFUNCTION("""COMPUTED_VALUE"""),"TRIMESTRE 2")</f>
        <v>TRIMESTRE 2</v>
      </c>
      <c r="M570" s="79" t="str">
        <f ca="1">IFERROR(__xludf.DUMMYFUNCTION("""COMPUTED_VALUE"""),"NIÑAS")</f>
        <v>NIÑAS</v>
      </c>
    </row>
    <row r="571" spans="1:13">
      <c r="A571" s="79" t="str">
        <f ca="1">IFERROR(__xludf.DUMMYFUNCTION("""COMPUTED_VALUE"""),"6.1.4.2")</f>
        <v>6.1.4.2</v>
      </c>
      <c r="B571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1" s="79" t="str">
        <f ca="1">IFERROR(__xludf.DUMMYFUNCTION("""COMPUTED_VALUE"""),"5. Inclusión")</f>
        <v>5. Inclusión</v>
      </c>
      <c r="D571" s="79" t="str">
        <f ca="1">IFERROR(__xludf.DUMMYFUNCTION("""COMPUTED_VALUE"""),"Guadalajara sin Barreras")</f>
        <v>Guadalajara sin Barreras</v>
      </c>
      <c r="E571" s="79" t="str">
        <f ca="1">IFERROR(__xludf.DUMMYFUNCTION("""COMPUTED_VALUE"""),"Desarrollo Integral de Personas Adultas Mayores")</f>
        <v>Desarrollo Integral de Personas Adultas Mayores</v>
      </c>
      <c r="F571" s="79" t="str">
        <f ca="1">IFERROR(__xludf.DUMMYFUNCTION("""COMPUTED_VALUE"""),"A2C4. Raciones alimenticias entregadas en el comedor de DIPAM en 2024")</f>
        <v>A2C4. Raciones alimenticias entregadas en el comedor de DIPAM en 2024</v>
      </c>
      <c r="G571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1" s="79" t="str">
        <f ca="1">IFERROR(__xludf.DUMMYFUNCTION("""COMPUTED_VALUE"""),"NOS Junio")</f>
        <v>NOS Junio</v>
      </c>
      <c r="I571" s="79" t="str">
        <f ca="1">IFERROR(__xludf.DUMMYFUNCTION("""COMPUTED_VALUE"""),"Junio")</f>
        <v>Junio</v>
      </c>
      <c r="J571" s="79" t="str">
        <f ca="1">IFERROR(__xludf.DUMMYFUNCTION("""COMPUTED_VALUE"""),"NOS")</f>
        <v>NOS</v>
      </c>
      <c r="K571" s="80"/>
      <c r="L571" s="79" t="str">
        <f ca="1">IFERROR(__xludf.DUMMYFUNCTION("""COMPUTED_VALUE"""),"TRIMESTRE 2")</f>
        <v>TRIMESTRE 2</v>
      </c>
      <c r="M571" s="79" t="str">
        <f ca="1">IFERROR(__xludf.DUMMYFUNCTION("""COMPUTED_VALUE"""),"NIÑOS")</f>
        <v>NIÑOS</v>
      </c>
    </row>
    <row r="572" spans="1:13">
      <c r="A572" s="79" t="str">
        <f ca="1">IFERROR(__xludf.DUMMYFUNCTION("""COMPUTED_VALUE"""),"6.1.4.2")</f>
        <v>6.1.4.2</v>
      </c>
      <c r="B572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2" s="79" t="str">
        <f ca="1">IFERROR(__xludf.DUMMYFUNCTION("""COMPUTED_VALUE"""),"5. Inclusión")</f>
        <v>5. Inclusión</v>
      </c>
      <c r="D572" s="79" t="str">
        <f ca="1">IFERROR(__xludf.DUMMYFUNCTION("""COMPUTED_VALUE"""),"Guadalajara sin Barreras")</f>
        <v>Guadalajara sin Barreras</v>
      </c>
      <c r="E572" s="79" t="str">
        <f ca="1">IFERROR(__xludf.DUMMYFUNCTION("""COMPUTED_VALUE"""),"Desarrollo Integral de Personas Adultas Mayores")</f>
        <v>Desarrollo Integral de Personas Adultas Mayores</v>
      </c>
      <c r="F572" s="79" t="str">
        <f ca="1">IFERROR(__xludf.DUMMYFUNCTION("""COMPUTED_VALUE"""),"A2C4. Raciones alimenticias entregadas en el comedor de DIPAM en 2024")</f>
        <v>A2C4. Raciones alimenticias entregadas en el comedor de DIPAM en 2024</v>
      </c>
      <c r="G572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2" s="79" t="str">
        <f ca="1">IFERROR(__xludf.DUMMYFUNCTION("""COMPUTED_VALUE"""),"AM Junio")</f>
        <v>AM Junio</v>
      </c>
      <c r="I572" s="79" t="str">
        <f ca="1">IFERROR(__xludf.DUMMYFUNCTION("""COMPUTED_VALUE"""),"Junio")</f>
        <v>Junio</v>
      </c>
      <c r="J572" s="79" t="str">
        <f ca="1">IFERROR(__xludf.DUMMYFUNCTION("""COMPUTED_VALUE"""),"AM")</f>
        <v>AM</v>
      </c>
      <c r="K572" s="80"/>
      <c r="L572" s="79" t="str">
        <f ca="1">IFERROR(__xludf.DUMMYFUNCTION("""COMPUTED_VALUE"""),"TRIMESTRE 2")</f>
        <v>TRIMESTRE 2</v>
      </c>
      <c r="M572" s="79" t="str">
        <f ca="1">IFERROR(__xludf.DUMMYFUNCTION("""COMPUTED_VALUE"""),"ADOLESCENTES MUJERES")</f>
        <v>ADOLESCENTES MUJERES</v>
      </c>
    </row>
    <row r="573" spans="1:13">
      <c r="A573" s="79" t="str">
        <f ca="1">IFERROR(__xludf.DUMMYFUNCTION("""COMPUTED_VALUE"""),"6.1.4.2")</f>
        <v>6.1.4.2</v>
      </c>
      <c r="B573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3" s="79" t="str">
        <f ca="1">IFERROR(__xludf.DUMMYFUNCTION("""COMPUTED_VALUE"""),"5. Inclusión")</f>
        <v>5. Inclusión</v>
      </c>
      <c r="D573" s="79" t="str">
        <f ca="1">IFERROR(__xludf.DUMMYFUNCTION("""COMPUTED_VALUE"""),"Guadalajara sin Barreras")</f>
        <v>Guadalajara sin Barreras</v>
      </c>
      <c r="E573" s="79" t="str">
        <f ca="1">IFERROR(__xludf.DUMMYFUNCTION("""COMPUTED_VALUE"""),"Desarrollo Integral de Personas Adultas Mayores")</f>
        <v>Desarrollo Integral de Personas Adultas Mayores</v>
      </c>
      <c r="F573" s="79" t="str">
        <f ca="1">IFERROR(__xludf.DUMMYFUNCTION("""COMPUTED_VALUE"""),"A2C4. Raciones alimenticias entregadas en el comedor de DIPAM en 2024")</f>
        <v>A2C4. Raciones alimenticias entregadas en el comedor de DIPAM en 2024</v>
      </c>
      <c r="G573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3" s="79" t="str">
        <f ca="1">IFERROR(__xludf.DUMMYFUNCTION("""COMPUTED_VALUE"""),"AH Junio")</f>
        <v>AH Junio</v>
      </c>
      <c r="I573" s="79" t="str">
        <f ca="1">IFERROR(__xludf.DUMMYFUNCTION("""COMPUTED_VALUE"""),"Junio")</f>
        <v>Junio</v>
      </c>
      <c r="J573" s="79" t="str">
        <f ca="1">IFERROR(__xludf.DUMMYFUNCTION("""COMPUTED_VALUE"""),"AH")</f>
        <v>AH</v>
      </c>
      <c r="K573" s="80"/>
      <c r="L573" s="79" t="str">
        <f ca="1">IFERROR(__xludf.DUMMYFUNCTION("""COMPUTED_VALUE"""),"TRIMESTRE 2")</f>
        <v>TRIMESTRE 2</v>
      </c>
      <c r="M573" s="79" t="str">
        <f ca="1">IFERROR(__xludf.DUMMYFUNCTION("""COMPUTED_VALUE"""),"ADOLESCENTES HOMBRES")</f>
        <v>ADOLESCENTES HOMBRES</v>
      </c>
    </row>
    <row r="574" spans="1:13">
      <c r="A574" s="79" t="str">
        <f ca="1">IFERROR(__xludf.DUMMYFUNCTION("""COMPUTED_VALUE"""),"6.1.4.2")</f>
        <v>6.1.4.2</v>
      </c>
      <c r="B574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4" s="79" t="str">
        <f ca="1">IFERROR(__xludf.DUMMYFUNCTION("""COMPUTED_VALUE"""),"5. Inclusión")</f>
        <v>5. Inclusión</v>
      </c>
      <c r="D574" s="79" t="str">
        <f ca="1">IFERROR(__xludf.DUMMYFUNCTION("""COMPUTED_VALUE"""),"Guadalajara sin Barreras")</f>
        <v>Guadalajara sin Barreras</v>
      </c>
      <c r="E574" s="79" t="str">
        <f ca="1">IFERROR(__xludf.DUMMYFUNCTION("""COMPUTED_VALUE"""),"Desarrollo Integral de Personas Adultas Mayores")</f>
        <v>Desarrollo Integral de Personas Adultas Mayores</v>
      </c>
      <c r="F574" s="79" t="str">
        <f ca="1">IFERROR(__xludf.DUMMYFUNCTION("""COMPUTED_VALUE"""),"A2C4. Raciones alimenticias entregadas en el comedor de DIPAM en 2024")</f>
        <v>A2C4. Raciones alimenticias entregadas en el comedor de DIPAM en 2024</v>
      </c>
      <c r="G574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4" s="79" t="str">
        <f ca="1">IFERROR(__xludf.DUMMYFUNCTION("""COMPUTED_VALUE"""),"MUJ Junio")</f>
        <v>MUJ Junio</v>
      </c>
      <c r="I574" s="79" t="str">
        <f ca="1">IFERROR(__xludf.DUMMYFUNCTION("""COMPUTED_VALUE"""),"Junio")</f>
        <v>Junio</v>
      </c>
      <c r="J574" s="79" t="str">
        <f ca="1">IFERROR(__xludf.DUMMYFUNCTION("""COMPUTED_VALUE"""),"MUJ")</f>
        <v>MUJ</v>
      </c>
      <c r="K574" s="80"/>
      <c r="L574" s="79" t="str">
        <f ca="1">IFERROR(__xludf.DUMMYFUNCTION("""COMPUTED_VALUE"""),"TRIMESTRE 2")</f>
        <v>TRIMESTRE 2</v>
      </c>
      <c r="M574" s="79" t="str">
        <f ca="1">IFERROR(__xludf.DUMMYFUNCTION("""COMPUTED_VALUE"""),"MUJERES ADULTAS")</f>
        <v>MUJERES ADULTAS</v>
      </c>
    </row>
    <row r="575" spans="1:13">
      <c r="A575" s="79" t="str">
        <f ca="1">IFERROR(__xludf.DUMMYFUNCTION("""COMPUTED_VALUE"""),"6.1.4.2")</f>
        <v>6.1.4.2</v>
      </c>
      <c r="B575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5" s="79" t="str">
        <f ca="1">IFERROR(__xludf.DUMMYFUNCTION("""COMPUTED_VALUE"""),"5. Inclusión")</f>
        <v>5. Inclusión</v>
      </c>
      <c r="D575" s="79" t="str">
        <f ca="1">IFERROR(__xludf.DUMMYFUNCTION("""COMPUTED_VALUE"""),"Guadalajara sin Barreras")</f>
        <v>Guadalajara sin Barreras</v>
      </c>
      <c r="E575" s="79" t="str">
        <f ca="1">IFERROR(__xludf.DUMMYFUNCTION("""COMPUTED_VALUE"""),"Desarrollo Integral de Personas Adultas Mayores")</f>
        <v>Desarrollo Integral de Personas Adultas Mayores</v>
      </c>
      <c r="F575" s="79" t="str">
        <f ca="1">IFERROR(__xludf.DUMMYFUNCTION("""COMPUTED_VALUE"""),"A2C4. Raciones alimenticias entregadas en el comedor de DIPAM en 2024")</f>
        <v>A2C4. Raciones alimenticias entregadas en el comedor de DIPAM en 2024</v>
      </c>
      <c r="G575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5" s="79" t="str">
        <f ca="1">IFERROR(__xludf.DUMMYFUNCTION("""COMPUTED_VALUE"""),"HOM Junio")</f>
        <v>HOM Junio</v>
      </c>
      <c r="I575" s="79" t="str">
        <f ca="1">IFERROR(__xludf.DUMMYFUNCTION("""COMPUTED_VALUE"""),"Junio")</f>
        <v>Junio</v>
      </c>
      <c r="J575" s="79" t="str">
        <f ca="1">IFERROR(__xludf.DUMMYFUNCTION("""COMPUTED_VALUE"""),"HOM")</f>
        <v>HOM</v>
      </c>
      <c r="K575" s="80"/>
      <c r="L575" s="79" t="str">
        <f ca="1">IFERROR(__xludf.DUMMYFUNCTION("""COMPUTED_VALUE"""),"TRIMESTRE 2")</f>
        <v>TRIMESTRE 2</v>
      </c>
      <c r="M575" s="79" t="str">
        <f ca="1">IFERROR(__xludf.DUMMYFUNCTION("""COMPUTED_VALUE"""),"HOMBRES ADULTOS")</f>
        <v>HOMBRES ADULTOS</v>
      </c>
    </row>
    <row r="576" spans="1:13">
      <c r="A576" s="79" t="str">
        <f ca="1">IFERROR(__xludf.DUMMYFUNCTION("""COMPUTED_VALUE"""),"6.1.4.2")</f>
        <v>6.1.4.2</v>
      </c>
      <c r="B576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6" s="79" t="str">
        <f ca="1">IFERROR(__xludf.DUMMYFUNCTION("""COMPUTED_VALUE"""),"5. Inclusión")</f>
        <v>5. Inclusión</v>
      </c>
      <c r="D576" s="79" t="str">
        <f ca="1">IFERROR(__xludf.DUMMYFUNCTION("""COMPUTED_VALUE"""),"Guadalajara sin Barreras")</f>
        <v>Guadalajara sin Barreras</v>
      </c>
      <c r="E576" s="79" t="str">
        <f ca="1">IFERROR(__xludf.DUMMYFUNCTION("""COMPUTED_VALUE"""),"Desarrollo Integral de Personas Adultas Mayores")</f>
        <v>Desarrollo Integral de Personas Adultas Mayores</v>
      </c>
      <c r="F576" s="79" t="str">
        <f ca="1">IFERROR(__xludf.DUMMYFUNCTION("""COMPUTED_VALUE"""),"A2C4. Raciones alimenticias entregadas en el comedor de DIPAM en 2024")</f>
        <v>A2C4. Raciones alimenticias entregadas en el comedor de DIPAM en 2024</v>
      </c>
      <c r="G576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6" s="79" t="str">
        <f ca="1">IFERROR(__xludf.DUMMYFUNCTION("""COMPUTED_VALUE"""),"AMM Junio")</f>
        <v>AMM Junio</v>
      </c>
      <c r="I576" s="79" t="str">
        <f ca="1">IFERROR(__xludf.DUMMYFUNCTION("""COMPUTED_VALUE"""),"Junio")</f>
        <v>Junio</v>
      </c>
      <c r="J576" s="79" t="str">
        <f ca="1">IFERROR(__xludf.DUMMYFUNCTION("""COMPUTED_VALUE"""),"AMM")</f>
        <v>AMM</v>
      </c>
      <c r="K576" s="80">
        <f ca="1">IFERROR(__xludf.DUMMYFUNCTION("""COMPUTED_VALUE"""),1240)</f>
        <v>1240</v>
      </c>
      <c r="L576" s="79" t="str">
        <f ca="1">IFERROR(__xludf.DUMMYFUNCTION("""COMPUTED_VALUE"""),"TRIMESTRE 2")</f>
        <v>TRIMESTRE 2</v>
      </c>
      <c r="M576" s="79" t="str">
        <f ca="1">IFERROR(__xludf.DUMMYFUNCTION("""COMPUTED_VALUE"""),"ADULTA MAYOR MUJER")</f>
        <v>ADULTA MAYOR MUJER</v>
      </c>
    </row>
    <row r="577" spans="1:26">
      <c r="A577" s="79" t="str">
        <f ca="1">IFERROR(__xludf.DUMMYFUNCTION("""COMPUTED_VALUE"""),"6.1.4.2")</f>
        <v>6.1.4.2</v>
      </c>
      <c r="B577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77" s="79" t="str">
        <f ca="1">IFERROR(__xludf.DUMMYFUNCTION("""COMPUTED_VALUE"""),"5. Inclusión")</f>
        <v>5. Inclusión</v>
      </c>
      <c r="D577" s="79" t="str">
        <f ca="1">IFERROR(__xludf.DUMMYFUNCTION("""COMPUTED_VALUE"""),"Guadalajara sin Barreras")</f>
        <v>Guadalajara sin Barreras</v>
      </c>
      <c r="E577" s="79" t="str">
        <f ca="1">IFERROR(__xludf.DUMMYFUNCTION("""COMPUTED_VALUE"""),"Desarrollo Integral de Personas Adultas Mayores")</f>
        <v>Desarrollo Integral de Personas Adultas Mayores</v>
      </c>
      <c r="F577" s="79" t="str">
        <f ca="1">IFERROR(__xludf.DUMMYFUNCTION("""COMPUTED_VALUE"""),"A2C4. Raciones alimenticias entregadas en el comedor de DIPAM en 2024")</f>
        <v>A2C4. Raciones alimenticias entregadas en el comedor de DIPAM en 2024</v>
      </c>
      <c r="G577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77" s="79" t="str">
        <f ca="1">IFERROR(__xludf.DUMMYFUNCTION("""COMPUTED_VALUE"""),"AMH Junio")</f>
        <v>AMH Junio</v>
      </c>
      <c r="I577" s="79" t="str">
        <f ca="1">IFERROR(__xludf.DUMMYFUNCTION("""COMPUTED_VALUE"""),"Junio")</f>
        <v>Junio</v>
      </c>
      <c r="J577" s="79" t="str">
        <f ca="1">IFERROR(__xludf.DUMMYFUNCTION("""COMPUTED_VALUE"""),"AMH")</f>
        <v>AMH</v>
      </c>
      <c r="K577" s="80">
        <f ca="1">IFERROR(__xludf.DUMMYFUNCTION("""COMPUTED_VALUE"""),1000)</f>
        <v>1000</v>
      </c>
      <c r="L577" s="79" t="str">
        <f ca="1">IFERROR(__xludf.DUMMYFUNCTION("""COMPUTED_VALUE"""),"TRIMESTRE 2")</f>
        <v>TRIMESTRE 2</v>
      </c>
      <c r="M577" s="79" t="str">
        <f ca="1">IFERROR(__xludf.DUMMYFUNCTION("""COMPUTED_VALUE"""),"ADULTO MAYOR HOMBRE")</f>
        <v>ADULTO MAYOR HOMBRE</v>
      </c>
    </row>
    <row r="578" spans="1:26">
      <c r="A578" s="81" t="str">
        <f ca="1">IFERROR(__xludf.DUMMYFUNCTION("""COMPUTED_VALUE"""),"6.1.4.0")</f>
        <v>6.1.4.0</v>
      </c>
      <c r="B578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78" s="81" t="str">
        <f ca="1">IFERROR(__xludf.DUMMYFUNCTION("""COMPUTED_VALUE"""),"5. Inclusión")</f>
        <v>5. Inclusión</v>
      </c>
      <c r="D578" s="81" t="str">
        <f ca="1">IFERROR(__xludf.DUMMYFUNCTION("""COMPUTED_VALUE"""),"Guadalajara sin Barreras")</f>
        <v>Guadalajara sin Barreras</v>
      </c>
      <c r="E578" s="81" t="str">
        <f ca="1">IFERROR(__xludf.DUMMYFUNCTION("""COMPUTED_VALUE"""),"Desarrollo Integral de Personas Adultas Mayores")</f>
        <v>Desarrollo Integral de Personas Adultas Mayores</v>
      </c>
      <c r="F578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78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78" s="81" t="str">
        <f ca="1">IFERROR(__xludf.DUMMYFUNCTION("""COMPUTED_VALUE"""),"NAS Julio")</f>
        <v>NAS Julio</v>
      </c>
      <c r="I578" s="81" t="str">
        <f ca="1">IFERROR(__xludf.DUMMYFUNCTION("""COMPUTED_VALUE"""),"Julio")</f>
        <v>Julio</v>
      </c>
      <c r="J578" s="81" t="str">
        <f ca="1">IFERROR(__xludf.DUMMYFUNCTION("""COMPUTED_VALUE"""),"NAS")</f>
        <v>NAS</v>
      </c>
      <c r="K578" s="80"/>
      <c r="L578" s="81" t="str">
        <f ca="1">IFERROR(__xludf.DUMMYFUNCTION("""COMPUTED_VALUE"""),"TRIMESTRE 3")</f>
        <v>TRIMESTRE 3</v>
      </c>
      <c r="M578" s="81" t="str">
        <f ca="1">IFERROR(__xludf.DUMMYFUNCTION("""COMPUTED_VALUE"""),"NIÑAS")</f>
        <v>NIÑAS</v>
      </c>
      <c r="N578" s="81"/>
      <c r="O578" s="81"/>
      <c r="P578" s="81"/>
      <c r="Q578" s="81"/>
      <c r="R578" s="81"/>
      <c r="S578" s="81"/>
      <c r="T578" s="81"/>
      <c r="U578" s="81"/>
      <c r="V578" s="81"/>
      <c r="W578" s="81"/>
      <c r="X578" s="81"/>
      <c r="Y578" s="81"/>
      <c r="Z578" s="81"/>
    </row>
    <row r="579" spans="1:26">
      <c r="A579" s="81" t="str">
        <f ca="1">IFERROR(__xludf.DUMMYFUNCTION("""COMPUTED_VALUE"""),"6.1.4.0")</f>
        <v>6.1.4.0</v>
      </c>
      <c r="B579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79" s="81" t="str">
        <f ca="1">IFERROR(__xludf.DUMMYFUNCTION("""COMPUTED_VALUE"""),"5. Inclusión")</f>
        <v>5. Inclusión</v>
      </c>
      <c r="D579" s="81" t="str">
        <f ca="1">IFERROR(__xludf.DUMMYFUNCTION("""COMPUTED_VALUE"""),"Guadalajara sin Barreras")</f>
        <v>Guadalajara sin Barreras</v>
      </c>
      <c r="E579" s="81" t="str">
        <f ca="1">IFERROR(__xludf.DUMMYFUNCTION("""COMPUTED_VALUE"""),"Desarrollo Integral de Personas Adultas Mayores")</f>
        <v>Desarrollo Integral de Personas Adultas Mayores</v>
      </c>
      <c r="F579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79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79" s="81" t="str">
        <f ca="1">IFERROR(__xludf.DUMMYFUNCTION("""COMPUTED_VALUE"""),"NOS Julio")</f>
        <v>NOS Julio</v>
      </c>
      <c r="I579" s="81" t="str">
        <f ca="1">IFERROR(__xludf.DUMMYFUNCTION("""COMPUTED_VALUE"""),"Julio")</f>
        <v>Julio</v>
      </c>
      <c r="J579" s="81" t="str">
        <f ca="1">IFERROR(__xludf.DUMMYFUNCTION("""COMPUTED_VALUE"""),"NOS")</f>
        <v>NOS</v>
      </c>
      <c r="K579" s="80"/>
      <c r="L579" s="81" t="str">
        <f ca="1">IFERROR(__xludf.DUMMYFUNCTION("""COMPUTED_VALUE"""),"TRIMESTRE 3")</f>
        <v>TRIMESTRE 3</v>
      </c>
      <c r="M579" s="81" t="str">
        <f ca="1">IFERROR(__xludf.DUMMYFUNCTION("""COMPUTED_VALUE"""),"NIÑOS")</f>
        <v>NIÑOS</v>
      </c>
      <c r="N579" s="81"/>
      <c r="O579" s="81"/>
      <c r="P579" s="81"/>
      <c r="Q579" s="81"/>
      <c r="R579" s="81"/>
      <c r="S579" s="81"/>
      <c r="T579" s="81"/>
      <c r="U579" s="81"/>
      <c r="V579" s="81"/>
      <c r="W579" s="81"/>
      <c r="X579" s="81"/>
      <c r="Y579" s="81"/>
      <c r="Z579" s="81"/>
    </row>
    <row r="580" spans="1:26">
      <c r="A580" s="81" t="str">
        <f ca="1">IFERROR(__xludf.DUMMYFUNCTION("""COMPUTED_VALUE"""),"6.1.4.0")</f>
        <v>6.1.4.0</v>
      </c>
      <c r="B580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80" s="81" t="str">
        <f ca="1">IFERROR(__xludf.DUMMYFUNCTION("""COMPUTED_VALUE"""),"5. Inclusión")</f>
        <v>5. Inclusión</v>
      </c>
      <c r="D580" s="81" t="str">
        <f ca="1">IFERROR(__xludf.DUMMYFUNCTION("""COMPUTED_VALUE"""),"Guadalajara sin Barreras")</f>
        <v>Guadalajara sin Barreras</v>
      </c>
      <c r="E580" s="81" t="str">
        <f ca="1">IFERROR(__xludf.DUMMYFUNCTION("""COMPUTED_VALUE"""),"Desarrollo Integral de Personas Adultas Mayores")</f>
        <v>Desarrollo Integral de Personas Adultas Mayores</v>
      </c>
      <c r="F580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80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80" s="81" t="str">
        <f ca="1">IFERROR(__xludf.DUMMYFUNCTION("""COMPUTED_VALUE"""),"AM Julio")</f>
        <v>AM Julio</v>
      </c>
      <c r="I580" s="81" t="str">
        <f ca="1">IFERROR(__xludf.DUMMYFUNCTION("""COMPUTED_VALUE"""),"Julio")</f>
        <v>Julio</v>
      </c>
      <c r="J580" s="81" t="str">
        <f ca="1">IFERROR(__xludf.DUMMYFUNCTION("""COMPUTED_VALUE"""),"AM")</f>
        <v>AM</v>
      </c>
      <c r="K580" s="80"/>
      <c r="L580" s="81" t="str">
        <f ca="1">IFERROR(__xludf.DUMMYFUNCTION("""COMPUTED_VALUE"""),"TRIMESTRE 3")</f>
        <v>TRIMESTRE 3</v>
      </c>
      <c r="M580" s="81" t="str">
        <f ca="1">IFERROR(__xludf.DUMMYFUNCTION("""COMPUTED_VALUE"""),"ADOLESCENTES MUJERES")</f>
        <v>ADOLESCENTES MUJERES</v>
      </c>
      <c r="N580" s="81"/>
      <c r="O580" s="81"/>
      <c r="P580" s="81"/>
      <c r="Q580" s="81"/>
      <c r="R580" s="81"/>
      <c r="S580" s="81"/>
      <c r="T580" s="81"/>
      <c r="U580" s="81"/>
      <c r="V580" s="81"/>
      <c r="W580" s="81"/>
      <c r="X580" s="81"/>
      <c r="Y580" s="81"/>
      <c r="Z580" s="81"/>
    </row>
    <row r="581" spans="1:26">
      <c r="A581" s="81" t="str">
        <f ca="1">IFERROR(__xludf.DUMMYFUNCTION("""COMPUTED_VALUE"""),"6.1.4.0")</f>
        <v>6.1.4.0</v>
      </c>
      <c r="B581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81" s="81" t="str">
        <f ca="1">IFERROR(__xludf.DUMMYFUNCTION("""COMPUTED_VALUE"""),"5. Inclusión")</f>
        <v>5. Inclusión</v>
      </c>
      <c r="D581" s="81" t="str">
        <f ca="1">IFERROR(__xludf.DUMMYFUNCTION("""COMPUTED_VALUE"""),"Guadalajara sin Barreras")</f>
        <v>Guadalajara sin Barreras</v>
      </c>
      <c r="E581" s="81" t="str">
        <f ca="1">IFERROR(__xludf.DUMMYFUNCTION("""COMPUTED_VALUE"""),"Desarrollo Integral de Personas Adultas Mayores")</f>
        <v>Desarrollo Integral de Personas Adultas Mayores</v>
      </c>
      <c r="F581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81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81" s="81" t="str">
        <f ca="1">IFERROR(__xludf.DUMMYFUNCTION("""COMPUTED_VALUE"""),"AH Julio")</f>
        <v>AH Julio</v>
      </c>
      <c r="I581" s="81" t="str">
        <f ca="1">IFERROR(__xludf.DUMMYFUNCTION("""COMPUTED_VALUE"""),"Julio")</f>
        <v>Julio</v>
      </c>
      <c r="J581" s="81" t="str">
        <f ca="1">IFERROR(__xludf.DUMMYFUNCTION("""COMPUTED_VALUE"""),"AH")</f>
        <v>AH</v>
      </c>
      <c r="K581" s="80"/>
      <c r="L581" s="81" t="str">
        <f ca="1">IFERROR(__xludf.DUMMYFUNCTION("""COMPUTED_VALUE"""),"TRIMESTRE 3")</f>
        <v>TRIMESTRE 3</v>
      </c>
      <c r="M581" s="81" t="str">
        <f ca="1">IFERROR(__xludf.DUMMYFUNCTION("""COMPUTED_VALUE"""),"ADOLESCENTES HOMBRES")</f>
        <v>ADOLESCENTES HOMBRES</v>
      </c>
      <c r="N581" s="81"/>
      <c r="O581" s="81"/>
      <c r="P581" s="81"/>
      <c r="Q581" s="81"/>
      <c r="R581" s="81"/>
      <c r="S581" s="81"/>
      <c r="T581" s="81"/>
      <c r="U581" s="81"/>
      <c r="V581" s="81"/>
      <c r="W581" s="81"/>
      <c r="X581" s="81"/>
      <c r="Y581" s="81"/>
      <c r="Z581" s="81"/>
    </row>
    <row r="582" spans="1:26">
      <c r="A582" s="81" t="str">
        <f ca="1">IFERROR(__xludf.DUMMYFUNCTION("""COMPUTED_VALUE"""),"6.1.4.0")</f>
        <v>6.1.4.0</v>
      </c>
      <c r="B582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82" s="81" t="str">
        <f ca="1">IFERROR(__xludf.DUMMYFUNCTION("""COMPUTED_VALUE"""),"5. Inclusión")</f>
        <v>5. Inclusión</v>
      </c>
      <c r="D582" s="81" t="str">
        <f ca="1">IFERROR(__xludf.DUMMYFUNCTION("""COMPUTED_VALUE"""),"Guadalajara sin Barreras")</f>
        <v>Guadalajara sin Barreras</v>
      </c>
      <c r="E582" s="81" t="str">
        <f ca="1">IFERROR(__xludf.DUMMYFUNCTION("""COMPUTED_VALUE"""),"Desarrollo Integral de Personas Adultas Mayores")</f>
        <v>Desarrollo Integral de Personas Adultas Mayores</v>
      </c>
      <c r="F582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82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82" s="81" t="str">
        <f ca="1">IFERROR(__xludf.DUMMYFUNCTION("""COMPUTED_VALUE"""),"MUJ Julio")</f>
        <v>MUJ Julio</v>
      </c>
      <c r="I582" s="81" t="str">
        <f ca="1">IFERROR(__xludf.DUMMYFUNCTION("""COMPUTED_VALUE"""),"Julio")</f>
        <v>Julio</v>
      </c>
      <c r="J582" s="81" t="str">
        <f ca="1">IFERROR(__xludf.DUMMYFUNCTION("""COMPUTED_VALUE"""),"MUJ")</f>
        <v>MUJ</v>
      </c>
      <c r="K582" s="80"/>
      <c r="L582" s="81" t="str">
        <f ca="1">IFERROR(__xludf.DUMMYFUNCTION("""COMPUTED_VALUE"""),"TRIMESTRE 3")</f>
        <v>TRIMESTRE 3</v>
      </c>
      <c r="M582" s="81" t="str">
        <f ca="1">IFERROR(__xludf.DUMMYFUNCTION("""COMPUTED_VALUE"""),"MUJERES ADULTAS")</f>
        <v>MUJERES ADULTAS</v>
      </c>
      <c r="N582" s="81"/>
      <c r="O582" s="81"/>
      <c r="P582" s="81"/>
      <c r="Q582" s="81"/>
      <c r="R582" s="81"/>
      <c r="S582" s="81"/>
      <c r="T582" s="81"/>
      <c r="U582" s="81"/>
      <c r="V582" s="81"/>
      <c r="W582" s="81"/>
      <c r="X582" s="81"/>
      <c r="Y582" s="81"/>
      <c r="Z582" s="81"/>
    </row>
    <row r="583" spans="1:26">
      <c r="A583" s="81" t="str">
        <f ca="1">IFERROR(__xludf.DUMMYFUNCTION("""COMPUTED_VALUE"""),"6.1.4.0")</f>
        <v>6.1.4.0</v>
      </c>
      <c r="B583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83" s="81" t="str">
        <f ca="1">IFERROR(__xludf.DUMMYFUNCTION("""COMPUTED_VALUE"""),"5. Inclusión")</f>
        <v>5. Inclusión</v>
      </c>
      <c r="D583" s="81" t="str">
        <f ca="1">IFERROR(__xludf.DUMMYFUNCTION("""COMPUTED_VALUE"""),"Guadalajara sin Barreras")</f>
        <v>Guadalajara sin Barreras</v>
      </c>
      <c r="E583" s="81" t="str">
        <f ca="1">IFERROR(__xludf.DUMMYFUNCTION("""COMPUTED_VALUE"""),"Desarrollo Integral de Personas Adultas Mayores")</f>
        <v>Desarrollo Integral de Personas Adultas Mayores</v>
      </c>
      <c r="F583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83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83" s="81" t="str">
        <f ca="1">IFERROR(__xludf.DUMMYFUNCTION("""COMPUTED_VALUE"""),"HOM Julio")</f>
        <v>HOM Julio</v>
      </c>
      <c r="I583" s="81" t="str">
        <f ca="1">IFERROR(__xludf.DUMMYFUNCTION("""COMPUTED_VALUE"""),"Julio")</f>
        <v>Julio</v>
      </c>
      <c r="J583" s="81" t="str">
        <f ca="1">IFERROR(__xludf.DUMMYFUNCTION("""COMPUTED_VALUE"""),"HOM")</f>
        <v>HOM</v>
      </c>
      <c r="K583" s="80"/>
      <c r="L583" s="81" t="str">
        <f ca="1">IFERROR(__xludf.DUMMYFUNCTION("""COMPUTED_VALUE"""),"TRIMESTRE 3")</f>
        <v>TRIMESTRE 3</v>
      </c>
      <c r="M583" s="81" t="str">
        <f ca="1">IFERROR(__xludf.DUMMYFUNCTION("""COMPUTED_VALUE"""),"HOMBRES ADULTOS")</f>
        <v>HOMBRES ADULTOS</v>
      </c>
      <c r="N583" s="81"/>
      <c r="O583" s="81"/>
      <c r="P583" s="81"/>
      <c r="Q583" s="81"/>
      <c r="R583" s="81"/>
      <c r="S583" s="81"/>
      <c r="T583" s="81"/>
      <c r="U583" s="81"/>
      <c r="V583" s="81"/>
      <c r="W583" s="81"/>
      <c r="X583" s="81"/>
      <c r="Y583" s="81"/>
      <c r="Z583" s="81"/>
    </row>
    <row r="584" spans="1:26">
      <c r="A584" s="81" t="str">
        <f ca="1">IFERROR(__xludf.DUMMYFUNCTION("""COMPUTED_VALUE"""),"6.1.4.0")</f>
        <v>6.1.4.0</v>
      </c>
      <c r="B584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84" s="81" t="str">
        <f ca="1">IFERROR(__xludf.DUMMYFUNCTION("""COMPUTED_VALUE"""),"5. Inclusión")</f>
        <v>5. Inclusión</v>
      </c>
      <c r="D584" s="81" t="str">
        <f ca="1">IFERROR(__xludf.DUMMYFUNCTION("""COMPUTED_VALUE"""),"Guadalajara sin Barreras")</f>
        <v>Guadalajara sin Barreras</v>
      </c>
      <c r="E584" s="81" t="str">
        <f ca="1">IFERROR(__xludf.DUMMYFUNCTION("""COMPUTED_VALUE"""),"Desarrollo Integral de Personas Adultas Mayores")</f>
        <v>Desarrollo Integral de Personas Adultas Mayores</v>
      </c>
      <c r="F584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84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84" s="81" t="str">
        <f ca="1">IFERROR(__xludf.DUMMYFUNCTION("""COMPUTED_VALUE"""),"AMM Julio")</f>
        <v>AMM Julio</v>
      </c>
      <c r="I584" s="81" t="str">
        <f ca="1">IFERROR(__xludf.DUMMYFUNCTION("""COMPUTED_VALUE"""),"Julio")</f>
        <v>Julio</v>
      </c>
      <c r="J584" s="81" t="str">
        <f ca="1">IFERROR(__xludf.DUMMYFUNCTION("""COMPUTED_VALUE"""),"AMM")</f>
        <v>AMM</v>
      </c>
      <c r="K584" s="80">
        <f ca="1">IFERROR(__xludf.DUMMYFUNCTION("""COMPUTED_VALUE"""),2382)</f>
        <v>2382</v>
      </c>
      <c r="L584" s="81" t="str">
        <f ca="1">IFERROR(__xludf.DUMMYFUNCTION("""COMPUTED_VALUE"""),"TRIMESTRE 3")</f>
        <v>TRIMESTRE 3</v>
      </c>
      <c r="M584" s="81" t="str">
        <f ca="1">IFERROR(__xludf.DUMMYFUNCTION("""COMPUTED_VALUE"""),"ADULTA MAYOR MUJER")</f>
        <v>ADULTA MAYOR MUJER</v>
      </c>
      <c r="N584" s="81"/>
      <c r="O584" s="81"/>
      <c r="P584" s="81"/>
      <c r="Q584" s="81"/>
      <c r="R584" s="81"/>
      <c r="S584" s="81"/>
      <c r="T584" s="81"/>
      <c r="U584" s="81"/>
      <c r="V584" s="81"/>
      <c r="W584" s="81"/>
      <c r="X584" s="81"/>
      <c r="Y584" s="81"/>
      <c r="Z584" s="81"/>
    </row>
    <row r="585" spans="1:26">
      <c r="A585" s="81" t="str">
        <f ca="1">IFERROR(__xludf.DUMMYFUNCTION("""COMPUTED_VALUE"""),"6.1.4.0")</f>
        <v>6.1.4.0</v>
      </c>
      <c r="B585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85" s="81" t="str">
        <f ca="1">IFERROR(__xludf.DUMMYFUNCTION("""COMPUTED_VALUE"""),"5. Inclusión")</f>
        <v>5. Inclusión</v>
      </c>
      <c r="D585" s="81" t="str">
        <f ca="1">IFERROR(__xludf.DUMMYFUNCTION("""COMPUTED_VALUE"""),"Guadalajara sin Barreras")</f>
        <v>Guadalajara sin Barreras</v>
      </c>
      <c r="E585" s="81" t="str">
        <f ca="1">IFERROR(__xludf.DUMMYFUNCTION("""COMPUTED_VALUE"""),"Desarrollo Integral de Personas Adultas Mayores")</f>
        <v>Desarrollo Integral de Personas Adultas Mayores</v>
      </c>
      <c r="F585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85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85" s="81" t="str">
        <f ca="1">IFERROR(__xludf.DUMMYFUNCTION("""COMPUTED_VALUE"""),"AMH Julio")</f>
        <v>AMH Julio</v>
      </c>
      <c r="I585" s="81" t="str">
        <f ca="1">IFERROR(__xludf.DUMMYFUNCTION("""COMPUTED_VALUE"""),"Julio")</f>
        <v>Julio</v>
      </c>
      <c r="J585" s="81" t="str">
        <f ca="1">IFERROR(__xludf.DUMMYFUNCTION("""COMPUTED_VALUE"""),"AMH")</f>
        <v>AMH</v>
      </c>
      <c r="K585" s="80">
        <f ca="1">IFERROR(__xludf.DUMMYFUNCTION("""COMPUTED_VALUE"""),569)</f>
        <v>569</v>
      </c>
      <c r="L585" s="81" t="str">
        <f ca="1">IFERROR(__xludf.DUMMYFUNCTION("""COMPUTED_VALUE"""),"TRIMESTRE 3")</f>
        <v>TRIMESTRE 3</v>
      </c>
      <c r="M585" s="81" t="str">
        <f ca="1">IFERROR(__xludf.DUMMYFUNCTION("""COMPUTED_VALUE"""),"ADULTO MAYOR HOMBRE")</f>
        <v>ADULTO MAYOR HOMBRE</v>
      </c>
      <c r="N585" s="81"/>
      <c r="O585" s="81"/>
      <c r="P585" s="81"/>
      <c r="Q585" s="81"/>
      <c r="R585" s="81"/>
      <c r="S585" s="81"/>
      <c r="T585" s="81"/>
      <c r="U585" s="81"/>
      <c r="V585" s="81"/>
      <c r="W585" s="81"/>
      <c r="X585" s="81"/>
      <c r="Y585" s="81"/>
      <c r="Z585" s="81"/>
    </row>
    <row r="586" spans="1:26">
      <c r="A586" s="79" t="str">
        <f ca="1">IFERROR(__xludf.DUMMYFUNCTION("""COMPUTED_VALUE"""),"6.1.4.2")</f>
        <v>6.1.4.2</v>
      </c>
      <c r="B586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86" s="79" t="str">
        <f ca="1">IFERROR(__xludf.DUMMYFUNCTION("""COMPUTED_VALUE"""),"5. Inclusión")</f>
        <v>5. Inclusión</v>
      </c>
      <c r="D586" s="79" t="str">
        <f ca="1">IFERROR(__xludf.DUMMYFUNCTION("""COMPUTED_VALUE"""),"Guadalajara sin Barreras")</f>
        <v>Guadalajara sin Barreras</v>
      </c>
      <c r="E586" s="79" t="str">
        <f ca="1">IFERROR(__xludf.DUMMYFUNCTION("""COMPUTED_VALUE"""),"Desarrollo Integral de Personas Adultas Mayores")</f>
        <v>Desarrollo Integral de Personas Adultas Mayores</v>
      </c>
      <c r="F586" s="79" t="str">
        <f ca="1">IFERROR(__xludf.DUMMYFUNCTION("""COMPUTED_VALUE"""),"A2C4. Raciones alimenticias entregadas en el comedor de DIPAM en 2024")</f>
        <v>A2C4. Raciones alimenticias entregadas en el comedor de DIPAM en 2024</v>
      </c>
      <c r="G586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86" s="79" t="str">
        <f ca="1">IFERROR(__xludf.DUMMYFUNCTION("""COMPUTED_VALUE"""),"NAS Julio")</f>
        <v>NAS Julio</v>
      </c>
      <c r="I586" s="79" t="str">
        <f ca="1">IFERROR(__xludf.DUMMYFUNCTION("""COMPUTED_VALUE"""),"Julio")</f>
        <v>Julio</v>
      </c>
      <c r="J586" s="79" t="str">
        <f ca="1">IFERROR(__xludf.DUMMYFUNCTION("""COMPUTED_VALUE"""),"NAS")</f>
        <v>NAS</v>
      </c>
      <c r="K586" s="80"/>
      <c r="L586" s="79" t="str">
        <f ca="1">IFERROR(__xludf.DUMMYFUNCTION("""COMPUTED_VALUE"""),"TRIMESTRE 3")</f>
        <v>TRIMESTRE 3</v>
      </c>
      <c r="M586" s="79" t="str">
        <f ca="1">IFERROR(__xludf.DUMMYFUNCTION("""COMPUTED_VALUE"""),"NIÑAS")</f>
        <v>NIÑAS</v>
      </c>
    </row>
    <row r="587" spans="1:26">
      <c r="A587" s="79" t="str">
        <f ca="1">IFERROR(__xludf.DUMMYFUNCTION("""COMPUTED_VALUE"""),"6.1.4.2")</f>
        <v>6.1.4.2</v>
      </c>
      <c r="B587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87" s="79" t="str">
        <f ca="1">IFERROR(__xludf.DUMMYFUNCTION("""COMPUTED_VALUE"""),"5. Inclusión")</f>
        <v>5. Inclusión</v>
      </c>
      <c r="D587" s="79" t="str">
        <f ca="1">IFERROR(__xludf.DUMMYFUNCTION("""COMPUTED_VALUE"""),"Guadalajara sin Barreras")</f>
        <v>Guadalajara sin Barreras</v>
      </c>
      <c r="E587" s="79" t="str">
        <f ca="1">IFERROR(__xludf.DUMMYFUNCTION("""COMPUTED_VALUE"""),"Desarrollo Integral de Personas Adultas Mayores")</f>
        <v>Desarrollo Integral de Personas Adultas Mayores</v>
      </c>
      <c r="F587" s="79" t="str">
        <f ca="1">IFERROR(__xludf.DUMMYFUNCTION("""COMPUTED_VALUE"""),"A2C4. Raciones alimenticias entregadas en el comedor de DIPAM en 2024")</f>
        <v>A2C4. Raciones alimenticias entregadas en el comedor de DIPAM en 2024</v>
      </c>
      <c r="G587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87" s="79" t="str">
        <f ca="1">IFERROR(__xludf.DUMMYFUNCTION("""COMPUTED_VALUE"""),"NOS Julio")</f>
        <v>NOS Julio</v>
      </c>
      <c r="I587" s="79" t="str">
        <f ca="1">IFERROR(__xludf.DUMMYFUNCTION("""COMPUTED_VALUE"""),"Julio")</f>
        <v>Julio</v>
      </c>
      <c r="J587" s="79" t="str">
        <f ca="1">IFERROR(__xludf.DUMMYFUNCTION("""COMPUTED_VALUE"""),"NOS")</f>
        <v>NOS</v>
      </c>
      <c r="K587" s="80"/>
      <c r="L587" s="79" t="str">
        <f ca="1">IFERROR(__xludf.DUMMYFUNCTION("""COMPUTED_VALUE"""),"TRIMESTRE 3")</f>
        <v>TRIMESTRE 3</v>
      </c>
      <c r="M587" s="79" t="str">
        <f ca="1">IFERROR(__xludf.DUMMYFUNCTION("""COMPUTED_VALUE"""),"NIÑOS")</f>
        <v>NIÑOS</v>
      </c>
    </row>
    <row r="588" spans="1:26">
      <c r="A588" s="79" t="str">
        <f ca="1">IFERROR(__xludf.DUMMYFUNCTION("""COMPUTED_VALUE"""),"6.1.4.2")</f>
        <v>6.1.4.2</v>
      </c>
      <c r="B588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88" s="79" t="str">
        <f ca="1">IFERROR(__xludf.DUMMYFUNCTION("""COMPUTED_VALUE"""),"5. Inclusión")</f>
        <v>5. Inclusión</v>
      </c>
      <c r="D588" s="79" t="str">
        <f ca="1">IFERROR(__xludf.DUMMYFUNCTION("""COMPUTED_VALUE"""),"Guadalajara sin Barreras")</f>
        <v>Guadalajara sin Barreras</v>
      </c>
      <c r="E588" s="79" t="str">
        <f ca="1">IFERROR(__xludf.DUMMYFUNCTION("""COMPUTED_VALUE"""),"Desarrollo Integral de Personas Adultas Mayores")</f>
        <v>Desarrollo Integral de Personas Adultas Mayores</v>
      </c>
      <c r="F588" s="79" t="str">
        <f ca="1">IFERROR(__xludf.DUMMYFUNCTION("""COMPUTED_VALUE"""),"A2C4. Raciones alimenticias entregadas en el comedor de DIPAM en 2024")</f>
        <v>A2C4. Raciones alimenticias entregadas en el comedor de DIPAM en 2024</v>
      </c>
      <c r="G588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88" s="79" t="str">
        <f ca="1">IFERROR(__xludf.DUMMYFUNCTION("""COMPUTED_VALUE"""),"AM Julio")</f>
        <v>AM Julio</v>
      </c>
      <c r="I588" s="79" t="str">
        <f ca="1">IFERROR(__xludf.DUMMYFUNCTION("""COMPUTED_VALUE"""),"Julio")</f>
        <v>Julio</v>
      </c>
      <c r="J588" s="79" t="str">
        <f ca="1">IFERROR(__xludf.DUMMYFUNCTION("""COMPUTED_VALUE"""),"AM")</f>
        <v>AM</v>
      </c>
      <c r="K588" s="80"/>
      <c r="L588" s="79" t="str">
        <f ca="1">IFERROR(__xludf.DUMMYFUNCTION("""COMPUTED_VALUE"""),"TRIMESTRE 3")</f>
        <v>TRIMESTRE 3</v>
      </c>
      <c r="M588" s="79" t="str">
        <f ca="1">IFERROR(__xludf.DUMMYFUNCTION("""COMPUTED_VALUE"""),"ADOLESCENTES MUJERES")</f>
        <v>ADOLESCENTES MUJERES</v>
      </c>
    </row>
    <row r="589" spans="1:26">
      <c r="A589" s="79" t="str">
        <f ca="1">IFERROR(__xludf.DUMMYFUNCTION("""COMPUTED_VALUE"""),"6.1.4.2")</f>
        <v>6.1.4.2</v>
      </c>
      <c r="B589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89" s="79" t="str">
        <f ca="1">IFERROR(__xludf.DUMMYFUNCTION("""COMPUTED_VALUE"""),"5. Inclusión")</f>
        <v>5. Inclusión</v>
      </c>
      <c r="D589" s="79" t="str">
        <f ca="1">IFERROR(__xludf.DUMMYFUNCTION("""COMPUTED_VALUE"""),"Guadalajara sin Barreras")</f>
        <v>Guadalajara sin Barreras</v>
      </c>
      <c r="E589" s="79" t="str">
        <f ca="1">IFERROR(__xludf.DUMMYFUNCTION("""COMPUTED_VALUE"""),"Desarrollo Integral de Personas Adultas Mayores")</f>
        <v>Desarrollo Integral de Personas Adultas Mayores</v>
      </c>
      <c r="F589" s="79" t="str">
        <f ca="1">IFERROR(__xludf.DUMMYFUNCTION("""COMPUTED_VALUE"""),"A2C4. Raciones alimenticias entregadas en el comedor de DIPAM en 2024")</f>
        <v>A2C4. Raciones alimenticias entregadas en el comedor de DIPAM en 2024</v>
      </c>
      <c r="G589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89" s="79" t="str">
        <f ca="1">IFERROR(__xludf.DUMMYFUNCTION("""COMPUTED_VALUE"""),"AH Julio")</f>
        <v>AH Julio</v>
      </c>
      <c r="I589" s="79" t="str">
        <f ca="1">IFERROR(__xludf.DUMMYFUNCTION("""COMPUTED_VALUE"""),"Julio")</f>
        <v>Julio</v>
      </c>
      <c r="J589" s="79" t="str">
        <f ca="1">IFERROR(__xludf.DUMMYFUNCTION("""COMPUTED_VALUE"""),"AH")</f>
        <v>AH</v>
      </c>
      <c r="K589" s="80"/>
      <c r="L589" s="79" t="str">
        <f ca="1">IFERROR(__xludf.DUMMYFUNCTION("""COMPUTED_VALUE"""),"TRIMESTRE 3")</f>
        <v>TRIMESTRE 3</v>
      </c>
      <c r="M589" s="79" t="str">
        <f ca="1">IFERROR(__xludf.DUMMYFUNCTION("""COMPUTED_VALUE"""),"ADOLESCENTES HOMBRES")</f>
        <v>ADOLESCENTES HOMBRES</v>
      </c>
    </row>
    <row r="590" spans="1:26">
      <c r="A590" s="79" t="str">
        <f ca="1">IFERROR(__xludf.DUMMYFUNCTION("""COMPUTED_VALUE"""),"6.1.4.2")</f>
        <v>6.1.4.2</v>
      </c>
      <c r="B590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90" s="79" t="str">
        <f ca="1">IFERROR(__xludf.DUMMYFUNCTION("""COMPUTED_VALUE"""),"5. Inclusión")</f>
        <v>5. Inclusión</v>
      </c>
      <c r="D590" s="79" t="str">
        <f ca="1">IFERROR(__xludf.DUMMYFUNCTION("""COMPUTED_VALUE"""),"Guadalajara sin Barreras")</f>
        <v>Guadalajara sin Barreras</v>
      </c>
      <c r="E590" s="79" t="str">
        <f ca="1">IFERROR(__xludf.DUMMYFUNCTION("""COMPUTED_VALUE"""),"Desarrollo Integral de Personas Adultas Mayores")</f>
        <v>Desarrollo Integral de Personas Adultas Mayores</v>
      </c>
      <c r="F590" s="79" t="str">
        <f ca="1">IFERROR(__xludf.DUMMYFUNCTION("""COMPUTED_VALUE"""),"A2C4. Raciones alimenticias entregadas en el comedor de DIPAM en 2024")</f>
        <v>A2C4. Raciones alimenticias entregadas en el comedor de DIPAM en 2024</v>
      </c>
      <c r="G590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90" s="79" t="str">
        <f ca="1">IFERROR(__xludf.DUMMYFUNCTION("""COMPUTED_VALUE"""),"MUJ Julio")</f>
        <v>MUJ Julio</v>
      </c>
      <c r="I590" s="79" t="str">
        <f ca="1">IFERROR(__xludf.DUMMYFUNCTION("""COMPUTED_VALUE"""),"Julio")</f>
        <v>Julio</v>
      </c>
      <c r="J590" s="79" t="str">
        <f ca="1">IFERROR(__xludf.DUMMYFUNCTION("""COMPUTED_VALUE"""),"MUJ")</f>
        <v>MUJ</v>
      </c>
      <c r="K590" s="80"/>
      <c r="L590" s="79" t="str">
        <f ca="1">IFERROR(__xludf.DUMMYFUNCTION("""COMPUTED_VALUE"""),"TRIMESTRE 3")</f>
        <v>TRIMESTRE 3</v>
      </c>
      <c r="M590" s="79" t="str">
        <f ca="1">IFERROR(__xludf.DUMMYFUNCTION("""COMPUTED_VALUE"""),"MUJERES ADULTAS")</f>
        <v>MUJERES ADULTAS</v>
      </c>
    </row>
    <row r="591" spans="1:26">
      <c r="A591" s="79" t="str">
        <f ca="1">IFERROR(__xludf.DUMMYFUNCTION("""COMPUTED_VALUE"""),"6.1.4.2")</f>
        <v>6.1.4.2</v>
      </c>
      <c r="B591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91" s="79" t="str">
        <f ca="1">IFERROR(__xludf.DUMMYFUNCTION("""COMPUTED_VALUE"""),"5. Inclusión")</f>
        <v>5. Inclusión</v>
      </c>
      <c r="D591" s="79" t="str">
        <f ca="1">IFERROR(__xludf.DUMMYFUNCTION("""COMPUTED_VALUE"""),"Guadalajara sin Barreras")</f>
        <v>Guadalajara sin Barreras</v>
      </c>
      <c r="E591" s="79" t="str">
        <f ca="1">IFERROR(__xludf.DUMMYFUNCTION("""COMPUTED_VALUE"""),"Desarrollo Integral de Personas Adultas Mayores")</f>
        <v>Desarrollo Integral de Personas Adultas Mayores</v>
      </c>
      <c r="F591" s="79" t="str">
        <f ca="1">IFERROR(__xludf.DUMMYFUNCTION("""COMPUTED_VALUE"""),"A2C4. Raciones alimenticias entregadas en el comedor de DIPAM en 2024")</f>
        <v>A2C4. Raciones alimenticias entregadas en el comedor de DIPAM en 2024</v>
      </c>
      <c r="G591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91" s="79" t="str">
        <f ca="1">IFERROR(__xludf.DUMMYFUNCTION("""COMPUTED_VALUE"""),"HOM Julio")</f>
        <v>HOM Julio</v>
      </c>
      <c r="I591" s="79" t="str">
        <f ca="1">IFERROR(__xludf.DUMMYFUNCTION("""COMPUTED_VALUE"""),"Julio")</f>
        <v>Julio</v>
      </c>
      <c r="J591" s="79" t="str">
        <f ca="1">IFERROR(__xludf.DUMMYFUNCTION("""COMPUTED_VALUE"""),"HOM")</f>
        <v>HOM</v>
      </c>
      <c r="K591" s="80"/>
      <c r="L591" s="79" t="str">
        <f ca="1">IFERROR(__xludf.DUMMYFUNCTION("""COMPUTED_VALUE"""),"TRIMESTRE 3")</f>
        <v>TRIMESTRE 3</v>
      </c>
      <c r="M591" s="79" t="str">
        <f ca="1">IFERROR(__xludf.DUMMYFUNCTION("""COMPUTED_VALUE"""),"HOMBRES ADULTOS")</f>
        <v>HOMBRES ADULTOS</v>
      </c>
    </row>
    <row r="592" spans="1:26">
      <c r="A592" s="79" t="str">
        <f ca="1">IFERROR(__xludf.DUMMYFUNCTION("""COMPUTED_VALUE"""),"6.1.4.2")</f>
        <v>6.1.4.2</v>
      </c>
      <c r="B592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92" s="79" t="str">
        <f ca="1">IFERROR(__xludf.DUMMYFUNCTION("""COMPUTED_VALUE"""),"5. Inclusión")</f>
        <v>5. Inclusión</v>
      </c>
      <c r="D592" s="79" t="str">
        <f ca="1">IFERROR(__xludf.DUMMYFUNCTION("""COMPUTED_VALUE"""),"Guadalajara sin Barreras")</f>
        <v>Guadalajara sin Barreras</v>
      </c>
      <c r="E592" s="79" t="str">
        <f ca="1">IFERROR(__xludf.DUMMYFUNCTION("""COMPUTED_VALUE"""),"Desarrollo Integral de Personas Adultas Mayores")</f>
        <v>Desarrollo Integral de Personas Adultas Mayores</v>
      </c>
      <c r="F592" s="79" t="str">
        <f ca="1">IFERROR(__xludf.DUMMYFUNCTION("""COMPUTED_VALUE"""),"A2C4. Raciones alimenticias entregadas en el comedor de DIPAM en 2024")</f>
        <v>A2C4. Raciones alimenticias entregadas en el comedor de DIPAM en 2024</v>
      </c>
      <c r="G592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92" s="79" t="str">
        <f ca="1">IFERROR(__xludf.DUMMYFUNCTION("""COMPUTED_VALUE"""),"AMM Julio")</f>
        <v>AMM Julio</v>
      </c>
      <c r="I592" s="79" t="str">
        <f ca="1">IFERROR(__xludf.DUMMYFUNCTION("""COMPUTED_VALUE"""),"Julio")</f>
        <v>Julio</v>
      </c>
      <c r="J592" s="79" t="str">
        <f ca="1">IFERROR(__xludf.DUMMYFUNCTION("""COMPUTED_VALUE"""),"AMM")</f>
        <v>AMM</v>
      </c>
      <c r="K592" s="80">
        <f ca="1">IFERROR(__xludf.DUMMYFUNCTION("""COMPUTED_VALUE"""),1196)</f>
        <v>1196</v>
      </c>
      <c r="L592" s="79" t="str">
        <f ca="1">IFERROR(__xludf.DUMMYFUNCTION("""COMPUTED_VALUE"""),"TRIMESTRE 3")</f>
        <v>TRIMESTRE 3</v>
      </c>
      <c r="M592" s="79" t="str">
        <f ca="1">IFERROR(__xludf.DUMMYFUNCTION("""COMPUTED_VALUE"""),"ADULTA MAYOR MUJER")</f>
        <v>ADULTA MAYOR MUJER</v>
      </c>
    </row>
    <row r="593" spans="1:13">
      <c r="A593" s="79" t="str">
        <f ca="1">IFERROR(__xludf.DUMMYFUNCTION("""COMPUTED_VALUE"""),"6.1.4.2")</f>
        <v>6.1.4.2</v>
      </c>
      <c r="B593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593" s="79" t="str">
        <f ca="1">IFERROR(__xludf.DUMMYFUNCTION("""COMPUTED_VALUE"""),"5. Inclusión")</f>
        <v>5. Inclusión</v>
      </c>
      <c r="D593" s="79" t="str">
        <f ca="1">IFERROR(__xludf.DUMMYFUNCTION("""COMPUTED_VALUE"""),"Guadalajara sin Barreras")</f>
        <v>Guadalajara sin Barreras</v>
      </c>
      <c r="E593" s="79" t="str">
        <f ca="1">IFERROR(__xludf.DUMMYFUNCTION("""COMPUTED_VALUE"""),"Desarrollo Integral de Personas Adultas Mayores")</f>
        <v>Desarrollo Integral de Personas Adultas Mayores</v>
      </c>
      <c r="F593" s="79" t="str">
        <f ca="1">IFERROR(__xludf.DUMMYFUNCTION("""COMPUTED_VALUE"""),"A2C4. Raciones alimenticias entregadas en el comedor de DIPAM en 2024")</f>
        <v>A2C4. Raciones alimenticias entregadas en el comedor de DIPAM en 2024</v>
      </c>
      <c r="G593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593" s="79" t="str">
        <f ca="1">IFERROR(__xludf.DUMMYFUNCTION("""COMPUTED_VALUE"""),"AMH Julio")</f>
        <v>AMH Julio</v>
      </c>
      <c r="I593" s="79" t="str">
        <f ca="1">IFERROR(__xludf.DUMMYFUNCTION("""COMPUTED_VALUE"""),"Julio")</f>
        <v>Julio</v>
      </c>
      <c r="J593" s="79" t="str">
        <f ca="1">IFERROR(__xludf.DUMMYFUNCTION("""COMPUTED_VALUE"""),"AMH")</f>
        <v>AMH</v>
      </c>
      <c r="K593" s="80">
        <f ca="1">IFERROR(__xludf.DUMMYFUNCTION("""COMPUTED_VALUE"""),1150)</f>
        <v>1150</v>
      </c>
      <c r="L593" s="79" t="str">
        <f ca="1">IFERROR(__xludf.DUMMYFUNCTION("""COMPUTED_VALUE"""),"TRIMESTRE 3")</f>
        <v>TRIMESTRE 3</v>
      </c>
      <c r="M593" s="79" t="str">
        <f ca="1">IFERROR(__xludf.DUMMYFUNCTION("""COMPUTED_VALUE"""),"ADULTO MAYOR HOMBRE")</f>
        <v>ADULTO MAYOR HOMBRE</v>
      </c>
    </row>
    <row r="594" spans="1:13">
      <c r="A594" s="79" t="str">
        <f ca="1">IFERROR(__xludf.DUMMYFUNCTION("""COMPUTED_VALUE"""),"6.1.4.0")</f>
        <v>6.1.4.0</v>
      </c>
      <c r="B594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94" s="79" t="str">
        <f ca="1">IFERROR(__xludf.DUMMYFUNCTION("""COMPUTED_VALUE"""),"5. Inclusión")</f>
        <v>5. Inclusión</v>
      </c>
      <c r="D594" s="79" t="str">
        <f ca="1">IFERROR(__xludf.DUMMYFUNCTION("""COMPUTED_VALUE"""),"Guadalajara sin Barreras")</f>
        <v>Guadalajara sin Barreras</v>
      </c>
      <c r="E594" s="79" t="str">
        <f ca="1">IFERROR(__xludf.DUMMYFUNCTION("""COMPUTED_VALUE"""),"Desarrollo Integral de Personas Adultas Mayores")</f>
        <v>Desarrollo Integral de Personas Adultas Mayores</v>
      </c>
      <c r="F594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94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94" s="79" t="str">
        <f ca="1">IFERROR(__xludf.DUMMYFUNCTION("""COMPUTED_VALUE"""),"NAS Agosto")</f>
        <v>NAS Agosto</v>
      </c>
      <c r="I594" s="79" t="str">
        <f ca="1">IFERROR(__xludf.DUMMYFUNCTION("""COMPUTED_VALUE"""),"Agosto")</f>
        <v>Agosto</v>
      </c>
      <c r="J594" s="79" t="str">
        <f ca="1">IFERROR(__xludf.DUMMYFUNCTION("""COMPUTED_VALUE"""),"NAS")</f>
        <v>NAS</v>
      </c>
      <c r="K594" s="80"/>
      <c r="L594" s="79" t="str">
        <f ca="1">IFERROR(__xludf.DUMMYFUNCTION("""COMPUTED_VALUE"""),"TRIMESTRE 3")</f>
        <v>TRIMESTRE 3</v>
      </c>
      <c r="M594" s="79" t="str">
        <f ca="1">IFERROR(__xludf.DUMMYFUNCTION("""COMPUTED_VALUE"""),"NIÑAS")</f>
        <v>NIÑAS</v>
      </c>
    </row>
    <row r="595" spans="1:13">
      <c r="A595" s="79" t="str">
        <f ca="1">IFERROR(__xludf.DUMMYFUNCTION("""COMPUTED_VALUE"""),"6.1.4.0")</f>
        <v>6.1.4.0</v>
      </c>
      <c r="B595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95" s="79" t="str">
        <f ca="1">IFERROR(__xludf.DUMMYFUNCTION("""COMPUTED_VALUE"""),"5. Inclusión")</f>
        <v>5. Inclusión</v>
      </c>
      <c r="D595" s="79" t="str">
        <f ca="1">IFERROR(__xludf.DUMMYFUNCTION("""COMPUTED_VALUE"""),"Guadalajara sin Barreras")</f>
        <v>Guadalajara sin Barreras</v>
      </c>
      <c r="E595" s="79" t="str">
        <f ca="1">IFERROR(__xludf.DUMMYFUNCTION("""COMPUTED_VALUE"""),"Desarrollo Integral de Personas Adultas Mayores")</f>
        <v>Desarrollo Integral de Personas Adultas Mayores</v>
      </c>
      <c r="F595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95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95" s="79" t="str">
        <f ca="1">IFERROR(__xludf.DUMMYFUNCTION("""COMPUTED_VALUE"""),"NOS Agosto")</f>
        <v>NOS Agosto</v>
      </c>
      <c r="I595" s="79" t="str">
        <f ca="1">IFERROR(__xludf.DUMMYFUNCTION("""COMPUTED_VALUE"""),"Agosto")</f>
        <v>Agosto</v>
      </c>
      <c r="J595" s="79" t="str">
        <f ca="1">IFERROR(__xludf.DUMMYFUNCTION("""COMPUTED_VALUE"""),"NOS")</f>
        <v>NOS</v>
      </c>
      <c r="K595" s="80"/>
      <c r="L595" s="79" t="str">
        <f ca="1">IFERROR(__xludf.DUMMYFUNCTION("""COMPUTED_VALUE"""),"TRIMESTRE 3")</f>
        <v>TRIMESTRE 3</v>
      </c>
      <c r="M595" s="79" t="str">
        <f ca="1">IFERROR(__xludf.DUMMYFUNCTION("""COMPUTED_VALUE"""),"NIÑOS")</f>
        <v>NIÑOS</v>
      </c>
    </row>
    <row r="596" spans="1:13">
      <c r="A596" s="79" t="str">
        <f ca="1">IFERROR(__xludf.DUMMYFUNCTION("""COMPUTED_VALUE"""),"6.1.4.0")</f>
        <v>6.1.4.0</v>
      </c>
      <c r="B596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96" s="79" t="str">
        <f ca="1">IFERROR(__xludf.DUMMYFUNCTION("""COMPUTED_VALUE"""),"5. Inclusión")</f>
        <v>5. Inclusión</v>
      </c>
      <c r="D596" s="79" t="str">
        <f ca="1">IFERROR(__xludf.DUMMYFUNCTION("""COMPUTED_VALUE"""),"Guadalajara sin Barreras")</f>
        <v>Guadalajara sin Barreras</v>
      </c>
      <c r="E596" s="79" t="str">
        <f ca="1">IFERROR(__xludf.DUMMYFUNCTION("""COMPUTED_VALUE"""),"Desarrollo Integral de Personas Adultas Mayores")</f>
        <v>Desarrollo Integral de Personas Adultas Mayores</v>
      </c>
      <c r="F596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96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96" s="79" t="str">
        <f ca="1">IFERROR(__xludf.DUMMYFUNCTION("""COMPUTED_VALUE"""),"AM Agosto")</f>
        <v>AM Agosto</v>
      </c>
      <c r="I596" s="79" t="str">
        <f ca="1">IFERROR(__xludf.DUMMYFUNCTION("""COMPUTED_VALUE"""),"Agosto")</f>
        <v>Agosto</v>
      </c>
      <c r="J596" s="79" t="str">
        <f ca="1">IFERROR(__xludf.DUMMYFUNCTION("""COMPUTED_VALUE"""),"AM")</f>
        <v>AM</v>
      </c>
      <c r="K596" s="80"/>
      <c r="L596" s="79" t="str">
        <f ca="1">IFERROR(__xludf.DUMMYFUNCTION("""COMPUTED_VALUE"""),"TRIMESTRE 3")</f>
        <v>TRIMESTRE 3</v>
      </c>
      <c r="M596" s="79" t="str">
        <f ca="1">IFERROR(__xludf.DUMMYFUNCTION("""COMPUTED_VALUE"""),"ADOLESCENTES MUJERES")</f>
        <v>ADOLESCENTES MUJERES</v>
      </c>
    </row>
    <row r="597" spans="1:13">
      <c r="A597" s="79" t="str">
        <f ca="1">IFERROR(__xludf.DUMMYFUNCTION("""COMPUTED_VALUE"""),"6.1.4.0")</f>
        <v>6.1.4.0</v>
      </c>
      <c r="B597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97" s="79" t="str">
        <f ca="1">IFERROR(__xludf.DUMMYFUNCTION("""COMPUTED_VALUE"""),"5. Inclusión")</f>
        <v>5. Inclusión</v>
      </c>
      <c r="D597" s="79" t="str">
        <f ca="1">IFERROR(__xludf.DUMMYFUNCTION("""COMPUTED_VALUE"""),"Guadalajara sin Barreras")</f>
        <v>Guadalajara sin Barreras</v>
      </c>
      <c r="E597" s="79" t="str">
        <f ca="1">IFERROR(__xludf.DUMMYFUNCTION("""COMPUTED_VALUE"""),"Desarrollo Integral de Personas Adultas Mayores")</f>
        <v>Desarrollo Integral de Personas Adultas Mayores</v>
      </c>
      <c r="F597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97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97" s="79" t="str">
        <f ca="1">IFERROR(__xludf.DUMMYFUNCTION("""COMPUTED_VALUE"""),"AH Agosto")</f>
        <v>AH Agosto</v>
      </c>
      <c r="I597" s="79" t="str">
        <f ca="1">IFERROR(__xludf.DUMMYFUNCTION("""COMPUTED_VALUE"""),"Agosto")</f>
        <v>Agosto</v>
      </c>
      <c r="J597" s="79" t="str">
        <f ca="1">IFERROR(__xludf.DUMMYFUNCTION("""COMPUTED_VALUE"""),"AH")</f>
        <v>AH</v>
      </c>
      <c r="K597" s="80"/>
      <c r="L597" s="79" t="str">
        <f ca="1">IFERROR(__xludf.DUMMYFUNCTION("""COMPUTED_VALUE"""),"TRIMESTRE 3")</f>
        <v>TRIMESTRE 3</v>
      </c>
      <c r="M597" s="79" t="str">
        <f ca="1">IFERROR(__xludf.DUMMYFUNCTION("""COMPUTED_VALUE"""),"ADOLESCENTES HOMBRES")</f>
        <v>ADOLESCENTES HOMBRES</v>
      </c>
    </row>
    <row r="598" spans="1:13">
      <c r="A598" s="79" t="str">
        <f ca="1">IFERROR(__xludf.DUMMYFUNCTION("""COMPUTED_VALUE"""),"6.1.4.0")</f>
        <v>6.1.4.0</v>
      </c>
      <c r="B598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98" s="79" t="str">
        <f ca="1">IFERROR(__xludf.DUMMYFUNCTION("""COMPUTED_VALUE"""),"5. Inclusión")</f>
        <v>5. Inclusión</v>
      </c>
      <c r="D598" s="79" t="str">
        <f ca="1">IFERROR(__xludf.DUMMYFUNCTION("""COMPUTED_VALUE"""),"Guadalajara sin Barreras")</f>
        <v>Guadalajara sin Barreras</v>
      </c>
      <c r="E598" s="79" t="str">
        <f ca="1">IFERROR(__xludf.DUMMYFUNCTION("""COMPUTED_VALUE"""),"Desarrollo Integral de Personas Adultas Mayores")</f>
        <v>Desarrollo Integral de Personas Adultas Mayores</v>
      </c>
      <c r="F598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98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98" s="79" t="str">
        <f ca="1">IFERROR(__xludf.DUMMYFUNCTION("""COMPUTED_VALUE"""),"MUJ Agosto")</f>
        <v>MUJ Agosto</v>
      </c>
      <c r="I598" s="79" t="str">
        <f ca="1">IFERROR(__xludf.DUMMYFUNCTION("""COMPUTED_VALUE"""),"Agosto")</f>
        <v>Agosto</v>
      </c>
      <c r="J598" s="79" t="str">
        <f ca="1">IFERROR(__xludf.DUMMYFUNCTION("""COMPUTED_VALUE"""),"MUJ")</f>
        <v>MUJ</v>
      </c>
      <c r="K598" s="80"/>
      <c r="L598" s="79" t="str">
        <f ca="1">IFERROR(__xludf.DUMMYFUNCTION("""COMPUTED_VALUE"""),"TRIMESTRE 3")</f>
        <v>TRIMESTRE 3</v>
      </c>
      <c r="M598" s="79" t="str">
        <f ca="1">IFERROR(__xludf.DUMMYFUNCTION("""COMPUTED_VALUE"""),"MUJERES ADULTAS")</f>
        <v>MUJERES ADULTAS</v>
      </c>
    </row>
    <row r="599" spans="1:13">
      <c r="A599" s="79" t="str">
        <f ca="1">IFERROR(__xludf.DUMMYFUNCTION("""COMPUTED_VALUE"""),"6.1.4.0")</f>
        <v>6.1.4.0</v>
      </c>
      <c r="B599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599" s="79" t="str">
        <f ca="1">IFERROR(__xludf.DUMMYFUNCTION("""COMPUTED_VALUE"""),"5. Inclusión")</f>
        <v>5. Inclusión</v>
      </c>
      <c r="D599" s="79" t="str">
        <f ca="1">IFERROR(__xludf.DUMMYFUNCTION("""COMPUTED_VALUE"""),"Guadalajara sin Barreras")</f>
        <v>Guadalajara sin Barreras</v>
      </c>
      <c r="E599" s="79" t="str">
        <f ca="1">IFERROR(__xludf.DUMMYFUNCTION("""COMPUTED_VALUE"""),"Desarrollo Integral de Personas Adultas Mayores")</f>
        <v>Desarrollo Integral de Personas Adultas Mayores</v>
      </c>
      <c r="F599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599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599" s="79" t="str">
        <f ca="1">IFERROR(__xludf.DUMMYFUNCTION("""COMPUTED_VALUE"""),"HOM Agosto")</f>
        <v>HOM Agosto</v>
      </c>
      <c r="I599" s="79" t="str">
        <f ca="1">IFERROR(__xludf.DUMMYFUNCTION("""COMPUTED_VALUE"""),"Agosto")</f>
        <v>Agosto</v>
      </c>
      <c r="J599" s="79" t="str">
        <f ca="1">IFERROR(__xludf.DUMMYFUNCTION("""COMPUTED_VALUE"""),"HOM")</f>
        <v>HOM</v>
      </c>
      <c r="K599" s="80"/>
      <c r="L599" s="79" t="str">
        <f ca="1">IFERROR(__xludf.DUMMYFUNCTION("""COMPUTED_VALUE"""),"TRIMESTRE 3")</f>
        <v>TRIMESTRE 3</v>
      </c>
      <c r="M599" s="79" t="str">
        <f ca="1">IFERROR(__xludf.DUMMYFUNCTION("""COMPUTED_VALUE"""),"HOMBRES ADULTOS")</f>
        <v>HOMBRES ADULTOS</v>
      </c>
    </row>
    <row r="600" spans="1:13">
      <c r="A600" s="79" t="str">
        <f ca="1">IFERROR(__xludf.DUMMYFUNCTION("""COMPUTED_VALUE"""),"6.1.4.0")</f>
        <v>6.1.4.0</v>
      </c>
      <c r="B600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00" s="79" t="str">
        <f ca="1">IFERROR(__xludf.DUMMYFUNCTION("""COMPUTED_VALUE"""),"5. Inclusión")</f>
        <v>5. Inclusión</v>
      </c>
      <c r="D600" s="79" t="str">
        <f ca="1">IFERROR(__xludf.DUMMYFUNCTION("""COMPUTED_VALUE"""),"Guadalajara sin Barreras")</f>
        <v>Guadalajara sin Barreras</v>
      </c>
      <c r="E600" s="79" t="str">
        <f ca="1">IFERROR(__xludf.DUMMYFUNCTION("""COMPUTED_VALUE"""),"Desarrollo Integral de Personas Adultas Mayores")</f>
        <v>Desarrollo Integral de Personas Adultas Mayores</v>
      </c>
      <c r="F600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00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00" s="79" t="str">
        <f ca="1">IFERROR(__xludf.DUMMYFUNCTION("""COMPUTED_VALUE"""),"AMM Agosto")</f>
        <v>AMM Agosto</v>
      </c>
      <c r="I600" s="79" t="str">
        <f ca="1">IFERROR(__xludf.DUMMYFUNCTION("""COMPUTED_VALUE"""),"Agosto")</f>
        <v>Agosto</v>
      </c>
      <c r="J600" s="79" t="str">
        <f ca="1">IFERROR(__xludf.DUMMYFUNCTION("""COMPUTED_VALUE"""),"AMM")</f>
        <v>AMM</v>
      </c>
      <c r="K600" s="80">
        <f ca="1">IFERROR(__xludf.DUMMYFUNCTION("""COMPUTED_VALUE"""),2893)</f>
        <v>2893</v>
      </c>
      <c r="L600" s="79" t="str">
        <f ca="1">IFERROR(__xludf.DUMMYFUNCTION("""COMPUTED_VALUE"""),"TRIMESTRE 3")</f>
        <v>TRIMESTRE 3</v>
      </c>
      <c r="M600" s="79" t="str">
        <f ca="1">IFERROR(__xludf.DUMMYFUNCTION("""COMPUTED_VALUE"""),"ADULTA MAYOR MUJER")</f>
        <v>ADULTA MAYOR MUJER</v>
      </c>
    </row>
    <row r="601" spans="1:13">
      <c r="A601" s="79" t="str">
        <f ca="1">IFERROR(__xludf.DUMMYFUNCTION("""COMPUTED_VALUE"""),"6.1.4.0")</f>
        <v>6.1.4.0</v>
      </c>
      <c r="B601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01" s="79" t="str">
        <f ca="1">IFERROR(__xludf.DUMMYFUNCTION("""COMPUTED_VALUE"""),"5. Inclusión")</f>
        <v>5. Inclusión</v>
      </c>
      <c r="D601" s="79" t="str">
        <f ca="1">IFERROR(__xludf.DUMMYFUNCTION("""COMPUTED_VALUE"""),"Guadalajara sin Barreras")</f>
        <v>Guadalajara sin Barreras</v>
      </c>
      <c r="E601" s="79" t="str">
        <f ca="1">IFERROR(__xludf.DUMMYFUNCTION("""COMPUTED_VALUE"""),"Desarrollo Integral de Personas Adultas Mayores")</f>
        <v>Desarrollo Integral de Personas Adultas Mayores</v>
      </c>
      <c r="F601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01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01" s="79" t="str">
        <f ca="1">IFERROR(__xludf.DUMMYFUNCTION("""COMPUTED_VALUE"""),"AMH Agosto")</f>
        <v>AMH Agosto</v>
      </c>
      <c r="I601" s="79" t="str">
        <f ca="1">IFERROR(__xludf.DUMMYFUNCTION("""COMPUTED_VALUE"""),"Agosto")</f>
        <v>Agosto</v>
      </c>
      <c r="J601" s="79" t="str">
        <f ca="1">IFERROR(__xludf.DUMMYFUNCTION("""COMPUTED_VALUE"""),"AMH")</f>
        <v>AMH</v>
      </c>
      <c r="K601" s="80">
        <f ca="1">IFERROR(__xludf.DUMMYFUNCTION("""COMPUTED_VALUE"""),796)</f>
        <v>796</v>
      </c>
      <c r="L601" s="79" t="str">
        <f ca="1">IFERROR(__xludf.DUMMYFUNCTION("""COMPUTED_VALUE"""),"TRIMESTRE 3")</f>
        <v>TRIMESTRE 3</v>
      </c>
      <c r="M601" s="79" t="str">
        <f ca="1">IFERROR(__xludf.DUMMYFUNCTION("""COMPUTED_VALUE"""),"ADULTO MAYOR HOMBRE")</f>
        <v>ADULTO MAYOR HOMBRE</v>
      </c>
    </row>
    <row r="602" spans="1:13">
      <c r="A602" s="79" t="str">
        <f ca="1">IFERROR(__xludf.DUMMYFUNCTION("""COMPUTED_VALUE"""),"6.1.4.2")</f>
        <v>6.1.4.2</v>
      </c>
      <c r="B602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2" s="79" t="str">
        <f ca="1">IFERROR(__xludf.DUMMYFUNCTION("""COMPUTED_VALUE"""),"5. Inclusión")</f>
        <v>5. Inclusión</v>
      </c>
      <c r="D602" s="79" t="str">
        <f ca="1">IFERROR(__xludf.DUMMYFUNCTION("""COMPUTED_VALUE"""),"Guadalajara sin Barreras")</f>
        <v>Guadalajara sin Barreras</v>
      </c>
      <c r="E602" s="79" t="str">
        <f ca="1">IFERROR(__xludf.DUMMYFUNCTION("""COMPUTED_VALUE"""),"Desarrollo Integral de Personas Adultas Mayores")</f>
        <v>Desarrollo Integral de Personas Adultas Mayores</v>
      </c>
      <c r="F602" s="79" t="str">
        <f ca="1">IFERROR(__xludf.DUMMYFUNCTION("""COMPUTED_VALUE"""),"A2C4. Raciones alimenticias entregadas en el comedor de DIPAM en 2024")</f>
        <v>A2C4. Raciones alimenticias entregadas en el comedor de DIPAM en 2024</v>
      </c>
      <c r="G602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2" s="79" t="str">
        <f ca="1">IFERROR(__xludf.DUMMYFUNCTION("""COMPUTED_VALUE"""),"NAS Agosto")</f>
        <v>NAS Agosto</v>
      </c>
      <c r="I602" s="79" t="str">
        <f ca="1">IFERROR(__xludf.DUMMYFUNCTION("""COMPUTED_VALUE"""),"Agosto")</f>
        <v>Agosto</v>
      </c>
      <c r="J602" s="79" t="str">
        <f ca="1">IFERROR(__xludf.DUMMYFUNCTION("""COMPUTED_VALUE"""),"NAS")</f>
        <v>NAS</v>
      </c>
      <c r="K602" s="80"/>
      <c r="L602" s="79" t="str">
        <f ca="1">IFERROR(__xludf.DUMMYFUNCTION("""COMPUTED_VALUE"""),"TRIMESTRE 3")</f>
        <v>TRIMESTRE 3</v>
      </c>
      <c r="M602" s="79" t="str">
        <f ca="1">IFERROR(__xludf.DUMMYFUNCTION("""COMPUTED_VALUE"""),"NIÑAS")</f>
        <v>NIÑAS</v>
      </c>
    </row>
    <row r="603" spans="1:13">
      <c r="A603" s="79" t="str">
        <f ca="1">IFERROR(__xludf.DUMMYFUNCTION("""COMPUTED_VALUE"""),"6.1.4.2")</f>
        <v>6.1.4.2</v>
      </c>
      <c r="B603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3" s="79" t="str">
        <f ca="1">IFERROR(__xludf.DUMMYFUNCTION("""COMPUTED_VALUE"""),"5. Inclusión")</f>
        <v>5. Inclusión</v>
      </c>
      <c r="D603" s="79" t="str">
        <f ca="1">IFERROR(__xludf.DUMMYFUNCTION("""COMPUTED_VALUE"""),"Guadalajara sin Barreras")</f>
        <v>Guadalajara sin Barreras</v>
      </c>
      <c r="E603" s="79" t="str">
        <f ca="1">IFERROR(__xludf.DUMMYFUNCTION("""COMPUTED_VALUE"""),"Desarrollo Integral de Personas Adultas Mayores")</f>
        <v>Desarrollo Integral de Personas Adultas Mayores</v>
      </c>
      <c r="F603" s="79" t="str">
        <f ca="1">IFERROR(__xludf.DUMMYFUNCTION("""COMPUTED_VALUE"""),"A2C4. Raciones alimenticias entregadas en el comedor de DIPAM en 2024")</f>
        <v>A2C4. Raciones alimenticias entregadas en el comedor de DIPAM en 2024</v>
      </c>
      <c r="G603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3" s="79" t="str">
        <f ca="1">IFERROR(__xludf.DUMMYFUNCTION("""COMPUTED_VALUE"""),"NOS Agosto")</f>
        <v>NOS Agosto</v>
      </c>
      <c r="I603" s="79" t="str">
        <f ca="1">IFERROR(__xludf.DUMMYFUNCTION("""COMPUTED_VALUE"""),"Agosto")</f>
        <v>Agosto</v>
      </c>
      <c r="J603" s="79" t="str">
        <f ca="1">IFERROR(__xludf.DUMMYFUNCTION("""COMPUTED_VALUE"""),"NOS")</f>
        <v>NOS</v>
      </c>
      <c r="K603" s="80"/>
      <c r="L603" s="79" t="str">
        <f ca="1">IFERROR(__xludf.DUMMYFUNCTION("""COMPUTED_VALUE"""),"TRIMESTRE 3")</f>
        <v>TRIMESTRE 3</v>
      </c>
      <c r="M603" s="79" t="str">
        <f ca="1">IFERROR(__xludf.DUMMYFUNCTION("""COMPUTED_VALUE"""),"NIÑOS")</f>
        <v>NIÑOS</v>
      </c>
    </row>
    <row r="604" spans="1:13">
      <c r="A604" s="79" t="str">
        <f ca="1">IFERROR(__xludf.DUMMYFUNCTION("""COMPUTED_VALUE"""),"6.1.4.2")</f>
        <v>6.1.4.2</v>
      </c>
      <c r="B604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4" s="79" t="str">
        <f ca="1">IFERROR(__xludf.DUMMYFUNCTION("""COMPUTED_VALUE"""),"5. Inclusión")</f>
        <v>5. Inclusión</v>
      </c>
      <c r="D604" s="79" t="str">
        <f ca="1">IFERROR(__xludf.DUMMYFUNCTION("""COMPUTED_VALUE"""),"Guadalajara sin Barreras")</f>
        <v>Guadalajara sin Barreras</v>
      </c>
      <c r="E604" s="79" t="str">
        <f ca="1">IFERROR(__xludf.DUMMYFUNCTION("""COMPUTED_VALUE"""),"Desarrollo Integral de Personas Adultas Mayores")</f>
        <v>Desarrollo Integral de Personas Adultas Mayores</v>
      </c>
      <c r="F604" s="79" t="str">
        <f ca="1">IFERROR(__xludf.DUMMYFUNCTION("""COMPUTED_VALUE"""),"A2C4. Raciones alimenticias entregadas en el comedor de DIPAM en 2024")</f>
        <v>A2C4. Raciones alimenticias entregadas en el comedor de DIPAM en 2024</v>
      </c>
      <c r="G604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4" s="79" t="str">
        <f ca="1">IFERROR(__xludf.DUMMYFUNCTION("""COMPUTED_VALUE"""),"AM Agosto")</f>
        <v>AM Agosto</v>
      </c>
      <c r="I604" s="79" t="str">
        <f ca="1">IFERROR(__xludf.DUMMYFUNCTION("""COMPUTED_VALUE"""),"Agosto")</f>
        <v>Agosto</v>
      </c>
      <c r="J604" s="79" t="str">
        <f ca="1">IFERROR(__xludf.DUMMYFUNCTION("""COMPUTED_VALUE"""),"AM")</f>
        <v>AM</v>
      </c>
      <c r="K604" s="80"/>
      <c r="L604" s="79" t="str">
        <f ca="1">IFERROR(__xludf.DUMMYFUNCTION("""COMPUTED_VALUE"""),"TRIMESTRE 3")</f>
        <v>TRIMESTRE 3</v>
      </c>
      <c r="M604" s="79" t="str">
        <f ca="1">IFERROR(__xludf.DUMMYFUNCTION("""COMPUTED_VALUE"""),"ADOLESCENTES MUJERES")</f>
        <v>ADOLESCENTES MUJERES</v>
      </c>
    </row>
    <row r="605" spans="1:13">
      <c r="A605" s="79" t="str">
        <f ca="1">IFERROR(__xludf.DUMMYFUNCTION("""COMPUTED_VALUE"""),"6.1.4.2")</f>
        <v>6.1.4.2</v>
      </c>
      <c r="B605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5" s="79" t="str">
        <f ca="1">IFERROR(__xludf.DUMMYFUNCTION("""COMPUTED_VALUE"""),"5. Inclusión")</f>
        <v>5. Inclusión</v>
      </c>
      <c r="D605" s="79" t="str">
        <f ca="1">IFERROR(__xludf.DUMMYFUNCTION("""COMPUTED_VALUE"""),"Guadalajara sin Barreras")</f>
        <v>Guadalajara sin Barreras</v>
      </c>
      <c r="E605" s="79" t="str">
        <f ca="1">IFERROR(__xludf.DUMMYFUNCTION("""COMPUTED_VALUE"""),"Desarrollo Integral de Personas Adultas Mayores")</f>
        <v>Desarrollo Integral de Personas Adultas Mayores</v>
      </c>
      <c r="F605" s="79" t="str">
        <f ca="1">IFERROR(__xludf.DUMMYFUNCTION("""COMPUTED_VALUE"""),"A2C4. Raciones alimenticias entregadas en el comedor de DIPAM en 2024")</f>
        <v>A2C4. Raciones alimenticias entregadas en el comedor de DIPAM en 2024</v>
      </c>
      <c r="G605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5" s="79" t="str">
        <f ca="1">IFERROR(__xludf.DUMMYFUNCTION("""COMPUTED_VALUE"""),"AH Agosto")</f>
        <v>AH Agosto</v>
      </c>
      <c r="I605" s="79" t="str">
        <f ca="1">IFERROR(__xludf.DUMMYFUNCTION("""COMPUTED_VALUE"""),"Agosto")</f>
        <v>Agosto</v>
      </c>
      <c r="J605" s="79" t="str">
        <f ca="1">IFERROR(__xludf.DUMMYFUNCTION("""COMPUTED_VALUE"""),"AH")</f>
        <v>AH</v>
      </c>
      <c r="K605" s="80"/>
      <c r="L605" s="79" t="str">
        <f ca="1">IFERROR(__xludf.DUMMYFUNCTION("""COMPUTED_VALUE"""),"TRIMESTRE 3")</f>
        <v>TRIMESTRE 3</v>
      </c>
      <c r="M605" s="79" t="str">
        <f ca="1">IFERROR(__xludf.DUMMYFUNCTION("""COMPUTED_VALUE"""),"ADOLESCENTES HOMBRES")</f>
        <v>ADOLESCENTES HOMBRES</v>
      </c>
    </row>
    <row r="606" spans="1:13">
      <c r="A606" s="79" t="str">
        <f ca="1">IFERROR(__xludf.DUMMYFUNCTION("""COMPUTED_VALUE"""),"6.1.4.2")</f>
        <v>6.1.4.2</v>
      </c>
      <c r="B606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6" s="79" t="str">
        <f ca="1">IFERROR(__xludf.DUMMYFUNCTION("""COMPUTED_VALUE"""),"5. Inclusión")</f>
        <v>5. Inclusión</v>
      </c>
      <c r="D606" s="79" t="str">
        <f ca="1">IFERROR(__xludf.DUMMYFUNCTION("""COMPUTED_VALUE"""),"Guadalajara sin Barreras")</f>
        <v>Guadalajara sin Barreras</v>
      </c>
      <c r="E606" s="79" t="str">
        <f ca="1">IFERROR(__xludf.DUMMYFUNCTION("""COMPUTED_VALUE"""),"Desarrollo Integral de Personas Adultas Mayores")</f>
        <v>Desarrollo Integral de Personas Adultas Mayores</v>
      </c>
      <c r="F606" s="79" t="str">
        <f ca="1">IFERROR(__xludf.DUMMYFUNCTION("""COMPUTED_VALUE"""),"A2C4. Raciones alimenticias entregadas en el comedor de DIPAM en 2024")</f>
        <v>A2C4. Raciones alimenticias entregadas en el comedor de DIPAM en 2024</v>
      </c>
      <c r="G606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6" s="79" t="str">
        <f ca="1">IFERROR(__xludf.DUMMYFUNCTION("""COMPUTED_VALUE"""),"MUJ Agosto")</f>
        <v>MUJ Agosto</v>
      </c>
      <c r="I606" s="79" t="str">
        <f ca="1">IFERROR(__xludf.DUMMYFUNCTION("""COMPUTED_VALUE"""),"Agosto")</f>
        <v>Agosto</v>
      </c>
      <c r="J606" s="79" t="str">
        <f ca="1">IFERROR(__xludf.DUMMYFUNCTION("""COMPUTED_VALUE"""),"MUJ")</f>
        <v>MUJ</v>
      </c>
      <c r="K606" s="80"/>
      <c r="L606" s="79" t="str">
        <f ca="1">IFERROR(__xludf.DUMMYFUNCTION("""COMPUTED_VALUE"""),"TRIMESTRE 3")</f>
        <v>TRIMESTRE 3</v>
      </c>
      <c r="M606" s="79" t="str">
        <f ca="1">IFERROR(__xludf.DUMMYFUNCTION("""COMPUTED_VALUE"""),"MUJERES ADULTAS")</f>
        <v>MUJERES ADULTAS</v>
      </c>
    </row>
    <row r="607" spans="1:13">
      <c r="A607" s="79" t="str">
        <f ca="1">IFERROR(__xludf.DUMMYFUNCTION("""COMPUTED_VALUE"""),"6.1.4.2")</f>
        <v>6.1.4.2</v>
      </c>
      <c r="B607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7" s="79" t="str">
        <f ca="1">IFERROR(__xludf.DUMMYFUNCTION("""COMPUTED_VALUE"""),"5. Inclusión")</f>
        <v>5. Inclusión</v>
      </c>
      <c r="D607" s="79" t="str">
        <f ca="1">IFERROR(__xludf.DUMMYFUNCTION("""COMPUTED_VALUE"""),"Guadalajara sin Barreras")</f>
        <v>Guadalajara sin Barreras</v>
      </c>
      <c r="E607" s="79" t="str">
        <f ca="1">IFERROR(__xludf.DUMMYFUNCTION("""COMPUTED_VALUE"""),"Desarrollo Integral de Personas Adultas Mayores")</f>
        <v>Desarrollo Integral de Personas Adultas Mayores</v>
      </c>
      <c r="F607" s="79" t="str">
        <f ca="1">IFERROR(__xludf.DUMMYFUNCTION("""COMPUTED_VALUE"""),"A2C4. Raciones alimenticias entregadas en el comedor de DIPAM en 2024")</f>
        <v>A2C4. Raciones alimenticias entregadas en el comedor de DIPAM en 2024</v>
      </c>
      <c r="G607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7" s="79" t="str">
        <f ca="1">IFERROR(__xludf.DUMMYFUNCTION("""COMPUTED_VALUE"""),"HOM Agosto")</f>
        <v>HOM Agosto</v>
      </c>
      <c r="I607" s="79" t="str">
        <f ca="1">IFERROR(__xludf.DUMMYFUNCTION("""COMPUTED_VALUE"""),"Agosto")</f>
        <v>Agosto</v>
      </c>
      <c r="J607" s="79" t="str">
        <f ca="1">IFERROR(__xludf.DUMMYFUNCTION("""COMPUTED_VALUE"""),"HOM")</f>
        <v>HOM</v>
      </c>
      <c r="K607" s="80"/>
      <c r="L607" s="79" t="str">
        <f ca="1">IFERROR(__xludf.DUMMYFUNCTION("""COMPUTED_VALUE"""),"TRIMESTRE 3")</f>
        <v>TRIMESTRE 3</v>
      </c>
      <c r="M607" s="79" t="str">
        <f ca="1">IFERROR(__xludf.DUMMYFUNCTION("""COMPUTED_VALUE"""),"HOMBRES ADULTOS")</f>
        <v>HOMBRES ADULTOS</v>
      </c>
    </row>
    <row r="608" spans="1:13">
      <c r="A608" s="79" t="str">
        <f ca="1">IFERROR(__xludf.DUMMYFUNCTION("""COMPUTED_VALUE"""),"6.1.4.2")</f>
        <v>6.1.4.2</v>
      </c>
      <c r="B608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8" s="79" t="str">
        <f ca="1">IFERROR(__xludf.DUMMYFUNCTION("""COMPUTED_VALUE"""),"5. Inclusión")</f>
        <v>5. Inclusión</v>
      </c>
      <c r="D608" s="79" t="str">
        <f ca="1">IFERROR(__xludf.DUMMYFUNCTION("""COMPUTED_VALUE"""),"Guadalajara sin Barreras")</f>
        <v>Guadalajara sin Barreras</v>
      </c>
      <c r="E608" s="79" t="str">
        <f ca="1">IFERROR(__xludf.DUMMYFUNCTION("""COMPUTED_VALUE"""),"Desarrollo Integral de Personas Adultas Mayores")</f>
        <v>Desarrollo Integral de Personas Adultas Mayores</v>
      </c>
      <c r="F608" s="79" t="str">
        <f ca="1">IFERROR(__xludf.DUMMYFUNCTION("""COMPUTED_VALUE"""),"A2C4. Raciones alimenticias entregadas en el comedor de DIPAM en 2024")</f>
        <v>A2C4. Raciones alimenticias entregadas en el comedor de DIPAM en 2024</v>
      </c>
      <c r="G608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8" s="79" t="str">
        <f ca="1">IFERROR(__xludf.DUMMYFUNCTION("""COMPUTED_VALUE"""),"AMM Agosto")</f>
        <v>AMM Agosto</v>
      </c>
      <c r="I608" s="79" t="str">
        <f ca="1">IFERROR(__xludf.DUMMYFUNCTION("""COMPUTED_VALUE"""),"Agosto")</f>
        <v>Agosto</v>
      </c>
      <c r="J608" s="79" t="str">
        <f ca="1">IFERROR(__xludf.DUMMYFUNCTION("""COMPUTED_VALUE"""),"AMM")</f>
        <v>AMM</v>
      </c>
      <c r="K608" s="80">
        <f ca="1">IFERROR(__xludf.DUMMYFUNCTION("""COMPUTED_VALUE"""),1188)</f>
        <v>1188</v>
      </c>
      <c r="L608" s="79" t="str">
        <f ca="1">IFERROR(__xludf.DUMMYFUNCTION("""COMPUTED_VALUE"""),"TRIMESTRE 3")</f>
        <v>TRIMESTRE 3</v>
      </c>
      <c r="M608" s="79" t="str">
        <f ca="1">IFERROR(__xludf.DUMMYFUNCTION("""COMPUTED_VALUE"""),"ADULTA MAYOR MUJER")</f>
        <v>ADULTA MAYOR MUJER</v>
      </c>
    </row>
    <row r="609" spans="1:26">
      <c r="A609" s="79" t="str">
        <f ca="1">IFERROR(__xludf.DUMMYFUNCTION("""COMPUTED_VALUE"""),"6.1.4.2")</f>
        <v>6.1.4.2</v>
      </c>
      <c r="B609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09" s="79" t="str">
        <f ca="1">IFERROR(__xludf.DUMMYFUNCTION("""COMPUTED_VALUE"""),"5. Inclusión")</f>
        <v>5. Inclusión</v>
      </c>
      <c r="D609" s="79" t="str">
        <f ca="1">IFERROR(__xludf.DUMMYFUNCTION("""COMPUTED_VALUE"""),"Guadalajara sin Barreras")</f>
        <v>Guadalajara sin Barreras</v>
      </c>
      <c r="E609" s="79" t="str">
        <f ca="1">IFERROR(__xludf.DUMMYFUNCTION("""COMPUTED_VALUE"""),"Desarrollo Integral de Personas Adultas Mayores")</f>
        <v>Desarrollo Integral de Personas Adultas Mayores</v>
      </c>
      <c r="F609" s="79" t="str">
        <f ca="1">IFERROR(__xludf.DUMMYFUNCTION("""COMPUTED_VALUE"""),"A2C4. Raciones alimenticias entregadas en el comedor de DIPAM en 2024")</f>
        <v>A2C4. Raciones alimenticias entregadas en el comedor de DIPAM en 2024</v>
      </c>
      <c r="G609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09" s="79" t="str">
        <f ca="1">IFERROR(__xludf.DUMMYFUNCTION("""COMPUTED_VALUE"""),"AMH Agosto")</f>
        <v>AMH Agosto</v>
      </c>
      <c r="I609" s="79" t="str">
        <f ca="1">IFERROR(__xludf.DUMMYFUNCTION("""COMPUTED_VALUE"""),"Agosto")</f>
        <v>Agosto</v>
      </c>
      <c r="J609" s="79" t="str">
        <f ca="1">IFERROR(__xludf.DUMMYFUNCTION("""COMPUTED_VALUE"""),"AMH")</f>
        <v>AMH</v>
      </c>
      <c r="K609" s="80">
        <f ca="1">IFERROR(__xludf.DUMMYFUNCTION("""COMPUTED_VALUE"""),1056)</f>
        <v>1056</v>
      </c>
      <c r="L609" s="79" t="str">
        <f ca="1">IFERROR(__xludf.DUMMYFUNCTION("""COMPUTED_VALUE"""),"TRIMESTRE 3")</f>
        <v>TRIMESTRE 3</v>
      </c>
      <c r="M609" s="79" t="str">
        <f ca="1">IFERROR(__xludf.DUMMYFUNCTION("""COMPUTED_VALUE"""),"ADULTO MAYOR HOMBRE")</f>
        <v>ADULTO MAYOR HOMBRE</v>
      </c>
    </row>
    <row r="610" spans="1:26">
      <c r="A610" s="81" t="str">
        <f ca="1">IFERROR(__xludf.DUMMYFUNCTION("""COMPUTED_VALUE"""),"6.1.4.0")</f>
        <v>6.1.4.0</v>
      </c>
      <c r="B610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0" s="81" t="str">
        <f ca="1">IFERROR(__xludf.DUMMYFUNCTION("""COMPUTED_VALUE"""),"5. Inclusión")</f>
        <v>5. Inclusión</v>
      </c>
      <c r="D610" s="81" t="str">
        <f ca="1">IFERROR(__xludf.DUMMYFUNCTION("""COMPUTED_VALUE"""),"Guadalajara sin Barreras")</f>
        <v>Guadalajara sin Barreras</v>
      </c>
      <c r="E610" s="81" t="str">
        <f ca="1">IFERROR(__xludf.DUMMYFUNCTION("""COMPUTED_VALUE"""),"Desarrollo Integral de Personas Adultas Mayores")</f>
        <v>Desarrollo Integral de Personas Adultas Mayores</v>
      </c>
      <c r="F610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0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0" s="81" t="str">
        <f ca="1">IFERROR(__xludf.DUMMYFUNCTION("""COMPUTED_VALUE"""),"NAS Septiembre")</f>
        <v>NAS Septiembre</v>
      </c>
      <c r="I610" s="81" t="str">
        <f ca="1">IFERROR(__xludf.DUMMYFUNCTION("""COMPUTED_VALUE"""),"Septiembre")</f>
        <v>Septiembre</v>
      </c>
      <c r="J610" s="81" t="str">
        <f ca="1">IFERROR(__xludf.DUMMYFUNCTION("""COMPUTED_VALUE"""),"NAS")</f>
        <v>NAS</v>
      </c>
      <c r="K610" s="80"/>
      <c r="L610" s="81" t="str">
        <f ca="1">IFERROR(__xludf.DUMMYFUNCTION("""COMPUTED_VALUE"""),"TRIMESTRE 3")</f>
        <v>TRIMESTRE 3</v>
      </c>
      <c r="M610" s="81" t="str">
        <f ca="1">IFERROR(__xludf.DUMMYFUNCTION("""COMPUTED_VALUE"""),"NIÑAS")</f>
        <v>NIÑAS</v>
      </c>
      <c r="N610" s="81"/>
      <c r="O610" s="81"/>
      <c r="P610" s="81"/>
      <c r="Q610" s="81"/>
      <c r="R610" s="81"/>
      <c r="S610" s="81"/>
      <c r="T610" s="81"/>
      <c r="U610" s="81"/>
      <c r="V610" s="81"/>
      <c r="W610" s="81"/>
      <c r="X610" s="81"/>
      <c r="Y610" s="81"/>
      <c r="Z610" s="81"/>
    </row>
    <row r="611" spans="1:26">
      <c r="A611" s="81" t="str">
        <f ca="1">IFERROR(__xludf.DUMMYFUNCTION("""COMPUTED_VALUE"""),"6.1.4.0")</f>
        <v>6.1.4.0</v>
      </c>
      <c r="B611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1" s="81" t="str">
        <f ca="1">IFERROR(__xludf.DUMMYFUNCTION("""COMPUTED_VALUE"""),"5. Inclusión")</f>
        <v>5. Inclusión</v>
      </c>
      <c r="D611" s="81" t="str">
        <f ca="1">IFERROR(__xludf.DUMMYFUNCTION("""COMPUTED_VALUE"""),"Guadalajara sin Barreras")</f>
        <v>Guadalajara sin Barreras</v>
      </c>
      <c r="E611" s="81" t="str">
        <f ca="1">IFERROR(__xludf.DUMMYFUNCTION("""COMPUTED_VALUE"""),"Desarrollo Integral de Personas Adultas Mayores")</f>
        <v>Desarrollo Integral de Personas Adultas Mayores</v>
      </c>
      <c r="F611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1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1" s="81" t="str">
        <f ca="1">IFERROR(__xludf.DUMMYFUNCTION("""COMPUTED_VALUE"""),"NOS Septiembre")</f>
        <v>NOS Septiembre</v>
      </c>
      <c r="I611" s="81" t="str">
        <f ca="1">IFERROR(__xludf.DUMMYFUNCTION("""COMPUTED_VALUE"""),"Septiembre")</f>
        <v>Septiembre</v>
      </c>
      <c r="J611" s="81" t="str">
        <f ca="1">IFERROR(__xludf.DUMMYFUNCTION("""COMPUTED_VALUE"""),"NOS")</f>
        <v>NOS</v>
      </c>
      <c r="K611" s="80"/>
      <c r="L611" s="81" t="str">
        <f ca="1">IFERROR(__xludf.DUMMYFUNCTION("""COMPUTED_VALUE"""),"TRIMESTRE 3")</f>
        <v>TRIMESTRE 3</v>
      </c>
      <c r="M611" s="81" t="str">
        <f ca="1">IFERROR(__xludf.DUMMYFUNCTION("""COMPUTED_VALUE"""),"NIÑOS")</f>
        <v>NIÑOS</v>
      </c>
      <c r="N611" s="81"/>
      <c r="O611" s="81"/>
      <c r="P611" s="81"/>
      <c r="Q611" s="81"/>
      <c r="R611" s="81"/>
      <c r="S611" s="81"/>
      <c r="T611" s="81"/>
      <c r="U611" s="81"/>
      <c r="V611" s="81"/>
      <c r="W611" s="81"/>
      <c r="X611" s="81"/>
      <c r="Y611" s="81"/>
      <c r="Z611" s="81"/>
    </row>
    <row r="612" spans="1:26">
      <c r="A612" s="81" t="str">
        <f ca="1">IFERROR(__xludf.DUMMYFUNCTION("""COMPUTED_VALUE"""),"6.1.4.0")</f>
        <v>6.1.4.0</v>
      </c>
      <c r="B612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2" s="81" t="str">
        <f ca="1">IFERROR(__xludf.DUMMYFUNCTION("""COMPUTED_VALUE"""),"5. Inclusión")</f>
        <v>5. Inclusión</v>
      </c>
      <c r="D612" s="81" t="str">
        <f ca="1">IFERROR(__xludf.DUMMYFUNCTION("""COMPUTED_VALUE"""),"Guadalajara sin Barreras")</f>
        <v>Guadalajara sin Barreras</v>
      </c>
      <c r="E612" s="81" t="str">
        <f ca="1">IFERROR(__xludf.DUMMYFUNCTION("""COMPUTED_VALUE"""),"Desarrollo Integral de Personas Adultas Mayores")</f>
        <v>Desarrollo Integral de Personas Adultas Mayores</v>
      </c>
      <c r="F612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2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2" s="81" t="str">
        <f ca="1">IFERROR(__xludf.DUMMYFUNCTION("""COMPUTED_VALUE"""),"AM Septiembre")</f>
        <v>AM Septiembre</v>
      </c>
      <c r="I612" s="81" t="str">
        <f ca="1">IFERROR(__xludf.DUMMYFUNCTION("""COMPUTED_VALUE"""),"Septiembre")</f>
        <v>Septiembre</v>
      </c>
      <c r="J612" s="81" t="str">
        <f ca="1">IFERROR(__xludf.DUMMYFUNCTION("""COMPUTED_VALUE"""),"AM")</f>
        <v>AM</v>
      </c>
      <c r="K612" s="80"/>
      <c r="L612" s="81" t="str">
        <f ca="1">IFERROR(__xludf.DUMMYFUNCTION("""COMPUTED_VALUE"""),"TRIMESTRE 3")</f>
        <v>TRIMESTRE 3</v>
      </c>
      <c r="M612" s="81" t="str">
        <f ca="1">IFERROR(__xludf.DUMMYFUNCTION("""COMPUTED_VALUE"""),"ADOLESCENTES MUJERES")</f>
        <v>ADOLESCENTES MUJERES</v>
      </c>
      <c r="N612" s="81"/>
      <c r="O612" s="81"/>
      <c r="P612" s="81"/>
      <c r="Q612" s="81"/>
      <c r="R612" s="81"/>
      <c r="S612" s="81"/>
      <c r="T612" s="81"/>
      <c r="U612" s="81"/>
      <c r="V612" s="81"/>
      <c r="W612" s="81"/>
      <c r="X612" s="81"/>
      <c r="Y612" s="81"/>
      <c r="Z612" s="81"/>
    </row>
    <row r="613" spans="1:26">
      <c r="A613" s="81" t="str">
        <f ca="1">IFERROR(__xludf.DUMMYFUNCTION("""COMPUTED_VALUE"""),"6.1.4.0")</f>
        <v>6.1.4.0</v>
      </c>
      <c r="B613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3" s="81" t="str">
        <f ca="1">IFERROR(__xludf.DUMMYFUNCTION("""COMPUTED_VALUE"""),"5. Inclusión")</f>
        <v>5. Inclusión</v>
      </c>
      <c r="D613" s="81" t="str">
        <f ca="1">IFERROR(__xludf.DUMMYFUNCTION("""COMPUTED_VALUE"""),"Guadalajara sin Barreras")</f>
        <v>Guadalajara sin Barreras</v>
      </c>
      <c r="E613" s="81" t="str">
        <f ca="1">IFERROR(__xludf.DUMMYFUNCTION("""COMPUTED_VALUE"""),"Desarrollo Integral de Personas Adultas Mayores")</f>
        <v>Desarrollo Integral de Personas Adultas Mayores</v>
      </c>
      <c r="F613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3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3" s="81" t="str">
        <f ca="1">IFERROR(__xludf.DUMMYFUNCTION("""COMPUTED_VALUE"""),"AH Septiembre")</f>
        <v>AH Septiembre</v>
      </c>
      <c r="I613" s="81" t="str">
        <f ca="1">IFERROR(__xludf.DUMMYFUNCTION("""COMPUTED_VALUE"""),"Septiembre")</f>
        <v>Septiembre</v>
      </c>
      <c r="J613" s="81" t="str">
        <f ca="1">IFERROR(__xludf.DUMMYFUNCTION("""COMPUTED_VALUE"""),"AH")</f>
        <v>AH</v>
      </c>
      <c r="K613" s="80"/>
      <c r="L613" s="81" t="str">
        <f ca="1">IFERROR(__xludf.DUMMYFUNCTION("""COMPUTED_VALUE"""),"TRIMESTRE 3")</f>
        <v>TRIMESTRE 3</v>
      </c>
      <c r="M613" s="81" t="str">
        <f ca="1">IFERROR(__xludf.DUMMYFUNCTION("""COMPUTED_VALUE"""),"ADOLESCENTES HOMBRES")</f>
        <v>ADOLESCENTES HOMBRES</v>
      </c>
      <c r="N613" s="81"/>
      <c r="O613" s="81"/>
      <c r="P613" s="81"/>
      <c r="Q613" s="81"/>
      <c r="R613" s="81"/>
      <c r="S613" s="81"/>
      <c r="T613" s="81"/>
      <c r="U613" s="81"/>
      <c r="V613" s="81"/>
      <c r="W613" s="81"/>
      <c r="X613" s="81"/>
      <c r="Y613" s="81"/>
      <c r="Z613" s="81"/>
    </row>
    <row r="614" spans="1:26">
      <c r="A614" s="81" t="str">
        <f ca="1">IFERROR(__xludf.DUMMYFUNCTION("""COMPUTED_VALUE"""),"6.1.4.0")</f>
        <v>6.1.4.0</v>
      </c>
      <c r="B614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4" s="81" t="str">
        <f ca="1">IFERROR(__xludf.DUMMYFUNCTION("""COMPUTED_VALUE"""),"5. Inclusión")</f>
        <v>5. Inclusión</v>
      </c>
      <c r="D614" s="81" t="str">
        <f ca="1">IFERROR(__xludf.DUMMYFUNCTION("""COMPUTED_VALUE"""),"Guadalajara sin Barreras")</f>
        <v>Guadalajara sin Barreras</v>
      </c>
      <c r="E614" s="81" t="str">
        <f ca="1">IFERROR(__xludf.DUMMYFUNCTION("""COMPUTED_VALUE"""),"Desarrollo Integral de Personas Adultas Mayores")</f>
        <v>Desarrollo Integral de Personas Adultas Mayores</v>
      </c>
      <c r="F614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4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4" s="81" t="str">
        <f ca="1">IFERROR(__xludf.DUMMYFUNCTION("""COMPUTED_VALUE"""),"MUJ Septiembre")</f>
        <v>MUJ Septiembre</v>
      </c>
      <c r="I614" s="81" t="str">
        <f ca="1">IFERROR(__xludf.DUMMYFUNCTION("""COMPUTED_VALUE"""),"Septiembre")</f>
        <v>Septiembre</v>
      </c>
      <c r="J614" s="81" t="str">
        <f ca="1">IFERROR(__xludf.DUMMYFUNCTION("""COMPUTED_VALUE"""),"MUJ")</f>
        <v>MUJ</v>
      </c>
      <c r="K614" s="80"/>
      <c r="L614" s="81" t="str">
        <f ca="1">IFERROR(__xludf.DUMMYFUNCTION("""COMPUTED_VALUE"""),"TRIMESTRE 3")</f>
        <v>TRIMESTRE 3</v>
      </c>
      <c r="M614" s="81" t="str">
        <f ca="1">IFERROR(__xludf.DUMMYFUNCTION("""COMPUTED_VALUE"""),"MUJERES ADULTAS")</f>
        <v>MUJERES ADULTAS</v>
      </c>
      <c r="N614" s="81"/>
      <c r="O614" s="81"/>
      <c r="P614" s="81"/>
      <c r="Q614" s="81"/>
      <c r="R614" s="81"/>
      <c r="S614" s="81"/>
      <c r="T614" s="81"/>
      <c r="U614" s="81"/>
      <c r="V614" s="81"/>
      <c r="W614" s="81"/>
      <c r="X614" s="81"/>
      <c r="Y614" s="81"/>
      <c r="Z614" s="81"/>
    </row>
    <row r="615" spans="1:26">
      <c r="A615" s="81" t="str">
        <f ca="1">IFERROR(__xludf.DUMMYFUNCTION("""COMPUTED_VALUE"""),"6.1.4.0")</f>
        <v>6.1.4.0</v>
      </c>
      <c r="B615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5" s="81" t="str">
        <f ca="1">IFERROR(__xludf.DUMMYFUNCTION("""COMPUTED_VALUE"""),"5. Inclusión")</f>
        <v>5. Inclusión</v>
      </c>
      <c r="D615" s="81" t="str">
        <f ca="1">IFERROR(__xludf.DUMMYFUNCTION("""COMPUTED_VALUE"""),"Guadalajara sin Barreras")</f>
        <v>Guadalajara sin Barreras</v>
      </c>
      <c r="E615" s="81" t="str">
        <f ca="1">IFERROR(__xludf.DUMMYFUNCTION("""COMPUTED_VALUE"""),"Desarrollo Integral de Personas Adultas Mayores")</f>
        <v>Desarrollo Integral de Personas Adultas Mayores</v>
      </c>
      <c r="F615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5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5" s="81" t="str">
        <f ca="1">IFERROR(__xludf.DUMMYFUNCTION("""COMPUTED_VALUE"""),"HOM Septiembre")</f>
        <v>HOM Septiembre</v>
      </c>
      <c r="I615" s="81" t="str">
        <f ca="1">IFERROR(__xludf.DUMMYFUNCTION("""COMPUTED_VALUE"""),"Septiembre")</f>
        <v>Septiembre</v>
      </c>
      <c r="J615" s="81" t="str">
        <f ca="1">IFERROR(__xludf.DUMMYFUNCTION("""COMPUTED_VALUE"""),"HOM")</f>
        <v>HOM</v>
      </c>
      <c r="K615" s="80"/>
      <c r="L615" s="81" t="str">
        <f ca="1">IFERROR(__xludf.DUMMYFUNCTION("""COMPUTED_VALUE"""),"TRIMESTRE 3")</f>
        <v>TRIMESTRE 3</v>
      </c>
      <c r="M615" s="81" t="str">
        <f ca="1">IFERROR(__xludf.DUMMYFUNCTION("""COMPUTED_VALUE"""),"HOMBRES ADULTOS")</f>
        <v>HOMBRES ADULTOS</v>
      </c>
      <c r="N615" s="81"/>
      <c r="O615" s="81"/>
      <c r="P615" s="81"/>
      <c r="Q615" s="81"/>
      <c r="R615" s="81"/>
      <c r="S615" s="81"/>
      <c r="T615" s="81"/>
      <c r="U615" s="81"/>
      <c r="V615" s="81"/>
      <c r="W615" s="81"/>
      <c r="X615" s="81"/>
      <c r="Y615" s="81"/>
      <c r="Z615" s="81"/>
    </row>
    <row r="616" spans="1:26">
      <c r="A616" s="81" t="str">
        <f ca="1">IFERROR(__xludf.DUMMYFUNCTION("""COMPUTED_VALUE"""),"6.1.4.0")</f>
        <v>6.1.4.0</v>
      </c>
      <c r="B616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6" s="81" t="str">
        <f ca="1">IFERROR(__xludf.DUMMYFUNCTION("""COMPUTED_VALUE"""),"5. Inclusión")</f>
        <v>5. Inclusión</v>
      </c>
      <c r="D616" s="81" t="str">
        <f ca="1">IFERROR(__xludf.DUMMYFUNCTION("""COMPUTED_VALUE"""),"Guadalajara sin Barreras")</f>
        <v>Guadalajara sin Barreras</v>
      </c>
      <c r="E616" s="81" t="str">
        <f ca="1">IFERROR(__xludf.DUMMYFUNCTION("""COMPUTED_VALUE"""),"Desarrollo Integral de Personas Adultas Mayores")</f>
        <v>Desarrollo Integral de Personas Adultas Mayores</v>
      </c>
      <c r="F616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6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6" s="81" t="str">
        <f ca="1">IFERROR(__xludf.DUMMYFUNCTION("""COMPUTED_VALUE"""),"AMM Septiembre")</f>
        <v>AMM Septiembre</v>
      </c>
      <c r="I616" s="81" t="str">
        <f ca="1">IFERROR(__xludf.DUMMYFUNCTION("""COMPUTED_VALUE"""),"Septiembre")</f>
        <v>Septiembre</v>
      </c>
      <c r="J616" s="81" t="str">
        <f ca="1">IFERROR(__xludf.DUMMYFUNCTION("""COMPUTED_VALUE"""),"AMM")</f>
        <v>AMM</v>
      </c>
      <c r="K616" s="80">
        <f ca="1">IFERROR(__xludf.DUMMYFUNCTION("""COMPUTED_VALUE"""),1184)</f>
        <v>1184</v>
      </c>
      <c r="L616" s="81" t="str">
        <f ca="1">IFERROR(__xludf.DUMMYFUNCTION("""COMPUTED_VALUE"""),"TRIMESTRE 3")</f>
        <v>TRIMESTRE 3</v>
      </c>
      <c r="M616" s="81" t="str">
        <f ca="1">IFERROR(__xludf.DUMMYFUNCTION("""COMPUTED_VALUE"""),"ADULTA MAYOR MUJER")</f>
        <v>ADULTA MAYOR MUJER</v>
      </c>
      <c r="N616" s="81"/>
      <c r="O616" s="81"/>
      <c r="P616" s="81"/>
      <c r="Q616" s="81"/>
      <c r="R616" s="81"/>
      <c r="S616" s="81"/>
      <c r="T616" s="81"/>
      <c r="U616" s="81"/>
      <c r="V616" s="81"/>
      <c r="W616" s="81"/>
      <c r="X616" s="81"/>
      <c r="Y616" s="81"/>
      <c r="Z616" s="81"/>
    </row>
    <row r="617" spans="1:26">
      <c r="A617" s="81" t="str">
        <f ca="1">IFERROR(__xludf.DUMMYFUNCTION("""COMPUTED_VALUE"""),"6.1.4.0")</f>
        <v>6.1.4.0</v>
      </c>
      <c r="B617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17" s="81" t="str">
        <f ca="1">IFERROR(__xludf.DUMMYFUNCTION("""COMPUTED_VALUE"""),"5. Inclusión")</f>
        <v>5. Inclusión</v>
      </c>
      <c r="D617" s="81" t="str">
        <f ca="1">IFERROR(__xludf.DUMMYFUNCTION("""COMPUTED_VALUE"""),"Guadalajara sin Barreras")</f>
        <v>Guadalajara sin Barreras</v>
      </c>
      <c r="E617" s="81" t="str">
        <f ca="1">IFERROR(__xludf.DUMMYFUNCTION("""COMPUTED_VALUE"""),"Desarrollo Integral de Personas Adultas Mayores")</f>
        <v>Desarrollo Integral de Personas Adultas Mayores</v>
      </c>
      <c r="F617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17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17" s="81" t="str">
        <f ca="1">IFERROR(__xludf.DUMMYFUNCTION("""COMPUTED_VALUE"""),"AMH Septiembre")</f>
        <v>AMH Septiembre</v>
      </c>
      <c r="I617" s="81" t="str">
        <f ca="1">IFERROR(__xludf.DUMMYFUNCTION("""COMPUTED_VALUE"""),"Septiembre")</f>
        <v>Septiembre</v>
      </c>
      <c r="J617" s="81" t="str">
        <f ca="1">IFERROR(__xludf.DUMMYFUNCTION("""COMPUTED_VALUE"""),"AMH")</f>
        <v>AMH</v>
      </c>
      <c r="K617" s="80">
        <f ca="1">IFERROR(__xludf.DUMMYFUNCTION("""COMPUTED_VALUE"""),282)</f>
        <v>282</v>
      </c>
      <c r="L617" s="81" t="str">
        <f ca="1">IFERROR(__xludf.DUMMYFUNCTION("""COMPUTED_VALUE"""),"TRIMESTRE 3")</f>
        <v>TRIMESTRE 3</v>
      </c>
      <c r="M617" s="81" t="str">
        <f ca="1">IFERROR(__xludf.DUMMYFUNCTION("""COMPUTED_VALUE"""),"ADULTO MAYOR HOMBRE")</f>
        <v>ADULTO MAYOR HOMBRE</v>
      </c>
      <c r="N617" s="81"/>
      <c r="O617" s="81"/>
      <c r="P617" s="81"/>
      <c r="Q617" s="81"/>
      <c r="R617" s="81"/>
      <c r="S617" s="81"/>
      <c r="T617" s="81"/>
      <c r="U617" s="81"/>
      <c r="V617" s="81"/>
      <c r="W617" s="81"/>
      <c r="X617" s="81"/>
      <c r="Y617" s="81"/>
      <c r="Z617" s="81"/>
    </row>
    <row r="618" spans="1:26">
      <c r="A618" s="79" t="str">
        <f ca="1">IFERROR(__xludf.DUMMYFUNCTION("""COMPUTED_VALUE"""),"6.1.4.2")</f>
        <v>6.1.4.2</v>
      </c>
      <c r="B618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18" s="79" t="str">
        <f ca="1">IFERROR(__xludf.DUMMYFUNCTION("""COMPUTED_VALUE"""),"5. Inclusión")</f>
        <v>5. Inclusión</v>
      </c>
      <c r="D618" s="79" t="str">
        <f ca="1">IFERROR(__xludf.DUMMYFUNCTION("""COMPUTED_VALUE"""),"Guadalajara sin Barreras")</f>
        <v>Guadalajara sin Barreras</v>
      </c>
      <c r="E618" s="79" t="str">
        <f ca="1">IFERROR(__xludf.DUMMYFUNCTION("""COMPUTED_VALUE"""),"Desarrollo Integral de Personas Adultas Mayores")</f>
        <v>Desarrollo Integral de Personas Adultas Mayores</v>
      </c>
      <c r="F618" s="79" t="str">
        <f ca="1">IFERROR(__xludf.DUMMYFUNCTION("""COMPUTED_VALUE"""),"A2C4. Raciones alimenticias entregadas en el comedor de DIPAM en 2024")</f>
        <v>A2C4. Raciones alimenticias entregadas en el comedor de DIPAM en 2024</v>
      </c>
      <c r="G618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18" s="79" t="str">
        <f ca="1">IFERROR(__xludf.DUMMYFUNCTION("""COMPUTED_VALUE"""),"NAS Septiembre")</f>
        <v>NAS Septiembre</v>
      </c>
      <c r="I618" s="79" t="str">
        <f ca="1">IFERROR(__xludf.DUMMYFUNCTION("""COMPUTED_VALUE"""),"Septiembre")</f>
        <v>Septiembre</v>
      </c>
      <c r="J618" s="79" t="str">
        <f ca="1">IFERROR(__xludf.DUMMYFUNCTION("""COMPUTED_VALUE"""),"NAS")</f>
        <v>NAS</v>
      </c>
      <c r="K618" s="80"/>
      <c r="L618" s="79" t="str">
        <f ca="1">IFERROR(__xludf.DUMMYFUNCTION("""COMPUTED_VALUE"""),"TRIMESTRE 3")</f>
        <v>TRIMESTRE 3</v>
      </c>
      <c r="M618" s="79" t="str">
        <f ca="1">IFERROR(__xludf.DUMMYFUNCTION("""COMPUTED_VALUE"""),"NIÑAS")</f>
        <v>NIÑAS</v>
      </c>
    </row>
    <row r="619" spans="1:26">
      <c r="A619" s="79" t="str">
        <f ca="1">IFERROR(__xludf.DUMMYFUNCTION("""COMPUTED_VALUE"""),"6.1.4.2")</f>
        <v>6.1.4.2</v>
      </c>
      <c r="B619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19" s="79" t="str">
        <f ca="1">IFERROR(__xludf.DUMMYFUNCTION("""COMPUTED_VALUE"""),"5. Inclusión")</f>
        <v>5. Inclusión</v>
      </c>
      <c r="D619" s="79" t="str">
        <f ca="1">IFERROR(__xludf.DUMMYFUNCTION("""COMPUTED_VALUE"""),"Guadalajara sin Barreras")</f>
        <v>Guadalajara sin Barreras</v>
      </c>
      <c r="E619" s="79" t="str">
        <f ca="1">IFERROR(__xludf.DUMMYFUNCTION("""COMPUTED_VALUE"""),"Desarrollo Integral de Personas Adultas Mayores")</f>
        <v>Desarrollo Integral de Personas Adultas Mayores</v>
      </c>
      <c r="F619" s="79" t="str">
        <f ca="1">IFERROR(__xludf.DUMMYFUNCTION("""COMPUTED_VALUE"""),"A2C4. Raciones alimenticias entregadas en el comedor de DIPAM en 2024")</f>
        <v>A2C4. Raciones alimenticias entregadas en el comedor de DIPAM en 2024</v>
      </c>
      <c r="G619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19" s="79" t="str">
        <f ca="1">IFERROR(__xludf.DUMMYFUNCTION("""COMPUTED_VALUE"""),"NOS Septiembre")</f>
        <v>NOS Septiembre</v>
      </c>
      <c r="I619" s="79" t="str">
        <f ca="1">IFERROR(__xludf.DUMMYFUNCTION("""COMPUTED_VALUE"""),"Septiembre")</f>
        <v>Septiembre</v>
      </c>
      <c r="J619" s="79" t="str">
        <f ca="1">IFERROR(__xludf.DUMMYFUNCTION("""COMPUTED_VALUE"""),"NOS")</f>
        <v>NOS</v>
      </c>
      <c r="K619" s="80"/>
      <c r="L619" s="79" t="str">
        <f ca="1">IFERROR(__xludf.DUMMYFUNCTION("""COMPUTED_VALUE"""),"TRIMESTRE 3")</f>
        <v>TRIMESTRE 3</v>
      </c>
      <c r="M619" s="79" t="str">
        <f ca="1">IFERROR(__xludf.DUMMYFUNCTION("""COMPUTED_VALUE"""),"NIÑOS")</f>
        <v>NIÑOS</v>
      </c>
    </row>
    <row r="620" spans="1:26">
      <c r="A620" s="79" t="str">
        <f ca="1">IFERROR(__xludf.DUMMYFUNCTION("""COMPUTED_VALUE"""),"6.1.4.2")</f>
        <v>6.1.4.2</v>
      </c>
      <c r="B620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20" s="79" t="str">
        <f ca="1">IFERROR(__xludf.DUMMYFUNCTION("""COMPUTED_VALUE"""),"5. Inclusión")</f>
        <v>5. Inclusión</v>
      </c>
      <c r="D620" s="79" t="str">
        <f ca="1">IFERROR(__xludf.DUMMYFUNCTION("""COMPUTED_VALUE"""),"Guadalajara sin Barreras")</f>
        <v>Guadalajara sin Barreras</v>
      </c>
      <c r="E620" s="79" t="str">
        <f ca="1">IFERROR(__xludf.DUMMYFUNCTION("""COMPUTED_VALUE"""),"Desarrollo Integral de Personas Adultas Mayores")</f>
        <v>Desarrollo Integral de Personas Adultas Mayores</v>
      </c>
      <c r="F620" s="79" t="str">
        <f ca="1">IFERROR(__xludf.DUMMYFUNCTION("""COMPUTED_VALUE"""),"A2C4. Raciones alimenticias entregadas en el comedor de DIPAM en 2024")</f>
        <v>A2C4. Raciones alimenticias entregadas en el comedor de DIPAM en 2024</v>
      </c>
      <c r="G620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20" s="79" t="str">
        <f ca="1">IFERROR(__xludf.DUMMYFUNCTION("""COMPUTED_VALUE"""),"AM Septiembre")</f>
        <v>AM Septiembre</v>
      </c>
      <c r="I620" s="79" t="str">
        <f ca="1">IFERROR(__xludf.DUMMYFUNCTION("""COMPUTED_VALUE"""),"Septiembre")</f>
        <v>Septiembre</v>
      </c>
      <c r="J620" s="79" t="str">
        <f ca="1">IFERROR(__xludf.DUMMYFUNCTION("""COMPUTED_VALUE"""),"AM")</f>
        <v>AM</v>
      </c>
      <c r="K620" s="80"/>
      <c r="L620" s="79" t="str">
        <f ca="1">IFERROR(__xludf.DUMMYFUNCTION("""COMPUTED_VALUE"""),"TRIMESTRE 3")</f>
        <v>TRIMESTRE 3</v>
      </c>
      <c r="M620" s="79" t="str">
        <f ca="1">IFERROR(__xludf.DUMMYFUNCTION("""COMPUTED_VALUE"""),"ADOLESCENTES MUJERES")</f>
        <v>ADOLESCENTES MUJERES</v>
      </c>
    </row>
    <row r="621" spans="1:26">
      <c r="A621" s="79" t="str">
        <f ca="1">IFERROR(__xludf.DUMMYFUNCTION("""COMPUTED_VALUE"""),"6.1.4.2")</f>
        <v>6.1.4.2</v>
      </c>
      <c r="B621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21" s="79" t="str">
        <f ca="1">IFERROR(__xludf.DUMMYFUNCTION("""COMPUTED_VALUE"""),"5. Inclusión")</f>
        <v>5. Inclusión</v>
      </c>
      <c r="D621" s="79" t="str">
        <f ca="1">IFERROR(__xludf.DUMMYFUNCTION("""COMPUTED_VALUE"""),"Guadalajara sin Barreras")</f>
        <v>Guadalajara sin Barreras</v>
      </c>
      <c r="E621" s="79" t="str">
        <f ca="1">IFERROR(__xludf.DUMMYFUNCTION("""COMPUTED_VALUE"""),"Desarrollo Integral de Personas Adultas Mayores")</f>
        <v>Desarrollo Integral de Personas Adultas Mayores</v>
      </c>
      <c r="F621" s="79" t="str">
        <f ca="1">IFERROR(__xludf.DUMMYFUNCTION("""COMPUTED_VALUE"""),"A2C4. Raciones alimenticias entregadas en el comedor de DIPAM en 2024")</f>
        <v>A2C4. Raciones alimenticias entregadas en el comedor de DIPAM en 2024</v>
      </c>
      <c r="G621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21" s="79" t="str">
        <f ca="1">IFERROR(__xludf.DUMMYFUNCTION("""COMPUTED_VALUE"""),"AH Septiembre")</f>
        <v>AH Septiembre</v>
      </c>
      <c r="I621" s="79" t="str">
        <f ca="1">IFERROR(__xludf.DUMMYFUNCTION("""COMPUTED_VALUE"""),"Septiembre")</f>
        <v>Septiembre</v>
      </c>
      <c r="J621" s="79" t="str">
        <f ca="1">IFERROR(__xludf.DUMMYFUNCTION("""COMPUTED_VALUE"""),"AH")</f>
        <v>AH</v>
      </c>
      <c r="K621" s="80"/>
      <c r="L621" s="79" t="str">
        <f ca="1">IFERROR(__xludf.DUMMYFUNCTION("""COMPUTED_VALUE"""),"TRIMESTRE 3")</f>
        <v>TRIMESTRE 3</v>
      </c>
      <c r="M621" s="79" t="str">
        <f ca="1">IFERROR(__xludf.DUMMYFUNCTION("""COMPUTED_VALUE"""),"ADOLESCENTES HOMBRES")</f>
        <v>ADOLESCENTES HOMBRES</v>
      </c>
    </row>
    <row r="622" spans="1:26">
      <c r="A622" s="79" t="str">
        <f ca="1">IFERROR(__xludf.DUMMYFUNCTION("""COMPUTED_VALUE"""),"6.1.4.2")</f>
        <v>6.1.4.2</v>
      </c>
      <c r="B622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22" s="79" t="str">
        <f ca="1">IFERROR(__xludf.DUMMYFUNCTION("""COMPUTED_VALUE"""),"5. Inclusión")</f>
        <v>5. Inclusión</v>
      </c>
      <c r="D622" s="79" t="str">
        <f ca="1">IFERROR(__xludf.DUMMYFUNCTION("""COMPUTED_VALUE"""),"Guadalajara sin Barreras")</f>
        <v>Guadalajara sin Barreras</v>
      </c>
      <c r="E622" s="79" t="str">
        <f ca="1">IFERROR(__xludf.DUMMYFUNCTION("""COMPUTED_VALUE"""),"Desarrollo Integral de Personas Adultas Mayores")</f>
        <v>Desarrollo Integral de Personas Adultas Mayores</v>
      </c>
      <c r="F622" s="79" t="str">
        <f ca="1">IFERROR(__xludf.DUMMYFUNCTION("""COMPUTED_VALUE"""),"A2C4. Raciones alimenticias entregadas en el comedor de DIPAM en 2024")</f>
        <v>A2C4. Raciones alimenticias entregadas en el comedor de DIPAM en 2024</v>
      </c>
      <c r="G622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22" s="79" t="str">
        <f ca="1">IFERROR(__xludf.DUMMYFUNCTION("""COMPUTED_VALUE"""),"MUJ Septiembre")</f>
        <v>MUJ Septiembre</v>
      </c>
      <c r="I622" s="79" t="str">
        <f ca="1">IFERROR(__xludf.DUMMYFUNCTION("""COMPUTED_VALUE"""),"Septiembre")</f>
        <v>Septiembre</v>
      </c>
      <c r="J622" s="79" t="str">
        <f ca="1">IFERROR(__xludf.DUMMYFUNCTION("""COMPUTED_VALUE"""),"MUJ")</f>
        <v>MUJ</v>
      </c>
      <c r="K622" s="80"/>
      <c r="L622" s="79" t="str">
        <f ca="1">IFERROR(__xludf.DUMMYFUNCTION("""COMPUTED_VALUE"""),"TRIMESTRE 3")</f>
        <v>TRIMESTRE 3</v>
      </c>
      <c r="M622" s="79" t="str">
        <f ca="1">IFERROR(__xludf.DUMMYFUNCTION("""COMPUTED_VALUE"""),"MUJERES ADULTAS")</f>
        <v>MUJERES ADULTAS</v>
      </c>
    </row>
    <row r="623" spans="1:26">
      <c r="A623" s="79" t="str">
        <f ca="1">IFERROR(__xludf.DUMMYFUNCTION("""COMPUTED_VALUE"""),"6.1.4.2")</f>
        <v>6.1.4.2</v>
      </c>
      <c r="B623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23" s="79" t="str">
        <f ca="1">IFERROR(__xludf.DUMMYFUNCTION("""COMPUTED_VALUE"""),"5. Inclusión")</f>
        <v>5. Inclusión</v>
      </c>
      <c r="D623" s="79" t="str">
        <f ca="1">IFERROR(__xludf.DUMMYFUNCTION("""COMPUTED_VALUE"""),"Guadalajara sin Barreras")</f>
        <v>Guadalajara sin Barreras</v>
      </c>
      <c r="E623" s="79" t="str">
        <f ca="1">IFERROR(__xludf.DUMMYFUNCTION("""COMPUTED_VALUE"""),"Desarrollo Integral de Personas Adultas Mayores")</f>
        <v>Desarrollo Integral de Personas Adultas Mayores</v>
      </c>
      <c r="F623" s="79" t="str">
        <f ca="1">IFERROR(__xludf.DUMMYFUNCTION("""COMPUTED_VALUE"""),"A2C4. Raciones alimenticias entregadas en el comedor de DIPAM en 2024")</f>
        <v>A2C4. Raciones alimenticias entregadas en el comedor de DIPAM en 2024</v>
      </c>
      <c r="G623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23" s="79" t="str">
        <f ca="1">IFERROR(__xludf.DUMMYFUNCTION("""COMPUTED_VALUE"""),"HOM Septiembre")</f>
        <v>HOM Septiembre</v>
      </c>
      <c r="I623" s="79" t="str">
        <f ca="1">IFERROR(__xludf.DUMMYFUNCTION("""COMPUTED_VALUE"""),"Septiembre")</f>
        <v>Septiembre</v>
      </c>
      <c r="J623" s="79" t="str">
        <f ca="1">IFERROR(__xludf.DUMMYFUNCTION("""COMPUTED_VALUE"""),"HOM")</f>
        <v>HOM</v>
      </c>
      <c r="K623" s="80"/>
      <c r="L623" s="79" t="str">
        <f ca="1">IFERROR(__xludf.DUMMYFUNCTION("""COMPUTED_VALUE"""),"TRIMESTRE 3")</f>
        <v>TRIMESTRE 3</v>
      </c>
      <c r="M623" s="79" t="str">
        <f ca="1">IFERROR(__xludf.DUMMYFUNCTION("""COMPUTED_VALUE"""),"HOMBRES ADULTOS")</f>
        <v>HOMBRES ADULTOS</v>
      </c>
    </row>
    <row r="624" spans="1:26">
      <c r="A624" s="79" t="str">
        <f ca="1">IFERROR(__xludf.DUMMYFUNCTION("""COMPUTED_VALUE"""),"6.1.4.2")</f>
        <v>6.1.4.2</v>
      </c>
      <c r="B624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24" s="79" t="str">
        <f ca="1">IFERROR(__xludf.DUMMYFUNCTION("""COMPUTED_VALUE"""),"5. Inclusión")</f>
        <v>5. Inclusión</v>
      </c>
      <c r="D624" s="79" t="str">
        <f ca="1">IFERROR(__xludf.DUMMYFUNCTION("""COMPUTED_VALUE"""),"Guadalajara sin Barreras")</f>
        <v>Guadalajara sin Barreras</v>
      </c>
      <c r="E624" s="79" t="str">
        <f ca="1">IFERROR(__xludf.DUMMYFUNCTION("""COMPUTED_VALUE"""),"Desarrollo Integral de Personas Adultas Mayores")</f>
        <v>Desarrollo Integral de Personas Adultas Mayores</v>
      </c>
      <c r="F624" s="79" t="str">
        <f ca="1">IFERROR(__xludf.DUMMYFUNCTION("""COMPUTED_VALUE"""),"A2C4. Raciones alimenticias entregadas en el comedor de DIPAM en 2024")</f>
        <v>A2C4. Raciones alimenticias entregadas en el comedor de DIPAM en 2024</v>
      </c>
      <c r="G624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24" s="79" t="str">
        <f ca="1">IFERROR(__xludf.DUMMYFUNCTION("""COMPUTED_VALUE"""),"AMM Septiembre")</f>
        <v>AMM Septiembre</v>
      </c>
      <c r="I624" s="79" t="str">
        <f ca="1">IFERROR(__xludf.DUMMYFUNCTION("""COMPUTED_VALUE"""),"Septiembre")</f>
        <v>Septiembre</v>
      </c>
      <c r="J624" s="79" t="str">
        <f ca="1">IFERROR(__xludf.DUMMYFUNCTION("""COMPUTED_VALUE"""),"AMM")</f>
        <v>AMM</v>
      </c>
      <c r="K624" s="80">
        <f ca="1">IFERROR(__xludf.DUMMYFUNCTION("""COMPUTED_VALUE"""),918)</f>
        <v>918</v>
      </c>
      <c r="L624" s="79" t="str">
        <f ca="1">IFERROR(__xludf.DUMMYFUNCTION("""COMPUTED_VALUE"""),"TRIMESTRE 3")</f>
        <v>TRIMESTRE 3</v>
      </c>
      <c r="M624" s="79" t="str">
        <f ca="1">IFERROR(__xludf.DUMMYFUNCTION("""COMPUTED_VALUE"""),"ADULTA MAYOR MUJER")</f>
        <v>ADULTA MAYOR MUJER</v>
      </c>
    </row>
    <row r="625" spans="1:13">
      <c r="A625" s="79" t="str">
        <f ca="1">IFERROR(__xludf.DUMMYFUNCTION("""COMPUTED_VALUE"""),"6.1.4.2")</f>
        <v>6.1.4.2</v>
      </c>
      <c r="B625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25" s="79" t="str">
        <f ca="1">IFERROR(__xludf.DUMMYFUNCTION("""COMPUTED_VALUE"""),"5. Inclusión")</f>
        <v>5. Inclusión</v>
      </c>
      <c r="D625" s="79" t="str">
        <f ca="1">IFERROR(__xludf.DUMMYFUNCTION("""COMPUTED_VALUE"""),"Guadalajara sin Barreras")</f>
        <v>Guadalajara sin Barreras</v>
      </c>
      <c r="E625" s="79" t="str">
        <f ca="1">IFERROR(__xludf.DUMMYFUNCTION("""COMPUTED_VALUE"""),"Desarrollo Integral de Personas Adultas Mayores")</f>
        <v>Desarrollo Integral de Personas Adultas Mayores</v>
      </c>
      <c r="F625" s="79" t="str">
        <f ca="1">IFERROR(__xludf.DUMMYFUNCTION("""COMPUTED_VALUE"""),"A2C4. Raciones alimenticias entregadas en el comedor de DIPAM en 2024")</f>
        <v>A2C4. Raciones alimenticias entregadas en el comedor de DIPAM en 2024</v>
      </c>
      <c r="G625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25" s="79" t="str">
        <f ca="1">IFERROR(__xludf.DUMMYFUNCTION("""COMPUTED_VALUE"""),"AMH Septiembre")</f>
        <v>AMH Septiembre</v>
      </c>
      <c r="I625" s="79" t="str">
        <f ca="1">IFERROR(__xludf.DUMMYFUNCTION("""COMPUTED_VALUE"""),"Septiembre")</f>
        <v>Septiembre</v>
      </c>
      <c r="J625" s="79" t="str">
        <f ca="1">IFERROR(__xludf.DUMMYFUNCTION("""COMPUTED_VALUE"""),"AMH")</f>
        <v>AMH</v>
      </c>
      <c r="K625" s="80">
        <f ca="1">IFERROR(__xludf.DUMMYFUNCTION("""COMPUTED_VALUE"""),816)</f>
        <v>816</v>
      </c>
      <c r="L625" s="79" t="str">
        <f ca="1">IFERROR(__xludf.DUMMYFUNCTION("""COMPUTED_VALUE"""),"TRIMESTRE 3")</f>
        <v>TRIMESTRE 3</v>
      </c>
      <c r="M625" s="79" t="str">
        <f ca="1">IFERROR(__xludf.DUMMYFUNCTION("""COMPUTED_VALUE"""),"ADULTO MAYOR HOMBRE")</f>
        <v>ADULTO MAYOR HOMBRE</v>
      </c>
    </row>
    <row r="626" spans="1:13">
      <c r="A626" s="79" t="str">
        <f ca="1">IFERROR(__xludf.DUMMYFUNCTION("""COMPUTED_VALUE"""),"6.1.4.0")</f>
        <v>6.1.4.0</v>
      </c>
      <c r="B626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26" s="79" t="str">
        <f ca="1">IFERROR(__xludf.DUMMYFUNCTION("""COMPUTED_VALUE"""),"5. Inclusión")</f>
        <v>5. Inclusión</v>
      </c>
      <c r="D626" s="79" t="str">
        <f ca="1">IFERROR(__xludf.DUMMYFUNCTION("""COMPUTED_VALUE"""),"Guadalajara sin Barreras")</f>
        <v>Guadalajara sin Barreras</v>
      </c>
      <c r="E626" s="79" t="str">
        <f ca="1">IFERROR(__xludf.DUMMYFUNCTION("""COMPUTED_VALUE"""),"Desarrollo Integral de Personas Adultas Mayores")</f>
        <v>Desarrollo Integral de Personas Adultas Mayores</v>
      </c>
      <c r="F626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26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26" s="79" t="str">
        <f ca="1">IFERROR(__xludf.DUMMYFUNCTION("""COMPUTED_VALUE"""),"NAS Octubre")</f>
        <v>NAS Octubre</v>
      </c>
      <c r="I626" s="79" t="str">
        <f ca="1">IFERROR(__xludf.DUMMYFUNCTION("""COMPUTED_VALUE"""),"Octubre")</f>
        <v>Octubre</v>
      </c>
      <c r="J626" s="79" t="str">
        <f ca="1">IFERROR(__xludf.DUMMYFUNCTION("""COMPUTED_VALUE"""),"NAS")</f>
        <v>NAS</v>
      </c>
      <c r="K626" s="80"/>
      <c r="L626" s="79" t="str">
        <f ca="1">IFERROR(__xludf.DUMMYFUNCTION("""COMPUTED_VALUE"""),"TRIMESTRE 4")</f>
        <v>TRIMESTRE 4</v>
      </c>
      <c r="M626" s="79" t="str">
        <f ca="1">IFERROR(__xludf.DUMMYFUNCTION("""COMPUTED_VALUE"""),"NIÑAS")</f>
        <v>NIÑAS</v>
      </c>
    </row>
    <row r="627" spans="1:13">
      <c r="A627" s="79" t="str">
        <f ca="1">IFERROR(__xludf.DUMMYFUNCTION("""COMPUTED_VALUE"""),"6.1.4.0")</f>
        <v>6.1.4.0</v>
      </c>
      <c r="B627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27" s="79" t="str">
        <f ca="1">IFERROR(__xludf.DUMMYFUNCTION("""COMPUTED_VALUE"""),"5. Inclusión")</f>
        <v>5. Inclusión</v>
      </c>
      <c r="D627" s="79" t="str">
        <f ca="1">IFERROR(__xludf.DUMMYFUNCTION("""COMPUTED_VALUE"""),"Guadalajara sin Barreras")</f>
        <v>Guadalajara sin Barreras</v>
      </c>
      <c r="E627" s="79" t="str">
        <f ca="1">IFERROR(__xludf.DUMMYFUNCTION("""COMPUTED_VALUE"""),"Desarrollo Integral de Personas Adultas Mayores")</f>
        <v>Desarrollo Integral de Personas Adultas Mayores</v>
      </c>
      <c r="F627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27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27" s="79" t="str">
        <f ca="1">IFERROR(__xludf.DUMMYFUNCTION("""COMPUTED_VALUE"""),"NOS Octubre")</f>
        <v>NOS Octubre</v>
      </c>
      <c r="I627" s="79" t="str">
        <f ca="1">IFERROR(__xludf.DUMMYFUNCTION("""COMPUTED_VALUE"""),"Octubre")</f>
        <v>Octubre</v>
      </c>
      <c r="J627" s="79" t="str">
        <f ca="1">IFERROR(__xludf.DUMMYFUNCTION("""COMPUTED_VALUE"""),"NOS")</f>
        <v>NOS</v>
      </c>
      <c r="K627" s="80"/>
      <c r="L627" s="79" t="str">
        <f ca="1">IFERROR(__xludf.DUMMYFUNCTION("""COMPUTED_VALUE"""),"TRIMESTRE 4")</f>
        <v>TRIMESTRE 4</v>
      </c>
      <c r="M627" s="79" t="str">
        <f ca="1">IFERROR(__xludf.DUMMYFUNCTION("""COMPUTED_VALUE"""),"NIÑOS")</f>
        <v>NIÑOS</v>
      </c>
    </row>
    <row r="628" spans="1:13">
      <c r="A628" s="79" t="str">
        <f ca="1">IFERROR(__xludf.DUMMYFUNCTION("""COMPUTED_VALUE"""),"6.1.4.0")</f>
        <v>6.1.4.0</v>
      </c>
      <c r="B628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28" s="79" t="str">
        <f ca="1">IFERROR(__xludf.DUMMYFUNCTION("""COMPUTED_VALUE"""),"5. Inclusión")</f>
        <v>5. Inclusión</v>
      </c>
      <c r="D628" s="79" t="str">
        <f ca="1">IFERROR(__xludf.DUMMYFUNCTION("""COMPUTED_VALUE"""),"Guadalajara sin Barreras")</f>
        <v>Guadalajara sin Barreras</v>
      </c>
      <c r="E628" s="79" t="str">
        <f ca="1">IFERROR(__xludf.DUMMYFUNCTION("""COMPUTED_VALUE"""),"Desarrollo Integral de Personas Adultas Mayores")</f>
        <v>Desarrollo Integral de Personas Adultas Mayores</v>
      </c>
      <c r="F628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28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28" s="79" t="str">
        <f ca="1">IFERROR(__xludf.DUMMYFUNCTION("""COMPUTED_VALUE"""),"AM Octubre")</f>
        <v>AM Octubre</v>
      </c>
      <c r="I628" s="79" t="str">
        <f ca="1">IFERROR(__xludf.DUMMYFUNCTION("""COMPUTED_VALUE"""),"Octubre")</f>
        <v>Octubre</v>
      </c>
      <c r="J628" s="79" t="str">
        <f ca="1">IFERROR(__xludf.DUMMYFUNCTION("""COMPUTED_VALUE"""),"AM")</f>
        <v>AM</v>
      </c>
      <c r="K628" s="80"/>
      <c r="L628" s="79" t="str">
        <f ca="1">IFERROR(__xludf.DUMMYFUNCTION("""COMPUTED_VALUE"""),"TRIMESTRE 4")</f>
        <v>TRIMESTRE 4</v>
      </c>
      <c r="M628" s="79" t="str">
        <f ca="1">IFERROR(__xludf.DUMMYFUNCTION("""COMPUTED_VALUE"""),"ADOLESCENTES MUJERES")</f>
        <v>ADOLESCENTES MUJERES</v>
      </c>
    </row>
    <row r="629" spans="1:13">
      <c r="A629" s="79" t="str">
        <f ca="1">IFERROR(__xludf.DUMMYFUNCTION("""COMPUTED_VALUE"""),"6.1.4.0")</f>
        <v>6.1.4.0</v>
      </c>
      <c r="B629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29" s="79" t="str">
        <f ca="1">IFERROR(__xludf.DUMMYFUNCTION("""COMPUTED_VALUE"""),"5. Inclusión")</f>
        <v>5. Inclusión</v>
      </c>
      <c r="D629" s="79" t="str">
        <f ca="1">IFERROR(__xludf.DUMMYFUNCTION("""COMPUTED_VALUE"""),"Guadalajara sin Barreras")</f>
        <v>Guadalajara sin Barreras</v>
      </c>
      <c r="E629" s="79" t="str">
        <f ca="1">IFERROR(__xludf.DUMMYFUNCTION("""COMPUTED_VALUE"""),"Desarrollo Integral de Personas Adultas Mayores")</f>
        <v>Desarrollo Integral de Personas Adultas Mayores</v>
      </c>
      <c r="F629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29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29" s="79" t="str">
        <f ca="1">IFERROR(__xludf.DUMMYFUNCTION("""COMPUTED_VALUE"""),"AH Octubre")</f>
        <v>AH Octubre</v>
      </c>
      <c r="I629" s="79" t="str">
        <f ca="1">IFERROR(__xludf.DUMMYFUNCTION("""COMPUTED_VALUE"""),"Octubre")</f>
        <v>Octubre</v>
      </c>
      <c r="J629" s="79" t="str">
        <f ca="1">IFERROR(__xludf.DUMMYFUNCTION("""COMPUTED_VALUE"""),"AH")</f>
        <v>AH</v>
      </c>
      <c r="K629" s="80"/>
      <c r="L629" s="79" t="str">
        <f ca="1">IFERROR(__xludf.DUMMYFUNCTION("""COMPUTED_VALUE"""),"TRIMESTRE 4")</f>
        <v>TRIMESTRE 4</v>
      </c>
      <c r="M629" s="79" t="str">
        <f ca="1">IFERROR(__xludf.DUMMYFUNCTION("""COMPUTED_VALUE"""),"ADOLESCENTES HOMBRES")</f>
        <v>ADOLESCENTES HOMBRES</v>
      </c>
    </row>
    <row r="630" spans="1:13">
      <c r="A630" s="79" t="str">
        <f ca="1">IFERROR(__xludf.DUMMYFUNCTION("""COMPUTED_VALUE"""),"6.1.4.0")</f>
        <v>6.1.4.0</v>
      </c>
      <c r="B630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30" s="79" t="str">
        <f ca="1">IFERROR(__xludf.DUMMYFUNCTION("""COMPUTED_VALUE"""),"5. Inclusión")</f>
        <v>5. Inclusión</v>
      </c>
      <c r="D630" s="79" t="str">
        <f ca="1">IFERROR(__xludf.DUMMYFUNCTION("""COMPUTED_VALUE"""),"Guadalajara sin Barreras")</f>
        <v>Guadalajara sin Barreras</v>
      </c>
      <c r="E630" s="79" t="str">
        <f ca="1">IFERROR(__xludf.DUMMYFUNCTION("""COMPUTED_VALUE"""),"Desarrollo Integral de Personas Adultas Mayores")</f>
        <v>Desarrollo Integral de Personas Adultas Mayores</v>
      </c>
      <c r="F630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30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30" s="79" t="str">
        <f ca="1">IFERROR(__xludf.DUMMYFUNCTION("""COMPUTED_VALUE"""),"MUJ Octubre")</f>
        <v>MUJ Octubre</v>
      </c>
      <c r="I630" s="79" t="str">
        <f ca="1">IFERROR(__xludf.DUMMYFUNCTION("""COMPUTED_VALUE"""),"Octubre")</f>
        <v>Octubre</v>
      </c>
      <c r="J630" s="79" t="str">
        <f ca="1">IFERROR(__xludf.DUMMYFUNCTION("""COMPUTED_VALUE"""),"MUJ")</f>
        <v>MUJ</v>
      </c>
      <c r="K630" s="80"/>
      <c r="L630" s="79" t="str">
        <f ca="1">IFERROR(__xludf.DUMMYFUNCTION("""COMPUTED_VALUE"""),"TRIMESTRE 4")</f>
        <v>TRIMESTRE 4</v>
      </c>
      <c r="M630" s="79" t="str">
        <f ca="1">IFERROR(__xludf.DUMMYFUNCTION("""COMPUTED_VALUE"""),"MUJERES ADULTAS")</f>
        <v>MUJERES ADULTAS</v>
      </c>
    </row>
    <row r="631" spans="1:13">
      <c r="A631" s="79" t="str">
        <f ca="1">IFERROR(__xludf.DUMMYFUNCTION("""COMPUTED_VALUE"""),"6.1.4.0")</f>
        <v>6.1.4.0</v>
      </c>
      <c r="B631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31" s="79" t="str">
        <f ca="1">IFERROR(__xludf.DUMMYFUNCTION("""COMPUTED_VALUE"""),"5. Inclusión")</f>
        <v>5. Inclusión</v>
      </c>
      <c r="D631" s="79" t="str">
        <f ca="1">IFERROR(__xludf.DUMMYFUNCTION("""COMPUTED_VALUE"""),"Guadalajara sin Barreras")</f>
        <v>Guadalajara sin Barreras</v>
      </c>
      <c r="E631" s="79" t="str">
        <f ca="1">IFERROR(__xludf.DUMMYFUNCTION("""COMPUTED_VALUE"""),"Desarrollo Integral de Personas Adultas Mayores")</f>
        <v>Desarrollo Integral de Personas Adultas Mayores</v>
      </c>
      <c r="F631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31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31" s="79" t="str">
        <f ca="1">IFERROR(__xludf.DUMMYFUNCTION("""COMPUTED_VALUE"""),"HOM Octubre")</f>
        <v>HOM Octubre</v>
      </c>
      <c r="I631" s="79" t="str">
        <f ca="1">IFERROR(__xludf.DUMMYFUNCTION("""COMPUTED_VALUE"""),"Octubre")</f>
        <v>Octubre</v>
      </c>
      <c r="J631" s="79" t="str">
        <f ca="1">IFERROR(__xludf.DUMMYFUNCTION("""COMPUTED_VALUE"""),"HOM")</f>
        <v>HOM</v>
      </c>
      <c r="K631" s="80"/>
      <c r="L631" s="79" t="str">
        <f ca="1">IFERROR(__xludf.DUMMYFUNCTION("""COMPUTED_VALUE"""),"TRIMESTRE 4")</f>
        <v>TRIMESTRE 4</v>
      </c>
      <c r="M631" s="79" t="str">
        <f ca="1">IFERROR(__xludf.DUMMYFUNCTION("""COMPUTED_VALUE"""),"HOMBRES ADULTOS")</f>
        <v>HOMBRES ADULTOS</v>
      </c>
    </row>
    <row r="632" spans="1:13">
      <c r="A632" s="79" t="str">
        <f ca="1">IFERROR(__xludf.DUMMYFUNCTION("""COMPUTED_VALUE"""),"6.1.4.0")</f>
        <v>6.1.4.0</v>
      </c>
      <c r="B632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32" s="79" t="str">
        <f ca="1">IFERROR(__xludf.DUMMYFUNCTION("""COMPUTED_VALUE"""),"5. Inclusión")</f>
        <v>5. Inclusión</v>
      </c>
      <c r="D632" s="79" t="str">
        <f ca="1">IFERROR(__xludf.DUMMYFUNCTION("""COMPUTED_VALUE"""),"Guadalajara sin Barreras")</f>
        <v>Guadalajara sin Barreras</v>
      </c>
      <c r="E632" s="79" t="str">
        <f ca="1">IFERROR(__xludf.DUMMYFUNCTION("""COMPUTED_VALUE"""),"Desarrollo Integral de Personas Adultas Mayores")</f>
        <v>Desarrollo Integral de Personas Adultas Mayores</v>
      </c>
      <c r="F632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32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32" s="79" t="str">
        <f ca="1">IFERROR(__xludf.DUMMYFUNCTION("""COMPUTED_VALUE"""),"AMM Octubre")</f>
        <v>AMM Octubre</v>
      </c>
      <c r="I632" s="79" t="str">
        <f ca="1">IFERROR(__xludf.DUMMYFUNCTION("""COMPUTED_VALUE"""),"Octubre")</f>
        <v>Octubre</v>
      </c>
      <c r="J632" s="79" t="str">
        <f ca="1">IFERROR(__xludf.DUMMYFUNCTION("""COMPUTED_VALUE"""),"AMM")</f>
        <v>AMM</v>
      </c>
      <c r="K632" s="80">
        <f ca="1">IFERROR(__xludf.DUMMYFUNCTION("""COMPUTED_VALUE"""),2333)</f>
        <v>2333</v>
      </c>
      <c r="L632" s="79" t="str">
        <f ca="1">IFERROR(__xludf.DUMMYFUNCTION("""COMPUTED_VALUE"""),"TRIMESTRE 4")</f>
        <v>TRIMESTRE 4</v>
      </c>
      <c r="M632" s="79" t="str">
        <f ca="1">IFERROR(__xludf.DUMMYFUNCTION("""COMPUTED_VALUE"""),"ADULTA MAYOR MUJER")</f>
        <v>ADULTA MAYOR MUJER</v>
      </c>
    </row>
    <row r="633" spans="1:13">
      <c r="A633" s="79" t="str">
        <f ca="1">IFERROR(__xludf.DUMMYFUNCTION("""COMPUTED_VALUE"""),"6.1.4.0")</f>
        <v>6.1.4.0</v>
      </c>
      <c r="B633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33" s="79" t="str">
        <f ca="1">IFERROR(__xludf.DUMMYFUNCTION("""COMPUTED_VALUE"""),"5. Inclusión")</f>
        <v>5. Inclusión</v>
      </c>
      <c r="D633" s="79" t="str">
        <f ca="1">IFERROR(__xludf.DUMMYFUNCTION("""COMPUTED_VALUE"""),"Guadalajara sin Barreras")</f>
        <v>Guadalajara sin Barreras</v>
      </c>
      <c r="E633" s="79" t="str">
        <f ca="1">IFERROR(__xludf.DUMMYFUNCTION("""COMPUTED_VALUE"""),"Desarrollo Integral de Personas Adultas Mayores")</f>
        <v>Desarrollo Integral de Personas Adultas Mayores</v>
      </c>
      <c r="F633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33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33" s="79" t="str">
        <f ca="1">IFERROR(__xludf.DUMMYFUNCTION("""COMPUTED_VALUE"""),"AMH Octubre")</f>
        <v>AMH Octubre</v>
      </c>
      <c r="I633" s="79" t="str">
        <f ca="1">IFERROR(__xludf.DUMMYFUNCTION("""COMPUTED_VALUE"""),"Octubre")</f>
        <v>Octubre</v>
      </c>
      <c r="J633" s="79" t="str">
        <f ca="1">IFERROR(__xludf.DUMMYFUNCTION("""COMPUTED_VALUE"""),"AMH")</f>
        <v>AMH</v>
      </c>
      <c r="K633" s="80">
        <f ca="1">IFERROR(__xludf.DUMMYFUNCTION("""COMPUTED_VALUE"""),455)</f>
        <v>455</v>
      </c>
      <c r="L633" s="79" t="str">
        <f ca="1">IFERROR(__xludf.DUMMYFUNCTION("""COMPUTED_VALUE"""),"TRIMESTRE 4")</f>
        <v>TRIMESTRE 4</v>
      </c>
      <c r="M633" s="79" t="str">
        <f ca="1">IFERROR(__xludf.DUMMYFUNCTION("""COMPUTED_VALUE"""),"ADULTO MAYOR HOMBRE")</f>
        <v>ADULTO MAYOR HOMBRE</v>
      </c>
    </row>
    <row r="634" spans="1:13">
      <c r="A634" s="79" t="str">
        <f ca="1">IFERROR(__xludf.DUMMYFUNCTION("""COMPUTED_VALUE"""),"6.1.4.2")</f>
        <v>6.1.4.2</v>
      </c>
      <c r="B634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34" s="79" t="str">
        <f ca="1">IFERROR(__xludf.DUMMYFUNCTION("""COMPUTED_VALUE"""),"5. Inclusión")</f>
        <v>5. Inclusión</v>
      </c>
      <c r="D634" s="79" t="str">
        <f ca="1">IFERROR(__xludf.DUMMYFUNCTION("""COMPUTED_VALUE"""),"Guadalajara sin Barreras")</f>
        <v>Guadalajara sin Barreras</v>
      </c>
      <c r="E634" s="79" t="str">
        <f ca="1">IFERROR(__xludf.DUMMYFUNCTION("""COMPUTED_VALUE"""),"Desarrollo Integral de Personas Adultas Mayores")</f>
        <v>Desarrollo Integral de Personas Adultas Mayores</v>
      </c>
      <c r="F634" s="79" t="str">
        <f ca="1">IFERROR(__xludf.DUMMYFUNCTION("""COMPUTED_VALUE"""),"A2C4. Raciones alimenticias entregadas en el comedor de DIPAM en 2024")</f>
        <v>A2C4. Raciones alimenticias entregadas en el comedor de DIPAM en 2024</v>
      </c>
      <c r="G634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34" s="79" t="str">
        <f ca="1">IFERROR(__xludf.DUMMYFUNCTION("""COMPUTED_VALUE"""),"NAS Octubre")</f>
        <v>NAS Octubre</v>
      </c>
      <c r="I634" s="79" t="str">
        <f ca="1">IFERROR(__xludf.DUMMYFUNCTION("""COMPUTED_VALUE"""),"Octubre")</f>
        <v>Octubre</v>
      </c>
      <c r="J634" s="79" t="str">
        <f ca="1">IFERROR(__xludf.DUMMYFUNCTION("""COMPUTED_VALUE"""),"NAS")</f>
        <v>NAS</v>
      </c>
      <c r="K634" s="80"/>
      <c r="L634" s="79" t="str">
        <f ca="1">IFERROR(__xludf.DUMMYFUNCTION("""COMPUTED_VALUE"""),"TRIMESTRE 4")</f>
        <v>TRIMESTRE 4</v>
      </c>
      <c r="M634" s="79" t="str">
        <f ca="1">IFERROR(__xludf.DUMMYFUNCTION("""COMPUTED_VALUE"""),"NIÑAS")</f>
        <v>NIÑAS</v>
      </c>
    </row>
    <row r="635" spans="1:13">
      <c r="A635" s="79" t="str">
        <f ca="1">IFERROR(__xludf.DUMMYFUNCTION("""COMPUTED_VALUE"""),"6.1.4.2")</f>
        <v>6.1.4.2</v>
      </c>
      <c r="B635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35" s="79" t="str">
        <f ca="1">IFERROR(__xludf.DUMMYFUNCTION("""COMPUTED_VALUE"""),"5. Inclusión")</f>
        <v>5. Inclusión</v>
      </c>
      <c r="D635" s="79" t="str">
        <f ca="1">IFERROR(__xludf.DUMMYFUNCTION("""COMPUTED_VALUE"""),"Guadalajara sin Barreras")</f>
        <v>Guadalajara sin Barreras</v>
      </c>
      <c r="E635" s="79" t="str">
        <f ca="1">IFERROR(__xludf.DUMMYFUNCTION("""COMPUTED_VALUE"""),"Desarrollo Integral de Personas Adultas Mayores")</f>
        <v>Desarrollo Integral de Personas Adultas Mayores</v>
      </c>
      <c r="F635" s="79" t="str">
        <f ca="1">IFERROR(__xludf.DUMMYFUNCTION("""COMPUTED_VALUE"""),"A2C4. Raciones alimenticias entregadas en el comedor de DIPAM en 2024")</f>
        <v>A2C4. Raciones alimenticias entregadas en el comedor de DIPAM en 2024</v>
      </c>
      <c r="G635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35" s="79" t="str">
        <f ca="1">IFERROR(__xludf.DUMMYFUNCTION("""COMPUTED_VALUE"""),"NOS Octubre")</f>
        <v>NOS Octubre</v>
      </c>
      <c r="I635" s="79" t="str">
        <f ca="1">IFERROR(__xludf.DUMMYFUNCTION("""COMPUTED_VALUE"""),"Octubre")</f>
        <v>Octubre</v>
      </c>
      <c r="J635" s="79" t="str">
        <f ca="1">IFERROR(__xludf.DUMMYFUNCTION("""COMPUTED_VALUE"""),"NOS")</f>
        <v>NOS</v>
      </c>
      <c r="K635" s="80"/>
      <c r="L635" s="79" t="str">
        <f ca="1">IFERROR(__xludf.DUMMYFUNCTION("""COMPUTED_VALUE"""),"TRIMESTRE 4")</f>
        <v>TRIMESTRE 4</v>
      </c>
      <c r="M635" s="79" t="str">
        <f ca="1">IFERROR(__xludf.DUMMYFUNCTION("""COMPUTED_VALUE"""),"NIÑOS")</f>
        <v>NIÑOS</v>
      </c>
    </row>
    <row r="636" spans="1:13">
      <c r="A636" s="79" t="str">
        <f ca="1">IFERROR(__xludf.DUMMYFUNCTION("""COMPUTED_VALUE"""),"6.1.4.2")</f>
        <v>6.1.4.2</v>
      </c>
      <c r="B636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36" s="79" t="str">
        <f ca="1">IFERROR(__xludf.DUMMYFUNCTION("""COMPUTED_VALUE"""),"5. Inclusión")</f>
        <v>5. Inclusión</v>
      </c>
      <c r="D636" s="79" t="str">
        <f ca="1">IFERROR(__xludf.DUMMYFUNCTION("""COMPUTED_VALUE"""),"Guadalajara sin Barreras")</f>
        <v>Guadalajara sin Barreras</v>
      </c>
      <c r="E636" s="79" t="str">
        <f ca="1">IFERROR(__xludf.DUMMYFUNCTION("""COMPUTED_VALUE"""),"Desarrollo Integral de Personas Adultas Mayores")</f>
        <v>Desarrollo Integral de Personas Adultas Mayores</v>
      </c>
      <c r="F636" s="79" t="str">
        <f ca="1">IFERROR(__xludf.DUMMYFUNCTION("""COMPUTED_VALUE"""),"A2C4. Raciones alimenticias entregadas en el comedor de DIPAM en 2024")</f>
        <v>A2C4. Raciones alimenticias entregadas en el comedor de DIPAM en 2024</v>
      </c>
      <c r="G636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36" s="79" t="str">
        <f ca="1">IFERROR(__xludf.DUMMYFUNCTION("""COMPUTED_VALUE"""),"AM Octubre")</f>
        <v>AM Octubre</v>
      </c>
      <c r="I636" s="79" t="str">
        <f ca="1">IFERROR(__xludf.DUMMYFUNCTION("""COMPUTED_VALUE"""),"Octubre")</f>
        <v>Octubre</v>
      </c>
      <c r="J636" s="79" t="str">
        <f ca="1">IFERROR(__xludf.DUMMYFUNCTION("""COMPUTED_VALUE"""),"AM")</f>
        <v>AM</v>
      </c>
      <c r="K636" s="80"/>
      <c r="L636" s="79" t="str">
        <f ca="1">IFERROR(__xludf.DUMMYFUNCTION("""COMPUTED_VALUE"""),"TRIMESTRE 4")</f>
        <v>TRIMESTRE 4</v>
      </c>
      <c r="M636" s="79" t="str">
        <f ca="1">IFERROR(__xludf.DUMMYFUNCTION("""COMPUTED_VALUE"""),"ADOLESCENTES MUJERES")</f>
        <v>ADOLESCENTES MUJERES</v>
      </c>
    </row>
    <row r="637" spans="1:13">
      <c r="A637" s="79" t="str">
        <f ca="1">IFERROR(__xludf.DUMMYFUNCTION("""COMPUTED_VALUE"""),"6.1.4.2")</f>
        <v>6.1.4.2</v>
      </c>
      <c r="B637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37" s="79" t="str">
        <f ca="1">IFERROR(__xludf.DUMMYFUNCTION("""COMPUTED_VALUE"""),"5. Inclusión")</f>
        <v>5. Inclusión</v>
      </c>
      <c r="D637" s="79" t="str">
        <f ca="1">IFERROR(__xludf.DUMMYFUNCTION("""COMPUTED_VALUE"""),"Guadalajara sin Barreras")</f>
        <v>Guadalajara sin Barreras</v>
      </c>
      <c r="E637" s="79" t="str">
        <f ca="1">IFERROR(__xludf.DUMMYFUNCTION("""COMPUTED_VALUE"""),"Desarrollo Integral de Personas Adultas Mayores")</f>
        <v>Desarrollo Integral de Personas Adultas Mayores</v>
      </c>
      <c r="F637" s="79" t="str">
        <f ca="1">IFERROR(__xludf.DUMMYFUNCTION("""COMPUTED_VALUE"""),"A2C4. Raciones alimenticias entregadas en el comedor de DIPAM en 2024")</f>
        <v>A2C4. Raciones alimenticias entregadas en el comedor de DIPAM en 2024</v>
      </c>
      <c r="G637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37" s="79" t="str">
        <f ca="1">IFERROR(__xludf.DUMMYFUNCTION("""COMPUTED_VALUE"""),"AH Octubre")</f>
        <v>AH Octubre</v>
      </c>
      <c r="I637" s="79" t="str">
        <f ca="1">IFERROR(__xludf.DUMMYFUNCTION("""COMPUTED_VALUE"""),"Octubre")</f>
        <v>Octubre</v>
      </c>
      <c r="J637" s="79" t="str">
        <f ca="1">IFERROR(__xludf.DUMMYFUNCTION("""COMPUTED_VALUE"""),"AH")</f>
        <v>AH</v>
      </c>
      <c r="K637" s="80"/>
      <c r="L637" s="79" t="str">
        <f ca="1">IFERROR(__xludf.DUMMYFUNCTION("""COMPUTED_VALUE"""),"TRIMESTRE 4")</f>
        <v>TRIMESTRE 4</v>
      </c>
      <c r="M637" s="79" t="str">
        <f ca="1">IFERROR(__xludf.DUMMYFUNCTION("""COMPUTED_VALUE"""),"ADOLESCENTES HOMBRES")</f>
        <v>ADOLESCENTES HOMBRES</v>
      </c>
    </row>
    <row r="638" spans="1:13">
      <c r="A638" s="79" t="str">
        <f ca="1">IFERROR(__xludf.DUMMYFUNCTION("""COMPUTED_VALUE"""),"6.1.4.2")</f>
        <v>6.1.4.2</v>
      </c>
      <c r="B638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38" s="79" t="str">
        <f ca="1">IFERROR(__xludf.DUMMYFUNCTION("""COMPUTED_VALUE"""),"5. Inclusión")</f>
        <v>5. Inclusión</v>
      </c>
      <c r="D638" s="79" t="str">
        <f ca="1">IFERROR(__xludf.DUMMYFUNCTION("""COMPUTED_VALUE"""),"Guadalajara sin Barreras")</f>
        <v>Guadalajara sin Barreras</v>
      </c>
      <c r="E638" s="79" t="str">
        <f ca="1">IFERROR(__xludf.DUMMYFUNCTION("""COMPUTED_VALUE"""),"Desarrollo Integral de Personas Adultas Mayores")</f>
        <v>Desarrollo Integral de Personas Adultas Mayores</v>
      </c>
      <c r="F638" s="79" t="str">
        <f ca="1">IFERROR(__xludf.DUMMYFUNCTION("""COMPUTED_VALUE"""),"A2C4. Raciones alimenticias entregadas en el comedor de DIPAM en 2024")</f>
        <v>A2C4. Raciones alimenticias entregadas en el comedor de DIPAM en 2024</v>
      </c>
      <c r="G638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38" s="79" t="str">
        <f ca="1">IFERROR(__xludf.DUMMYFUNCTION("""COMPUTED_VALUE"""),"MUJ Octubre")</f>
        <v>MUJ Octubre</v>
      </c>
      <c r="I638" s="79" t="str">
        <f ca="1">IFERROR(__xludf.DUMMYFUNCTION("""COMPUTED_VALUE"""),"Octubre")</f>
        <v>Octubre</v>
      </c>
      <c r="J638" s="79" t="str">
        <f ca="1">IFERROR(__xludf.DUMMYFUNCTION("""COMPUTED_VALUE"""),"MUJ")</f>
        <v>MUJ</v>
      </c>
      <c r="K638" s="80"/>
      <c r="L638" s="79" t="str">
        <f ca="1">IFERROR(__xludf.DUMMYFUNCTION("""COMPUTED_VALUE"""),"TRIMESTRE 4")</f>
        <v>TRIMESTRE 4</v>
      </c>
      <c r="M638" s="79" t="str">
        <f ca="1">IFERROR(__xludf.DUMMYFUNCTION("""COMPUTED_VALUE"""),"MUJERES ADULTAS")</f>
        <v>MUJERES ADULTAS</v>
      </c>
    </row>
    <row r="639" spans="1:13">
      <c r="A639" s="79" t="str">
        <f ca="1">IFERROR(__xludf.DUMMYFUNCTION("""COMPUTED_VALUE"""),"6.1.4.2")</f>
        <v>6.1.4.2</v>
      </c>
      <c r="B639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39" s="79" t="str">
        <f ca="1">IFERROR(__xludf.DUMMYFUNCTION("""COMPUTED_VALUE"""),"5. Inclusión")</f>
        <v>5. Inclusión</v>
      </c>
      <c r="D639" s="79" t="str">
        <f ca="1">IFERROR(__xludf.DUMMYFUNCTION("""COMPUTED_VALUE"""),"Guadalajara sin Barreras")</f>
        <v>Guadalajara sin Barreras</v>
      </c>
      <c r="E639" s="79" t="str">
        <f ca="1">IFERROR(__xludf.DUMMYFUNCTION("""COMPUTED_VALUE"""),"Desarrollo Integral de Personas Adultas Mayores")</f>
        <v>Desarrollo Integral de Personas Adultas Mayores</v>
      </c>
      <c r="F639" s="79" t="str">
        <f ca="1">IFERROR(__xludf.DUMMYFUNCTION("""COMPUTED_VALUE"""),"A2C4. Raciones alimenticias entregadas en el comedor de DIPAM en 2024")</f>
        <v>A2C4. Raciones alimenticias entregadas en el comedor de DIPAM en 2024</v>
      </c>
      <c r="G639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39" s="79" t="str">
        <f ca="1">IFERROR(__xludf.DUMMYFUNCTION("""COMPUTED_VALUE"""),"HOM Octubre")</f>
        <v>HOM Octubre</v>
      </c>
      <c r="I639" s="79" t="str">
        <f ca="1">IFERROR(__xludf.DUMMYFUNCTION("""COMPUTED_VALUE"""),"Octubre")</f>
        <v>Octubre</v>
      </c>
      <c r="J639" s="79" t="str">
        <f ca="1">IFERROR(__xludf.DUMMYFUNCTION("""COMPUTED_VALUE"""),"HOM")</f>
        <v>HOM</v>
      </c>
      <c r="K639" s="80"/>
      <c r="L639" s="79" t="str">
        <f ca="1">IFERROR(__xludf.DUMMYFUNCTION("""COMPUTED_VALUE"""),"TRIMESTRE 4")</f>
        <v>TRIMESTRE 4</v>
      </c>
      <c r="M639" s="79" t="str">
        <f ca="1">IFERROR(__xludf.DUMMYFUNCTION("""COMPUTED_VALUE"""),"HOMBRES ADULTOS")</f>
        <v>HOMBRES ADULTOS</v>
      </c>
    </row>
    <row r="640" spans="1:13">
      <c r="A640" s="79" t="str">
        <f ca="1">IFERROR(__xludf.DUMMYFUNCTION("""COMPUTED_VALUE"""),"6.1.4.2")</f>
        <v>6.1.4.2</v>
      </c>
      <c r="B640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40" s="79" t="str">
        <f ca="1">IFERROR(__xludf.DUMMYFUNCTION("""COMPUTED_VALUE"""),"5. Inclusión")</f>
        <v>5. Inclusión</v>
      </c>
      <c r="D640" s="79" t="str">
        <f ca="1">IFERROR(__xludf.DUMMYFUNCTION("""COMPUTED_VALUE"""),"Guadalajara sin Barreras")</f>
        <v>Guadalajara sin Barreras</v>
      </c>
      <c r="E640" s="79" t="str">
        <f ca="1">IFERROR(__xludf.DUMMYFUNCTION("""COMPUTED_VALUE"""),"Desarrollo Integral de Personas Adultas Mayores")</f>
        <v>Desarrollo Integral de Personas Adultas Mayores</v>
      </c>
      <c r="F640" s="79" t="str">
        <f ca="1">IFERROR(__xludf.DUMMYFUNCTION("""COMPUTED_VALUE"""),"A2C4. Raciones alimenticias entregadas en el comedor de DIPAM en 2024")</f>
        <v>A2C4. Raciones alimenticias entregadas en el comedor de DIPAM en 2024</v>
      </c>
      <c r="G640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40" s="79" t="str">
        <f ca="1">IFERROR(__xludf.DUMMYFUNCTION("""COMPUTED_VALUE"""),"AMM Octubre")</f>
        <v>AMM Octubre</v>
      </c>
      <c r="I640" s="79" t="str">
        <f ca="1">IFERROR(__xludf.DUMMYFUNCTION("""COMPUTED_VALUE"""),"Octubre")</f>
        <v>Octubre</v>
      </c>
      <c r="J640" s="79" t="str">
        <f ca="1">IFERROR(__xludf.DUMMYFUNCTION("""COMPUTED_VALUE"""),"AMM")</f>
        <v>AMM</v>
      </c>
      <c r="K640" s="80">
        <f ca="1">IFERROR(__xludf.DUMMYFUNCTION("""COMPUTED_VALUE"""),1296)</f>
        <v>1296</v>
      </c>
      <c r="L640" s="79" t="str">
        <f ca="1">IFERROR(__xludf.DUMMYFUNCTION("""COMPUTED_VALUE"""),"TRIMESTRE 4")</f>
        <v>TRIMESTRE 4</v>
      </c>
      <c r="M640" s="79" t="str">
        <f ca="1">IFERROR(__xludf.DUMMYFUNCTION("""COMPUTED_VALUE"""),"ADULTA MAYOR MUJER")</f>
        <v>ADULTA MAYOR MUJER</v>
      </c>
    </row>
    <row r="641" spans="1:26">
      <c r="A641" s="79" t="str">
        <f ca="1">IFERROR(__xludf.DUMMYFUNCTION("""COMPUTED_VALUE"""),"6.1.4.2")</f>
        <v>6.1.4.2</v>
      </c>
      <c r="B641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41" s="79" t="str">
        <f ca="1">IFERROR(__xludf.DUMMYFUNCTION("""COMPUTED_VALUE"""),"5. Inclusión")</f>
        <v>5. Inclusión</v>
      </c>
      <c r="D641" s="79" t="str">
        <f ca="1">IFERROR(__xludf.DUMMYFUNCTION("""COMPUTED_VALUE"""),"Guadalajara sin Barreras")</f>
        <v>Guadalajara sin Barreras</v>
      </c>
      <c r="E641" s="79" t="str">
        <f ca="1">IFERROR(__xludf.DUMMYFUNCTION("""COMPUTED_VALUE"""),"Desarrollo Integral de Personas Adultas Mayores")</f>
        <v>Desarrollo Integral de Personas Adultas Mayores</v>
      </c>
      <c r="F641" s="79" t="str">
        <f ca="1">IFERROR(__xludf.DUMMYFUNCTION("""COMPUTED_VALUE"""),"A2C4. Raciones alimenticias entregadas en el comedor de DIPAM en 2024")</f>
        <v>A2C4. Raciones alimenticias entregadas en el comedor de DIPAM en 2024</v>
      </c>
      <c r="G641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41" s="79" t="str">
        <f ca="1">IFERROR(__xludf.DUMMYFUNCTION("""COMPUTED_VALUE"""),"AMH Octubre")</f>
        <v>AMH Octubre</v>
      </c>
      <c r="I641" s="79" t="str">
        <f ca="1">IFERROR(__xludf.DUMMYFUNCTION("""COMPUTED_VALUE"""),"Octubre")</f>
        <v>Octubre</v>
      </c>
      <c r="J641" s="79" t="str">
        <f ca="1">IFERROR(__xludf.DUMMYFUNCTION("""COMPUTED_VALUE"""),"AMH")</f>
        <v>AMH</v>
      </c>
      <c r="K641" s="80">
        <f ca="1">IFERROR(__xludf.DUMMYFUNCTION("""COMPUTED_VALUE"""),1152)</f>
        <v>1152</v>
      </c>
      <c r="L641" s="79" t="str">
        <f ca="1">IFERROR(__xludf.DUMMYFUNCTION("""COMPUTED_VALUE"""),"TRIMESTRE 4")</f>
        <v>TRIMESTRE 4</v>
      </c>
      <c r="M641" s="79" t="str">
        <f ca="1">IFERROR(__xludf.DUMMYFUNCTION("""COMPUTED_VALUE"""),"ADULTO MAYOR HOMBRE")</f>
        <v>ADULTO MAYOR HOMBRE</v>
      </c>
    </row>
    <row r="642" spans="1:26">
      <c r="A642" s="81" t="str">
        <f ca="1">IFERROR(__xludf.DUMMYFUNCTION("""COMPUTED_VALUE"""),"6.1.4.0")</f>
        <v>6.1.4.0</v>
      </c>
      <c r="B642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2" s="81" t="str">
        <f ca="1">IFERROR(__xludf.DUMMYFUNCTION("""COMPUTED_VALUE"""),"5. Inclusión")</f>
        <v>5. Inclusión</v>
      </c>
      <c r="D642" s="81" t="str">
        <f ca="1">IFERROR(__xludf.DUMMYFUNCTION("""COMPUTED_VALUE"""),"Guadalajara sin Barreras")</f>
        <v>Guadalajara sin Barreras</v>
      </c>
      <c r="E642" s="81" t="str">
        <f ca="1">IFERROR(__xludf.DUMMYFUNCTION("""COMPUTED_VALUE"""),"Desarrollo Integral de Personas Adultas Mayores")</f>
        <v>Desarrollo Integral de Personas Adultas Mayores</v>
      </c>
      <c r="F642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2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2" s="81" t="str">
        <f ca="1">IFERROR(__xludf.DUMMYFUNCTION("""COMPUTED_VALUE"""),"NAS Noviembre")</f>
        <v>NAS Noviembre</v>
      </c>
      <c r="I642" s="81" t="str">
        <f ca="1">IFERROR(__xludf.DUMMYFUNCTION("""COMPUTED_VALUE"""),"Noviembre")</f>
        <v>Noviembre</v>
      </c>
      <c r="J642" s="81" t="str">
        <f ca="1">IFERROR(__xludf.DUMMYFUNCTION("""COMPUTED_VALUE"""),"NAS")</f>
        <v>NAS</v>
      </c>
      <c r="K642" s="80"/>
      <c r="L642" s="81" t="str">
        <f ca="1">IFERROR(__xludf.DUMMYFUNCTION("""COMPUTED_VALUE"""),"TRIMESTRE 4")</f>
        <v>TRIMESTRE 4</v>
      </c>
      <c r="M642" s="81" t="str">
        <f ca="1">IFERROR(__xludf.DUMMYFUNCTION("""COMPUTED_VALUE"""),"NIÑAS")</f>
        <v>NIÑAS</v>
      </c>
      <c r="N642" s="81"/>
      <c r="O642" s="81"/>
      <c r="P642" s="81"/>
      <c r="Q642" s="81"/>
      <c r="R642" s="81"/>
      <c r="S642" s="81"/>
      <c r="T642" s="81"/>
      <c r="U642" s="81"/>
      <c r="V642" s="81"/>
      <c r="W642" s="81"/>
      <c r="X642" s="81"/>
      <c r="Y642" s="81"/>
      <c r="Z642" s="81"/>
    </row>
    <row r="643" spans="1:26">
      <c r="A643" s="81" t="str">
        <f ca="1">IFERROR(__xludf.DUMMYFUNCTION("""COMPUTED_VALUE"""),"6.1.4.0")</f>
        <v>6.1.4.0</v>
      </c>
      <c r="B643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3" s="81" t="str">
        <f ca="1">IFERROR(__xludf.DUMMYFUNCTION("""COMPUTED_VALUE"""),"5. Inclusión")</f>
        <v>5. Inclusión</v>
      </c>
      <c r="D643" s="81" t="str">
        <f ca="1">IFERROR(__xludf.DUMMYFUNCTION("""COMPUTED_VALUE"""),"Guadalajara sin Barreras")</f>
        <v>Guadalajara sin Barreras</v>
      </c>
      <c r="E643" s="81" t="str">
        <f ca="1">IFERROR(__xludf.DUMMYFUNCTION("""COMPUTED_VALUE"""),"Desarrollo Integral de Personas Adultas Mayores")</f>
        <v>Desarrollo Integral de Personas Adultas Mayores</v>
      </c>
      <c r="F643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3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3" s="81" t="str">
        <f ca="1">IFERROR(__xludf.DUMMYFUNCTION("""COMPUTED_VALUE"""),"NOS Noviembre")</f>
        <v>NOS Noviembre</v>
      </c>
      <c r="I643" s="81" t="str">
        <f ca="1">IFERROR(__xludf.DUMMYFUNCTION("""COMPUTED_VALUE"""),"Noviembre")</f>
        <v>Noviembre</v>
      </c>
      <c r="J643" s="81" t="str">
        <f ca="1">IFERROR(__xludf.DUMMYFUNCTION("""COMPUTED_VALUE"""),"NOS")</f>
        <v>NOS</v>
      </c>
      <c r="K643" s="80"/>
      <c r="L643" s="81" t="str">
        <f ca="1">IFERROR(__xludf.DUMMYFUNCTION("""COMPUTED_VALUE"""),"TRIMESTRE 4")</f>
        <v>TRIMESTRE 4</v>
      </c>
      <c r="M643" s="81" t="str">
        <f ca="1">IFERROR(__xludf.DUMMYFUNCTION("""COMPUTED_VALUE"""),"NIÑOS")</f>
        <v>NIÑOS</v>
      </c>
      <c r="N643" s="81"/>
      <c r="O643" s="81"/>
      <c r="P643" s="81"/>
      <c r="Q643" s="81"/>
      <c r="R643" s="81"/>
      <c r="S643" s="81"/>
      <c r="T643" s="81"/>
      <c r="U643" s="81"/>
      <c r="V643" s="81"/>
      <c r="W643" s="81"/>
      <c r="X643" s="81"/>
      <c r="Y643" s="81"/>
      <c r="Z643" s="81"/>
    </row>
    <row r="644" spans="1:26">
      <c r="A644" s="81" t="str">
        <f ca="1">IFERROR(__xludf.DUMMYFUNCTION("""COMPUTED_VALUE"""),"6.1.4.0")</f>
        <v>6.1.4.0</v>
      </c>
      <c r="B644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4" s="81" t="str">
        <f ca="1">IFERROR(__xludf.DUMMYFUNCTION("""COMPUTED_VALUE"""),"5. Inclusión")</f>
        <v>5. Inclusión</v>
      </c>
      <c r="D644" s="81" t="str">
        <f ca="1">IFERROR(__xludf.DUMMYFUNCTION("""COMPUTED_VALUE"""),"Guadalajara sin Barreras")</f>
        <v>Guadalajara sin Barreras</v>
      </c>
      <c r="E644" s="81" t="str">
        <f ca="1">IFERROR(__xludf.DUMMYFUNCTION("""COMPUTED_VALUE"""),"Desarrollo Integral de Personas Adultas Mayores")</f>
        <v>Desarrollo Integral de Personas Adultas Mayores</v>
      </c>
      <c r="F644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4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4" s="81" t="str">
        <f ca="1">IFERROR(__xludf.DUMMYFUNCTION("""COMPUTED_VALUE"""),"AM Noviembre")</f>
        <v>AM Noviembre</v>
      </c>
      <c r="I644" s="81" t="str">
        <f ca="1">IFERROR(__xludf.DUMMYFUNCTION("""COMPUTED_VALUE"""),"Noviembre")</f>
        <v>Noviembre</v>
      </c>
      <c r="J644" s="81" t="str">
        <f ca="1">IFERROR(__xludf.DUMMYFUNCTION("""COMPUTED_VALUE"""),"AM")</f>
        <v>AM</v>
      </c>
      <c r="K644" s="80"/>
      <c r="L644" s="81" t="str">
        <f ca="1">IFERROR(__xludf.DUMMYFUNCTION("""COMPUTED_VALUE"""),"TRIMESTRE 4")</f>
        <v>TRIMESTRE 4</v>
      </c>
      <c r="M644" s="81" t="str">
        <f ca="1">IFERROR(__xludf.DUMMYFUNCTION("""COMPUTED_VALUE"""),"ADOLESCENTES MUJERES")</f>
        <v>ADOLESCENTES MUJERES</v>
      </c>
      <c r="N644" s="81"/>
      <c r="O644" s="81"/>
      <c r="P644" s="81"/>
      <c r="Q644" s="81"/>
      <c r="R644" s="81"/>
      <c r="S644" s="81"/>
      <c r="T644" s="81"/>
      <c r="U644" s="81"/>
      <c r="V644" s="81"/>
      <c r="W644" s="81"/>
      <c r="X644" s="81"/>
      <c r="Y644" s="81"/>
      <c r="Z644" s="81"/>
    </row>
    <row r="645" spans="1:26">
      <c r="A645" s="81" t="str">
        <f ca="1">IFERROR(__xludf.DUMMYFUNCTION("""COMPUTED_VALUE"""),"6.1.4.0")</f>
        <v>6.1.4.0</v>
      </c>
      <c r="B645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5" s="81" t="str">
        <f ca="1">IFERROR(__xludf.DUMMYFUNCTION("""COMPUTED_VALUE"""),"5. Inclusión")</f>
        <v>5. Inclusión</v>
      </c>
      <c r="D645" s="81" t="str">
        <f ca="1">IFERROR(__xludf.DUMMYFUNCTION("""COMPUTED_VALUE"""),"Guadalajara sin Barreras")</f>
        <v>Guadalajara sin Barreras</v>
      </c>
      <c r="E645" s="81" t="str">
        <f ca="1">IFERROR(__xludf.DUMMYFUNCTION("""COMPUTED_VALUE"""),"Desarrollo Integral de Personas Adultas Mayores")</f>
        <v>Desarrollo Integral de Personas Adultas Mayores</v>
      </c>
      <c r="F645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5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5" s="81" t="str">
        <f ca="1">IFERROR(__xludf.DUMMYFUNCTION("""COMPUTED_VALUE"""),"AH Noviembre")</f>
        <v>AH Noviembre</v>
      </c>
      <c r="I645" s="81" t="str">
        <f ca="1">IFERROR(__xludf.DUMMYFUNCTION("""COMPUTED_VALUE"""),"Noviembre")</f>
        <v>Noviembre</v>
      </c>
      <c r="J645" s="81" t="str">
        <f ca="1">IFERROR(__xludf.DUMMYFUNCTION("""COMPUTED_VALUE"""),"AH")</f>
        <v>AH</v>
      </c>
      <c r="K645" s="80"/>
      <c r="L645" s="81" t="str">
        <f ca="1">IFERROR(__xludf.DUMMYFUNCTION("""COMPUTED_VALUE"""),"TRIMESTRE 4")</f>
        <v>TRIMESTRE 4</v>
      </c>
      <c r="M645" s="81" t="str">
        <f ca="1">IFERROR(__xludf.DUMMYFUNCTION("""COMPUTED_VALUE"""),"ADOLESCENTES HOMBRES")</f>
        <v>ADOLESCENTES HOMBRES</v>
      </c>
      <c r="N645" s="81"/>
      <c r="O645" s="81"/>
      <c r="P645" s="81"/>
      <c r="Q645" s="81"/>
      <c r="R645" s="81"/>
      <c r="S645" s="81"/>
      <c r="T645" s="81"/>
      <c r="U645" s="81"/>
      <c r="V645" s="81"/>
      <c r="W645" s="81"/>
      <c r="X645" s="81"/>
      <c r="Y645" s="81"/>
      <c r="Z645" s="81"/>
    </row>
    <row r="646" spans="1:26">
      <c r="A646" s="81" t="str">
        <f ca="1">IFERROR(__xludf.DUMMYFUNCTION("""COMPUTED_VALUE"""),"6.1.4.0")</f>
        <v>6.1.4.0</v>
      </c>
      <c r="B646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6" s="81" t="str">
        <f ca="1">IFERROR(__xludf.DUMMYFUNCTION("""COMPUTED_VALUE"""),"5. Inclusión")</f>
        <v>5. Inclusión</v>
      </c>
      <c r="D646" s="81" t="str">
        <f ca="1">IFERROR(__xludf.DUMMYFUNCTION("""COMPUTED_VALUE"""),"Guadalajara sin Barreras")</f>
        <v>Guadalajara sin Barreras</v>
      </c>
      <c r="E646" s="81" t="str">
        <f ca="1">IFERROR(__xludf.DUMMYFUNCTION("""COMPUTED_VALUE"""),"Desarrollo Integral de Personas Adultas Mayores")</f>
        <v>Desarrollo Integral de Personas Adultas Mayores</v>
      </c>
      <c r="F646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6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6" s="81" t="str">
        <f ca="1">IFERROR(__xludf.DUMMYFUNCTION("""COMPUTED_VALUE"""),"MUJ Noviembre")</f>
        <v>MUJ Noviembre</v>
      </c>
      <c r="I646" s="81" t="str">
        <f ca="1">IFERROR(__xludf.DUMMYFUNCTION("""COMPUTED_VALUE"""),"Noviembre")</f>
        <v>Noviembre</v>
      </c>
      <c r="J646" s="81" t="str">
        <f ca="1">IFERROR(__xludf.DUMMYFUNCTION("""COMPUTED_VALUE"""),"MUJ")</f>
        <v>MUJ</v>
      </c>
      <c r="K646" s="80"/>
      <c r="L646" s="81" t="str">
        <f ca="1">IFERROR(__xludf.DUMMYFUNCTION("""COMPUTED_VALUE"""),"TRIMESTRE 4")</f>
        <v>TRIMESTRE 4</v>
      </c>
      <c r="M646" s="81" t="str">
        <f ca="1">IFERROR(__xludf.DUMMYFUNCTION("""COMPUTED_VALUE"""),"MUJERES ADULTAS")</f>
        <v>MUJERES ADULTAS</v>
      </c>
      <c r="N646" s="81"/>
      <c r="O646" s="81"/>
      <c r="P646" s="81"/>
      <c r="Q646" s="81"/>
      <c r="R646" s="81"/>
      <c r="S646" s="81"/>
      <c r="T646" s="81"/>
      <c r="U646" s="81"/>
      <c r="V646" s="81"/>
      <c r="W646" s="81"/>
      <c r="X646" s="81"/>
      <c r="Y646" s="81"/>
      <c r="Z646" s="81"/>
    </row>
    <row r="647" spans="1:26">
      <c r="A647" s="81" t="str">
        <f ca="1">IFERROR(__xludf.DUMMYFUNCTION("""COMPUTED_VALUE"""),"6.1.4.0")</f>
        <v>6.1.4.0</v>
      </c>
      <c r="B647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7" s="81" t="str">
        <f ca="1">IFERROR(__xludf.DUMMYFUNCTION("""COMPUTED_VALUE"""),"5. Inclusión")</f>
        <v>5. Inclusión</v>
      </c>
      <c r="D647" s="81" t="str">
        <f ca="1">IFERROR(__xludf.DUMMYFUNCTION("""COMPUTED_VALUE"""),"Guadalajara sin Barreras")</f>
        <v>Guadalajara sin Barreras</v>
      </c>
      <c r="E647" s="81" t="str">
        <f ca="1">IFERROR(__xludf.DUMMYFUNCTION("""COMPUTED_VALUE"""),"Desarrollo Integral de Personas Adultas Mayores")</f>
        <v>Desarrollo Integral de Personas Adultas Mayores</v>
      </c>
      <c r="F647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7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7" s="81" t="str">
        <f ca="1">IFERROR(__xludf.DUMMYFUNCTION("""COMPUTED_VALUE"""),"HOM Noviembre")</f>
        <v>HOM Noviembre</v>
      </c>
      <c r="I647" s="81" t="str">
        <f ca="1">IFERROR(__xludf.DUMMYFUNCTION("""COMPUTED_VALUE"""),"Noviembre")</f>
        <v>Noviembre</v>
      </c>
      <c r="J647" s="81" t="str">
        <f ca="1">IFERROR(__xludf.DUMMYFUNCTION("""COMPUTED_VALUE"""),"HOM")</f>
        <v>HOM</v>
      </c>
      <c r="K647" s="80"/>
      <c r="L647" s="81" t="str">
        <f ca="1">IFERROR(__xludf.DUMMYFUNCTION("""COMPUTED_VALUE"""),"TRIMESTRE 4")</f>
        <v>TRIMESTRE 4</v>
      </c>
      <c r="M647" s="81" t="str">
        <f ca="1">IFERROR(__xludf.DUMMYFUNCTION("""COMPUTED_VALUE"""),"HOMBRES ADULTOS")</f>
        <v>HOMBRES ADULTOS</v>
      </c>
      <c r="N647" s="81"/>
      <c r="O647" s="81"/>
      <c r="P647" s="81"/>
      <c r="Q647" s="81"/>
      <c r="R647" s="81"/>
      <c r="S647" s="81"/>
      <c r="T647" s="81"/>
      <c r="U647" s="81"/>
      <c r="V647" s="81"/>
      <c r="W647" s="81"/>
      <c r="X647" s="81"/>
      <c r="Y647" s="81"/>
      <c r="Z647" s="81"/>
    </row>
    <row r="648" spans="1:26">
      <c r="A648" s="81" t="str">
        <f ca="1">IFERROR(__xludf.DUMMYFUNCTION("""COMPUTED_VALUE"""),"6.1.4.0")</f>
        <v>6.1.4.0</v>
      </c>
      <c r="B648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8" s="81" t="str">
        <f ca="1">IFERROR(__xludf.DUMMYFUNCTION("""COMPUTED_VALUE"""),"5. Inclusión")</f>
        <v>5. Inclusión</v>
      </c>
      <c r="D648" s="81" t="str">
        <f ca="1">IFERROR(__xludf.DUMMYFUNCTION("""COMPUTED_VALUE"""),"Guadalajara sin Barreras")</f>
        <v>Guadalajara sin Barreras</v>
      </c>
      <c r="E648" s="81" t="str">
        <f ca="1">IFERROR(__xludf.DUMMYFUNCTION("""COMPUTED_VALUE"""),"Desarrollo Integral de Personas Adultas Mayores")</f>
        <v>Desarrollo Integral de Personas Adultas Mayores</v>
      </c>
      <c r="F648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8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8" s="81" t="str">
        <f ca="1">IFERROR(__xludf.DUMMYFUNCTION("""COMPUTED_VALUE"""),"AMM Noviembre")</f>
        <v>AMM Noviembre</v>
      </c>
      <c r="I648" s="81" t="str">
        <f ca="1">IFERROR(__xludf.DUMMYFUNCTION("""COMPUTED_VALUE"""),"Noviembre")</f>
        <v>Noviembre</v>
      </c>
      <c r="J648" s="81" t="str">
        <f ca="1">IFERROR(__xludf.DUMMYFUNCTION("""COMPUTED_VALUE"""),"AMM")</f>
        <v>AMM</v>
      </c>
      <c r="K648" s="80">
        <f ca="1">IFERROR(__xludf.DUMMYFUNCTION("""COMPUTED_VALUE"""),1970)</f>
        <v>1970</v>
      </c>
      <c r="L648" s="81" t="str">
        <f ca="1">IFERROR(__xludf.DUMMYFUNCTION("""COMPUTED_VALUE"""),"TRIMESTRE 4")</f>
        <v>TRIMESTRE 4</v>
      </c>
      <c r="M648" s="81" t="str">
        <f ca="1">IFERROR(__xludf.DUMMYFUNCTION("""COMPUTED_VALUE"""),"ADULTA MAYOR MUJER")</f>
        <v>ADULTA MAYOR MUJER</v>
      </c>
      <c r="N648" s="81"/>
      <c r="O648" s="81"/>
      <c r="P648" s="81"/>
      <c r="Q648" s="81"/>
      <c r="R648" s="81"/>
      <c r="S648" s="81"/>
      <c r="T648" s="81"/>
      <c r="U648" s="81"/>
      <c r="V648" s="81"/>
      <c r="W648" s="81"/>
      <c r="X648" s="81"/>
      <c r="Y648" s="81"/>
      <c r="Z648" s="81"/>
    </row>
    <row r="649" spans="1:26">
      <c r="A649" s="81" t="str">
        <f ca="1">IFERROR(__xludf.DUMMYFUNCTION("""COMPUTED_VALUE"""),"6.1.4.0")</f>
        <v>6.1.4.0</v>
      </c>
      <c r="B649" s="81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49" s="81" t="str">
        <f ca="1">IFERROR(__xludf.DUMMYFUNCTION("""COMPUTED_VALUE"""),"5. Inclusión")</f>
        <v>5. Inclusión</v>
      </c>
      <c r="D649" s="81" t="str">
        <f ca="1">IFERROR(__xludf.DUMMYFUNCTION("""COMPUTED_VALUE"""),"Guadalajara sin Barreras")</f>
        <v>Guadalajara sin Barreras</v>
      </c>
      <c r="E649" s="81" t="str">
        <f ca="1">IFERROR(__xludf.DUMMYFUNCTION("""COMPUTED_VALUE"""),"Desarrollo Integral de Personas Adultas Mayores")</f>
        <v>Desarrollo Integral de Personas Adultas Mayores</v>
      </c>
      <c r="F649" s="81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49" s="81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49" s="81" t="str">
        <f ca="1">IFERROR(__xludf.DUMMYFUNCTION("""COMPUTED_VALUE"""),"AMH Noviembre")</f>
        <v>AMH Noviembre</v>
      </c>
      <c r="I649" s="81" t="str">
        <f ca="1">IFERROR(__xludf.DUMMYFUNCTION("""COMPUTED_VALUE"""),"Noviembre")</f>
        <v>Noviembre</v>
      </c>
      <c r="J649" s="81" t="str">
        <f ca="1">IFERROR(__xludf.DUMMYFUNCTION("""COMPUTED_VALUE"""),"AMH")</f>
        <v>AMH</v>
      </c>
      <c r="K649" s="80">
        <f ca="1">IFERROR(__xludf.DUMMYFUNCTION("""COMPUTED_VALUE"""),551)</f>
        <v>551</v>
      </c>
      <c r="L649" s="81" t="str">
        <f ca="1">IFERROR(__xludf.DUMMYFUNCTION("""COMPUTED_VALUE"""),"TRIMESTRE 4")</f>
        <v>TRIMESTRE 4</v>
      </c>
      <c r="M649" s="81" t="str">
        <f ca="1">IFERROR(__xludf.DUMMYFUNCTION("""COMPUTED_VALUE"""),"ADULTO MAYOR HOMBRE")</f>
        <v>ADULTO MAYOR HOMBRE</v>
      </c>
      <c r="N649" s="81"/>
      <c r="O649" s="81"/>
      <c r="P649" s="81"/>
      <c r="Q649" s="81"/>
      <c r="R649" s="81"/>
      <c r="S649" s="81"/>
      <c r="T649" s="81"/>
      <c r="U649" s="81"/>
      <c r="V649" s="81"/>
      <c r="W649" s="81"/>
      <c r="X649" s="81"/>
      <c r="Y649" s="81"/>
      <c r="Z649" s="81"/>
    </row>
    <row r="650" spans="1:26">
      <c r="A650" s="79" t="str">
        <f ca="1">IFERROR(__xludf.DUMMYFUNCTION("""COMPUTED_VALUE"""),"6.1.4.2")</f>
        <v>6.1.4.2</v>
      </c>
      <c r="B650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0" s="79" t="str">
        <f ca="1">IFERROR(__xludf.DUMMYFUNCTION("""COMPUTED_VALUE"""),"5. Inclusión")</f>
        <v>5. Inclusión</v>
      </c>
      <c r="D650" s="79" t="str">
        <f ca="1">IFERROR(__xludf.DUMMYFUNCTION("""COMPUTED_VALUE"""),"Guadalajara sin Barreras")</f>
        <v>Guadalajara sin Barreras</v>
      </c>
      <c r="E650" s="79" t="str">
        <f ca="1">IFERROR(__xludf.DUMMYFUNCTION("""COMPUTED_VALUE"""),"Desarrollo Integral de Personas Adultas Mayores")</f>
        <v>Desarrollo Integral de Personas Adultas Mayores</v>
      </c>
      <c r="F650" s="79" t="str">
        <f ca="1">IFERROR(__xludf.DUMMYFUNCTION("""COMPUTED_VALUE"""),"A2C4. Raciones alimenticias entregadas en el comedor de DIPAM en 2024")</f>
        <v>A2C4. Raciones alimenticias entregadas en el comedor de DIPAM en 2024</v>
      </c>
      <c r="G650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0" s="79" t="str">
        <f ca="1">IFERROR(__xludf.DUMMYFUNCTION("""COMPUTED_VALUE"""),"NAS Noviembre")</f>
        <v>NAS Noviembre</v>
      </c>
      <c r="I650" s="79" t="str">
        <f ca="1">IFERROR(__xludf.DUMMYFUNCTION("""COMPUTED_VALUE"""),"Noviembre")</f>
        <v>Noviembre</v>
      </c>
      <c r="J650" s="79" t="str">
        <f ca="1">IFERROR(__xludf.DUMMYFUNCTION("""COMPUTED_VALUE"""),"NAS")</f>
        <v>NAS</v>
      </c>
      <c r="K650" s="80"/>
      <c r="L650" s="79" t="str">
        <f ca="1">IFERROR(__xludf.DUMMYFUNCTION("""COMPUTED_VALUE"""),"TRIMESTRE 4")</f>
        <v>TRIMESTRE 4</v>
      </c>
      <c r="M650" s="79" t="str">
        <f ca="1">IFERROR(__xludf.DUMMYFUNCTION("""COMPUTED_VALUE"""),"NIÑAS")</f>
        <v>NIÑAS</v>
      </c>
    </row>
    <row r="651" spans="1:26">
      <c r="A651" s="79" t="str">
        <f ca="1">IFERROR(__xludf.DUMMYFUNCTION("""COMPUTED_VALUE"""),"6.1.4.2")</f>
        <v>6.1.4.2</v>
      </c>
      <c r="B651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1" s="79" t="str">
        <f ca="1">IFERROR(__xludf.DUMMYFUNCTION("""COMPUTED_VALUE"""),"5. Inclusión")</f>
        <v>5. Inclusión</v>
      </c>
      <c r="D651" s="79" t="str">
        <f ca="1">IFERROR(__xludf.DUMMYFUNCTION("""COMPUTED_VALUE"""),"Guadalajara sin Barreras")</f>
        <v>Guadalajara sin Barreras</v>
      </c>
      <c r="E651" s="79" t="str">
        <f ca="1">IFERROR(__xludf.DUMMYFUNCTION("""COMPUTED_VALUE"""),"Desarrollo Integral de Personas Adultas Mayores")</f>
        <v>Desarrollo Integral de Personas Adultas Mayores</v>
      </c>
      <c r="F651" s="79" t="str">
        <f ca="1">IFERROR(__xludf.DUMMYFUNCTION("""COMPUTED_VALUE"""),"A2C4. Raciones alimenticias entregadas en el comedor de DIPAM en 2024")</f>
        <v>A2C4. Raciones alimenticias entregadas en el comedor de DIPAM en 2024</v>
      </c>
      <c r="G651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1" s="79" t="str">
        <f ca="1">IFERROR(__xludf.DUMMYFUNCTION("""COMPUTED_VALUE"""),"NOS Noviembre")</f>
        <v>NOS Noviembre</v>
      </c>
      <c r="I651" s="79" t="str">
        <f ca="1">IFERROR(__xludf.DUMMYFUNCTION("""COMPUTED_VALUE"""),"Noviembre")</f>
        <v>Noviembre</v>
      </c>
      <c r="J651" s="79" t="str">
        <f ca="1">IFERROR(__xludf.DUMMYFUNCTION("""COMPUTED_VALUE"""),"NOS")</f>
        <v>NOS</v>
      </c>
      <c r="K651" s="80"/>
      <c r="L651" s="79" t="str">
        <f ca="1">IFERROR(__xludf.DUMMYFUNCTION("""COMPUTED_VALUE"""),"TRIMESTRE 4")</f>
        <v>TRIMESTRE 4</v>
      </c>
      <c r="M651" s="79" t="str">
        <f ca="1">IFERROR(__xludf.DUMMYFUNCTION("""COMPUTED_VALUE"""),"NIÑOS")</f>
        <v>NIÑOS</v>
      </c>
    </row>
    <row r="652" spans="1:26">
      <c r="A652" s="79" t="str">
        <f ca="1">IFERROR(__xludf.DUMMYFUNCTION("""COMPUTED_VALUE"""),"6.1.4.2")</f>
        <v>6.1.4.2</v>
      </c>
      <c r="B652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2" s="79" t="str">
        <f ca="1">IFERROR(__xludf.DUMMYFUNCTION("""COMPUTED_VALUE"""),"5. Inclusión")</f>
        <v>5. Inclusión</v>
      </c>
      <c r="D652" s="79" t="str">
        <f ca="1">IFERROR(__xludf.DUMMYFUNCTION("""COMPUTED_VALUE"""),"Guadalajara sin Barreras")</f>
        <v>Guadalajara sin Barreras</v>
      </c>
      <c r="E652" s="79" t="str">
        <f ca="1">IFERROR(__xludf.DUMMYFUNCTION("""COMPUTED_VALUE"""),"Desarrollo Integral de Personas Adultas Mayores")</f>
        <v>Desarrollo Integral de Personas Adultas Mayores</v>
      </c>
      <c r="F652" s="79" t="str">
        <f ca="1">IFERROR(__xludf.DUMMYFUNCTION("""COMPUTED_VALUE"""),"A2C4. Raciones alimenticias entregadas en el comedor de DIPAM en 2024")</f>
        <v>A2C4. Raciones alimenticias entregadas en el comedor de DIPAM en 2024</v>
      </c>
      <c r="G652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2" s="79" t="str">
        <f ca="1">IFERROR(__xludf.DUMMYFUNCTION("""COMPUTED_VALUE"""),"AM Noviembre")</f>
        <v>AM Noviembre</v>
      </c>
      <c r="I652" s="79" t="str">
        <f ca="1">IFERROR(__xludf.DUMMYFUNCTION("""COMPUTED_VALUE"""),"Noviembre")</f>
        <v>Noviembre</v>
      </c>
      <c r="J652" s="79" t="str">
        <f ca="1">IFERROR(__xludf.DUMMYFUNCTION("""COMPUTED_VALUE"""),"AM")</f>
        <v>AM</v>
      </c>
      <c r="K652" s="80"/>
      <c r="L652" s="79" t="str">
        <f ca="1">IFERROR(__xludf.DUMMYFUNCTION("""COMPUTED_VALUE"""),"TRIMESTRE 4")</f>
        <v>TRIMESTRE 4</v>
      </c>
      <c r="M652" s="79" t="str">
        <f ca="1">IFERROR(__xludf.DUMMYFUNCTION("""COMPUTED_VALUE"""),"ADOLESCENTES MUJERES")</f>
        <v>ADOLESCENTES MUJERES</v>
      </c>
    </row>
    <row r="653" spans="1:26">
      <c r="A653" s="79" t="str">
        <f ca="1">IFERROR(__xludf.DUMMYFUNCTION("""COMPUTED_VALUE"""),"6.1.4.2")</f>
        <v>6.1.4.2</v>
      </c>
      <c r="B653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3" s="79" t="str">
        <f ca="1">IFERROR(__xludf.DUMMYFUNCTION("""COMPUTED_VALUE"""),"5. Inclusión")</f>
        <v>5. Inclusión</v>
      </c>
      <c r="D653" s="79" t="str">
        <f ca="1">IFERROR(__xludf.DUMMYFUNCTION("""COMPUTED_VALUE"""),"Guadalajara sin Barreras")</f>
        <v>Guadalajara sin Barreras</v>
      </c>
      <c r="E653" s="79" t="str">
        <f ca="1">IFERROR(__xludf.DUMMYFUNCTION("""COMPUTED_VALUE"""),"Desarrollo Integral de Personas Adultas Mayores")</f>
        <v>Desarrollo Integral de Personas Adultas Mayores</v>
      </c>
      <c r="F653" s="79" t="str">
        <f ca="1">IFERROR(__xludf.DUMMYFUNCTION("""COMPUTED_VALUE"""),"A2C4. Raciones alimenticias entregadas en el comedor de DIPAM en 2024")</f>
        <v>A2C4. Raciones alimenticias entregadas en el comedor de DIPAM en 2024</v>
      </c>
      <c r="G653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3" s="79" t="str">
        <f ca="1">IFERROR(__xludf.DUMMYFUNCTION("""COMPUTED_VALUE"""),"AH Noviembre")</f>
        <v>AH Noviembre</v>
      </c>
      <c r="I653" s="79" t="str">
        <f ca="1">IFERROR(__xludf.DUMMYFUNCTION("""COMPUTED_VALUE"""),"Noviembre")</f>
        <v>Noviembre</v>
      </c>
      <c r="J653" s="79" t="str">
        <f ca="1">IFERROR(__xludf.DUMMYFUNCTION("""COMPUTED_VALUE"""),"AH")</f>
        <v>AH</v>
      </c>
      <c r="K653" s="80"/>
      <c r="L653" s="79" t="str">
        <f ca="1">IFERROR(__xludf.DUMMYFUNCTION("""COMPUTED_VALUE"""),"TRIMESTRE 4")</f>
        <v>TRIMESTRE 4</v>
      </c>
      <c r="M653" s="79" t="str">
        <f ca="1">IFERROR(__xludf.DUMMYFUNCTION("""COMPUTED_VALUE"""),"ADOLESCENTES HOMBRES")</f>
        <v>ADOLESCENTES HOMBRES</v>
      </c>
    </row>
    <row r="654" spans="1:26">
      <c r="A654" s="79" t="str">
        <f ca="1">IFERROR(__xludf.DUMMYFUNCTION("""COMPUTED_VALUE"""),"6.1.4.2")</f>
        <v>6.1.4.2</v>
      </c>
      <c r="B654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4" s="79" t="str">
        <f ca="1">IFERROR(__xludf.DUMMYFUNCTION("""COMPUTED_VALUE"""),"5. Inclusión")</f>
        <v>5. Inclusión</v>
      </c>
      <c r="D654" s="79" t="str">
        <f ca="1">IFERROR(__xludf.DUMMYFUNCTION("""COMPUTED_VALUE"""),"Guadalajara sin Barreras")</f>
        <v>Guadalajara sin Barreras</v>
      </c>
      <c r="E654" s="79" t="str">
        <f ca="1">IFERROR(__xludf.DUMMYFUNCTION("""COMPUTED_VALUE"""),"Desarrollo Integral de Personas Adultas Mayores")</f>
        <v>Desarrollo Integral de Personas Adultas Mayores</v>
      </c>
      <c r="F654" s="79" t="str">
        <f ca="1">IFERROR(__xludf.DUMMYFUNCTION("""COMPUTED_VALUE"""),"A2C4. Raciones alimenticias entregadas en el comedor de DIPAM en 2024")</f>
        <v>A2C4. Raciones alimenticias entregadas en el comedor de DIPAM en 2024</v>
      </c>
      <c r="G654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4" s="79" t="str">
        <f ca="1">IFERROR(__xludf.DUMMYFUNCTION("""COMPUTED_VALUE"""),"MUJ Noviembre")</f>
        <v>MUJ Noviembre</v>
      </c>
      <c r="I654" s="79" t="str">
        <f ca="1">IFERROR(__xludf.DUMMYFUNCTION("""COMPUTED_VALUE"""),"Noviembre")</f>
        <v>Noviembre</v>
      </c>
      <c r="J654" s="79" t="str">
        <f ca="1">IFERROR(__xludf.DUMMYFUNCTION("""COMPUTED_VALUE"""),"MUJ")</f>
        <v>MUJ</v>
      </c>
      <c r="K654" s="80"/>
      <c r="L654" s="79" t="str">
        <f ca="1">IFERROR(__xludf.DUMMYFUNCTION("""COMPUTED_VALUE"""),"TRIMESTRE 4")</f>
        <v>TRIMESTRE 4</v>
      </c>
      <c r="M654" s="79" t="str">
        <f ca="1">IFERROR(__xludf.DUMMYFUNCTION("""COMPUTED_VALUE"""),"MUJERES ADULTAS")</f>
        <v>MUJERES ADULTAS</v>
      </c>
    </row>
    <row r="655" spans="1:26">
      <c r="A655" s="79" t="str">
        <f ca="1">IFERROR(__xludf.DUMMYFUNCTION("""COMPUTED_VALUE"""),"6.1.4.2")</f>
        <v>6.1.4.2</v>
      </c>
      <c r="B655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5" s="79" t="str">
        <f ca="1">IFERROR(__xludf.DUMMYFUNCTION("""COMPUTED_VALUE"""),"5. Inclusión")</f>
        <v>5. Inclusión</v>
      </c>
      <c r="D655" s="79" t="str">
        <f ca="1">IFERROR(__xludf.DUMMYFUNCTION("""COMPUTED_VALUE"""),"Guadalajara sin Barreras")</f>
        <v>Guadalajara sin Barreras</v>
      </c>
      <c r="E655" s="79" t="str">
        <f ca="1">IFERROR(__xludf.DUMMYFUNCTION("""COMPUTED_VALUE"""),"Desarrollo Integral de Personas Adultas Mayores")</f>
        <v>Desarrollo Integral de Personas Adultas Mayores</v>
      </c>
      <c r="F655" s="79" t="str">
        <f ca="1">IFERROR(__xludf.DUMMYFUNCTION("""COMPUTED_VALUE"""),"A2C4. Raciones alimenticias entregadas en el comedor de DIPAM en 2024")</f>
        <v>A2C4. Raciones alimenticias entregadas en el comedor de DIPAM en 2024</v>
      </c>
      <c r="G655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5" s="79" t="str">
        <f ca="1">IFERROR(__xludf.DUMMYFUNCTION("""COMPUTED_VALUE"""),"HOM Noviembre")</f>
        <v>HOM Noviembre</v>
      </c>
      <c r="I655" s="79" t="str">
        <f ca="1">IFERROR(__xludf.DUMMYFUNCTION("""COMPUTED_VALUE"""),"Noviembre")</f>
        <v>Noviembre</v>
      </c>
      <c r="J655" s="79" t="str">
        <f ca="1">IFERROR(__xludf.DUMMYFUNCTION("""COMPUTED_VALUE"""),"HOM")</f>
        <v>HOM</v>
      </c>
      <c r="K655" s="80"/>
      <c r="L655" s="79" t="str">
        <f ca="1">IFERROR(__xludf.DUMMYFUNCTION("""COMPUTED_VALUE"""),"TRIMESTRE 4")</f>
        <v>TRIMESTRE 4</v>
      </c>
      <c r="M655" s="79" t="str">
        <f ca="1">IFERROR(__xludf.DUMMYFUNCTION("""COMPUTED_VALUE"""),"HOMBRES ADULTOS")</f>
        <v>HOMBRES ADULTOS</v>
      </c>
    </row>
    <row r="656" spans="1:26">
      <c r="A656" s="79" t="str">
        <f ca="1">IFERROR(__xludf.DUMMYFUNCTION("""COMPUTED_VALUE"""),"6.1.4.2")</f>
        <v>6.1.4.2</v>
      </c>
      <c r="B656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6" s="79" t="str">
        <f ca="1">IFERROR(__xludf.DUMMYFUNCTION("""COMPUTED_VALUE"""),"5. Inclusión")</f>
        <v>5. Inclusión</v>
      </c>
      <c r="D656" s="79" t="str">
        <f ca="1">IFERROR(__xludf.DUMMYFUNCTION("""COMPUTED_VALUE"""),"Guadalajara sin Barreras")</f>
        <v>Guadalajara sin Barreras</v>
      </c>
      <c r="E656" s="79" t="str">
        <f ca="1">IFERROR(__xludf.DUMMYFUNCTION("""COMPUTED_VALUE"""),"Desarrollo Integral de Personas Adultas Mayores")</f>
        <v>Desarrollo Integral de Personas Adultas Mayores</v>
      </c>
      <c r="F656" s="79" t="str">
        <f ca="1">IFERROR(__xludf.DUMMYFUNCTION("""COMPUTED_VALUE"""),"A2C4. Raciones alimenticias entregadas en el comedor de DIPAM en 2024")</f>
        <v>A2C4. Raciones alimenticias entregadas en el comedor de DIPAM en 2024</v>
      </c>
      <c r="G656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6" s="79" t="str">
        <f ca="1">IFERROR(__xludf.DUMMYFUNCTION("""COMPUTED_VALUE"""),"AMM Noviembre")</f>
        <v>AMM Noviembre</v>
      </c>
      <c r="I656" s="79" t="str">
        <f ca="1">IFERROR(__xludf.DUMMYFUNCTION("""COMPUTED_VALUE"""),"Noviembre")</f>
        <v>Noviembre</v>
      </c>
      <c r="J656" s="79" t="str">
        <f ca="1">IFERROR(__xludf.DUMMYFUNCTION("""COMPUTED_VALUE"""),"AMM")</f>
        <v>AMM</v>
      </c>
      <c r="K656" s="80">
        <f ca="1">IFERROR(__xludf.DUMMYFUNCTION("""COMPUTED_VALUE"""),900)</f>
        <v>900</v>
      </c>
      <c r="L656" s="79" t="str">
        <f ca="1">IFERROR(__xludf.DUMMYFUNCTION("""COMPUTED_VALUE"""),"TRIMESTRE 4")</f>
        <v>TRIMESTRE 4</v>
      </c>
      <c r="M656" s="79" t="str">
        <f ca="1">IFERROR(__xludf.DUMMYFUNCTION("""COMPUTED_VALUE"""),"ADULTA MAYOR MUJER")</f>
        <v>ADULTA MAYOR MUJER</v>
      </c>
    </row>
    <row r="657" spans="1:13">
      <c r="A657" s="79" t="str">
        <f ca="1">IFERROR(__xludf.DUMMYFUNCTION("""COMPUTED_VALUE"""),"6.1.4.2")</f>
        <v>6.1.4.2</v>
      </c>
      <c r="B657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57" s="79" t="str">
        <f ca="1">IFERROR(__xludf.DUMMYFUNCTION("""COMPUTED_VALUE"""),"5. Inclusión")</f>
        <v>5. Inclusión</v>
      </c>
      <c r="D657" s="79" t="str">
        <f ca="1">IFERROR(__xludf.DUMMYFUNCTION("""COMPUTED_VALUE"""),"Guadalajara sin Barreras")</f>
        <v>Guadalajara sin Barreras</v>
      </c>
      <c r="E657" s="79" t="str">
        <f ca="1">IFERROR(__xludf.DUMMYFUNCTION("""COMPUTED_VALUE"""),"Desarrollo Integral de Personas Adultas Mayores")</f>
        <v>Desarrollo Integral de Personas Adultas Mayores</v>
      </c>
      <c r="F657" s="79" t="str">
        <f ca="1">IFERROR(__xludf.DUMMYFUNCTION("""COMPUTED_VALUE"""),"A2C4. Raciones alimenticias entregadas en el comedor de DIPAM en 2024")</f>
        <v>A2C4. Raciones alimenticias entregadas en el comedor de DIPAM en 2024</v>
      </c>
      <c r="G657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57" s="79" t="str">
        <f ca="1">IFERROR(__xludf.DUMMYFUNCTION("""COMPUTED_VALUE"""),"AMH Noviembre")</f>
        <v>AMH Noviembre</v>
      </c>
      <c r="I657" s="79" t="str">
        <f ca="1">IFERROR(__xludf.DUMMYFUNCTION("""COMPUTED_VALUE"""),"Noviembre")</f>
        <v>Noviembre</v>
      </c>
      <c r="J657" s="79" t="str">
        <f ca="1">IFERROR(__xludf.DUMMYFUNCTION("""COMPUTED_VALUE"""),"AMH")</f>
        <v>AMH</v>
      </c>
      <c r="K657" s="80">
        <f ca="1">IFERROR(__xludf.DUMMYFUNCTION("""COMPUTED_VALUE"""),828)</f>
        <v>828</v>
      </c>
      <c r="L657" s="79" t="str">
        <f ca="1">IFERROR(__xludf.DUMMYFUNCTION("""COMPUTED_VALUE"""),"TRIMESTRE 4")</f>
        <v>TRIMESTRE 4</v>
      </c>
      <c r="M657" s="79" t="str">
        <f ca="1">IFERROR(__xludf.DUMMYFUNCTION("""COMPUTED_VALUE"""),"ADULTO MAYOR HOMBRE")</f>
        <v>ADULTO MAYOR HOMBRE</v>
      </c>
    </row>
    <row r="658" spans="1:13">
      <c r="A658" s="79" t="str">
        <f ca="1">IFERROR(__xludf.DUMMYFUNCTION("""COMPUTED_VALUE"""),"6.1.4.0")</f>
        <v>6.1.4.0</v>
      </c>
      <c r="B658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58" s="79" t="str">
        <f ca="1">IFERROR(__xludf.DUMMYFUNCTION("""COMPUTED_VALUE"""),"5. Inclusión")</f>
        <v>5. Inclusión</v>
      </c>
      <c r="D658" s="79" t="str">
        <f ca="1">IFERROR(__xludf.DUMMYFUNCTION("""COMPUTED_VALUE"""),"Guadalajara sin Barreras")</f>
        <v>Guadalajara sin Barreras</v>
      </c>
      <c r="E658" s="79" t="str">
        <f ca="1">IFERROR(__xludf.DUMMYFUNCTION("""COMPUTED_VALUE"""),"Desarrollo Integral de Personas Adultas Mayores")</f>
        <v>Desarrollo Integral de Personas Adultas Mayores</v>
      </c>
      <c r="F658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58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58" s="79" t="str">
        <f ca="1">IFERROR(__xludf.DUMMYFUNCTION("""COMPUTED_VALUE"""),"NAS Diciembre")</f>
        <v>NAS Diciembre</v>
      </c>
      <c r="I658" s="79" t="str">
        <f ca="1">IFERROR(__xludf.DUMMYFUNCTION("""COMPUTED_VALUE"""),"Diciembre")</f>
        <v>Diciembre</v>
      </c>
      <c r="J658" s="79" t="str">
        <f ca="1">IFERROR(__xludf.DUMMYFUNCTION("""COMPUTED_VALUE"""),"NAS")</f>
        <v>NAS</v>
      </c>
      <c r="K658" s="80"/>
      <c r="L658" s="79" t="str">
        <f ca="1">IFERROR(__xludf.DUMMYFUNCTION("""COMPUTED_VALUE"""),"TRIMESTRE 4")</f>
        <v>TRIMESTRE 4</v>
      </c>
      <c r="M658" s="79" t="str">
        <f ca="1">IFERROR(__xludf.DUMMYFUNCTION("""COMPUTED_VALUE"""),"NIÑAS")</f>
        <v>NIÑAS</v>
      </c>
    </row>
    <row r="659" spans="1:13">
      <c r="A659" s="79" t="str">
        <f ca="1">IFERROR(__xludf.DUMMYFUNCTION("""COMPUTED_VALUE"""),"6.1.4.0")</f>
        <v>6.1.4.0</v>
      </c>
      <c r="B659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59" s="79" t="str">
        <f ca="1">IFERROR(__xludf.DUMMYFUNCTION("""COMPUTED_VALUE"""),"5. Inclusión")</f>
        <v>5. Inclusión</v>
      </c>
      <c r="D659" s="79" t="str">
        <f ca="1">IFERROR(__xludf.DUMMYFUNCTION("""COMPUTED_VALUE"""),"Guadalajara sin Barreras")</f>
        <v>Guadalajara sin Barreras</v>
      </c>
      <c r="E659" s="79" t="str">
        <f ca="1">IFERROR(__xludf.DUMMYFUNCTION("""COMPUTED_VALUE"""),"Desarrollo Integral de Personas Adultas Mayores")</f>
        <v>Desarrollo Integral de Personas Adultas Mayores</v>
      </c>
      <c r="F659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59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59" s="79" t="str">
        <f ca="1">IFERROR(__xludf.DUMMYFUNCTION("""COMPUTED_VALUE"""),"NOS Diciembre")</f>
        <v>NOS Diciembre</v>
      </c>
      <c r="I659" s="79" t="str">
        <f ca="1">IFERROR(__xludf.DUMMYFUNCTION("""COMPUTED_VALUE"""),"Diciembre")</f>
        <v>Diciembre</v>
      </c>
      <c r="J659" s="79" t="str">
        <f ca="1">IFERROR(__xludf.DUMMYFUNCTION("""COMPUTED_VALUE"""),"NOS")</f>
        <v>NOS</v>
      </c>
      <c r="K659" s="80"/>
      <c r="L659" s="79" t="str">
        <f ca="1">IFERROR(__xludf.DUMMYFUNCTION("""COMPUTED_VALUE"""),"TRIMESTRE 4")</f>
        <v>TRIMESTRE 4</v>
      </c>
      <c r="M659" s="79" t="str">
        <f ca="1">IFERROR(__xludf.DUMMYFUNCTION("""COMPUTED_VALUE"""),"NIÑOS")</f>
        <v>NIÑOS</v>
      </c>
    </row>
    <row r="660" spans="1:13">
      <c r="A660" s="79" t="str">
        <f ca="1">IFERROR(__xludf.DUMMYFUNCTION("""COMPUTED_VALUE"""),"6.1.4.0")</f>
        <v>6.1.4.0</v>
      </c>
      <c r="B660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60" s="79" t="str">
        <f ca="1">IFERROR(__xludf.DUMMYFUNCTION("""COMPUTED_VALUE"""),"5. Inclusión")</f>
        <v>5. Inclusión</v>
      </c>
      <c r="D660" s="79" t="str">
        <f ca="1">IFERROR(__xludf.DUMMYFUNCTION("""COMPUTED_VALUE"""),"Guadalajara sin Barreras")</f>
        <v>Guadalajara sin Barreras</v>
      </c>
      <c r="E660" s="79" t="str">
        <f ca="1">IFERROR(__xludf.DUMMYFUNCTION("""COMPUTED_VALUE"""),"Desarrollo Integral de Personas Adultas Mayores")</f>
        <v>Desarrollo Integral de Personas Adultas Mayores</v>
      </c>
      <c r="F660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60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60" s="79" t="str">
        <f ca="1">IFERROR(__xludf.DUMMYFUNCTION("""COMPUTED_VALUE"""),"AM Diciembre")</f>
        <v>AM Diciembre</v>
      </c>
      <c r="I660" s="79" t="str">
        <f ca="1">IFERROR(__xludf.DUMMYFUNCTION("""COMPUTED_VALUE"""),"Diciembre")</f>
        <v>Diciembre</v>
      </c>
      <c r="J660" s="79" t="str">
        <f ca="1">IFERROR(__xludf.DUMMYFUNCTION("""COMPUTED_VALUE"""),"AM")</f>
        <v>AM</v>
      </c>
      <c r="K660" s="80"/>
      <c r="L660" s="79" t="str">
        <f ca="1">IFERROR(__xludf.DUMMYFUNCTION("""COMPUTED_VALUE"""),"TRIMESTRE 4")</f>
        <v>TRIMESTRE 4</v>
      </c>
      <c r="M660" s="79" t="str">
        <f ca="1">IFERROR(__xludf.DUMMYFUNCTION("""COMPUTED_VALUE"""),"ADOLESCENTES MUJERES")</f>
        <v>ADOLESCENTES MUJERES</v>
      </c>
    </row>
    <row r="661" spans="1:13">
      <c r="A661" s="79" t="str">
        <f ca="1">IFERROR(__xludf.DUMMYFUNCTION("""COMPUTED_VALUE"""),"6.1.4.0")</f>
        <v>6.1.4.0</v>
      </c>
      <c r="B661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61" s="79" t="str">
        <f ca="1">IFERROR(__xludf.DUMMYFUNCTION("""COMPUTED_VALUE"""),"5. Inclusión")</f>
        <v>5. Inclusión</v>
      </c>
      <c r="D661" s="79" t="str">
        <f ca="1">IFERROR(__xludf.DUMMYFUNCTION("""COMPUTED_VALUE"""),"Guadalajara sin Barreras")</f>
        <v>Guadalajara sin Barreras</v>
      </c>
      <c r="E661" s="79" t="str">
        <f ca="1">IFERROR(__xludf.DUMMYFUNCTION("""COMPUTED_VALUE"""),"Desarrollo Integral de Personas Adultas Mayores")</f>
        <v>Desarrollo Integral de Personas Adultas Mayores</v>
      </c>
      <c r="F661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61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61" s="79" t="str">
        <f ca="1">IFERROR(__xludf.DUMMYFUNCTION("""COMPUTED_VALUE"""),"AH Diciembre")</f>
        <v>AH Diciembre</v>
      </c>
      <c r="I661" s="79" t="str">
        <f ca="1">IFERROR(__xludf.DUMMYFUNCTION("""COMPUTED_VALUE"""),"Diciembre")</f>
        <v>Diciembre</v>
      </c>
      <c r="J661" s="79" t="str">
        <f ca="1">IFERROR(__xludf.DUMMYFUNCTION("""COMPUTED_VALUE"""),"AH")</f>
        <v>AH</v>
      </c>
      <c r="K661" s="80"/>
      <c r="L661" s="79" t="str">
        <f ca="1">IFERROR(__xludf.DUMMYFUNCTION("""COMPUTED_VALUE"""),"TRIMESTRE 4")</f>
        <v>TRIMESTRE 4</v>
      </c>
      <c r="M661" s="79" t="str">
        <f ca="1">IFERROR(__xludf.DUMMYFUNCTION("""COMPUTED_VALUE"""),"ADOLESCENTES HOMBRES")</f>
        <v>ADOLESCENTES HOMBRES</v>
      </c>
    </row>
    <row r="662" spans="1:13">
      <c r="A662" s="79" t="str">
        <f ca="1">IFERROR(__xludf.DUMMYFUNCTION("""COMPUTED_VALUE"""),"6.1.4.0")</f>
        <v>6.1.4.0</v>
      </c>
      <c r="B662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62" s="79" t="str">
        <f ca="1">IFERROR(__xludf.DUMMYFUNCTION("""COMPUTED_VALUE"""),"5. Inclusión")</f>
        <v>5. Inclusión</v>
      </c>
      <c r="D662" s="79" t="str">
        <f ca="1">IFERROR(__xludf.DUMMYFUNCTION("""COMPUTED_VALUE"""),"Guadalajara sin Barreras")</f>
        <v>Guadalajara sin Barreras</v>
      </c>
      <c r="E662" s="79" t="str">
        <f ca="1">IFERROR(__xludf.DUMMYFUNCTION("""COMPUTED_VALUE"""),"Desarrollo Integral de Personas Adultas Mayores")</f>
        <v>Desarrollo Integral de Personas Adultas Mayores</v>
      </c>
      <c r="F662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62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62" s="79" t="str">
        <f ca="1">IFERROR(__xludf.DUMMYFUNCTION("""COMPUTED_VALUE"""),"MUJ Diciembre")</f>
        <v>MUJ Diciembre</v>
      </c>
      <c r="I662" s="79" t="str">
        <f ca="1">IFERROR(__xludf.DUMMYFUNCTION("""COMPUTED_VALUE"""),"Diciembre")</f>
        <v>Diciembre</v>
      </c>
      <c r="J662" s="79" t="str">
        <f ca="1">IFERROR(__xludf.DUMMYFUNCTION("""COMPUTED_VALUE"""),"MUJ")</f>
        <v>MUJ</v>
      </c>
      <c r="K662" s="80"/>
      <c r="L662" s="79" t="str">
        <f ca="1">IFERROR(__xludf.DUMMYFUNCTION("""COMPUTED_VALUE"""),"TRIMESTRE 4")</f>
        <v>TRIMESTRE 4</v>
      </c>
      <c r="M662" s="79" t="str">
        <f ca="1">IFERROR(__xludf.DUMMYFUNCTION("""COMPUTED_VALUE"""),"MUJERES ADULTAS")</f>
        <v>MUJERES ADULTAS</v>
      </c>
    </row>
    <row r="663" spans="1:13">
      <c r="A663" s="79" t="str">
        <f ca="1">IFERROR(__xludf.DUMMYFUNCTION("""COMPUTED_VALUE"""),"6.1.4.0")</f>
        <v>6.1.4.0</v>
      </c>
      <c r="B663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63" s="79" t="str">
        <f ca="1">IFERROR(__xludf.DUMMYFUNCTION("""COMPUTED_VALUE"""),"5. Inclusión")</f>
        <v>5. Inclusión</v>
      </c>
      <c r="D663" s="79" t="str">
        <f ca="1">IFERROR(__xludf.DUMMYFUNCTION("""COMPUTED_VALUE"""),"Guadalajara sin Barreras")</f>
        <v>Guadalajara sin Barreras</v>
      </c>
      <c r="E663" s="79" t="str">
        <f ca="1">IFERROR(__xludf.DUMMYFUNCTION("""COMPUTED_VALUE"""),"Desarrollo Integral de Personas Adultas Mayores")</f>
        <v>Desarrollo Integral de Personas Adultas Mayores</v>
      </c>
      <c r="F663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63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63" s="79" t="str">
        <f ca="1">IFERROR(__xludf.DUMMYFUNCTION("""COMPUTED_VALUE"""),"HOM Diciembre")</f>
        <v>HOM Diciembre</v>
      </c>
      <c r="I663" s="79" t="str">
        <f ca="1">IFERROR(__xludf.DUMMYFUNCTION("""COMPUTED_VALUE"""),"Diciembre")</f>
        <v>Diciembre</v>
      </c>
      <c r="J663" s="79" t="str">
        <f ca="1">IFERROR(__xludf.DUMMYFUNCTION("""COMPUTED_VALUE"""),"HOM")</f>
        <v>HOM</v>
      </c>
      <c r="K663" s="80"/>
      <c r="L663" s="79" t="str">
        <f ca="1">IFERROR(__xludf.DUMMYFUNCTION("""COMPUTED_VALUE"""),"TRIMESTRE 4")</f>
        <v>TRIMESTRE 4</v>
      </c>
      <c r="M663" s="79" t="str">
        <f ca="1">IFERROR(__xludf.DUMMYFUNCTION("""COMPUTED_VALUE"""),"HOMBRES ADULTOS")</f>
        <v>HOMBRES ADULTOS</v>
      </c>
    </row>
    <row r="664" spans="1:13">
      <c r="A664" s="79" t="str">
        <f ca="1">IFERROR(__xludf.DUMMYFUNCTION("""COMPUTED_VALUE"""),"6.1.4.0")</f>
        <v>6.1.4.0</v>
      </c>
      <c r="B664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64" s="79" t="str">
        <f ca="1">IFERROR(__xludf.DUMMYFUNCTION("""COMPUTED_VALUE"""),"5. Inclusión")</f>
        <v>5. Inclusión</v>
      </c>
      <c r="D664" s="79" t="str">
        <f ca="1">IFERROR(__xludf.DUMMYFUNCTION("""COMPUTED_VALUE"""),"Guadalajara sin Barreras")</f>
        <v>Guadalajara sin Barreras</v>
      </c>
      <c r="E664" s="79" t="str">
        <f ca="1">IFERROR(__xludf.DUMMYFUNCTION("""COMPUTED_VALUE"""),"Desarrollo Integral de Personas Adultas Mayores")</f>
        <v>Desarrollo Integral de Personas Adultas Mayores</v>
      </c>
      <c r="F664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64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64" s="79" t="str">
        <f ca="1">IFERROR(__xludf.DUMMYFUNCTION("""COMPUTED_VALUE"""),"AMM Diciembre")</f>
        <v>AMM Diciembre</v>
      </c>
      <c r="I664" s="79" t="str">
        <f ca="1">IFERROR(__xludf.DUMMYFUNCTION("""COMPUTED_VALUE"""),"Diciembre")</f>
        <v>Diciembre</v>
      </c>
      <c r="J664" s="79" t="str">
        <f ca="1">IFERROR(__xludf.DUMMYFUNCTION("""COMPUTED_VALUE"""),"AMM")</f>
        <v>AMM</v>
      </c>
      <c r="K664" s="80">
        <f ca="1">IFERROR(__xludf.DUMMYFUNCTION("""COMPUTED_VALUE"""),1226)</f>
        <v>1226</v>
      </c>
      <c r="L664" s="79" t="str">
        <f ca="1">IFERROR(__xludf.DUMMYFUNCTION("""COMPUTED_VALUE"""),"TRIMESTRE 4")</f>
        <v>TRIMESTRE 4</v>
      </c>
      <c r="M664" s="79" t="str">
        <f ca="1">IFERROR(__xludf.DUMMYFUNCTION("""COMPUTED_VALUE"""),"ADULTA MAYOR MUJER")</f>
        <v>ADULTA MAYOR MUJER</v>
      </c>
    </row>
    <row r="665" spans="1:13">
      <c r="A665" s="79" t="str">
        <f ca="1">IFERROR(__xludf.DUMMYFUNCTION("""COMPUTED_VALUE"""),"6.1.4.0")</f>
        <v>6.1.4.0</v>
      </c>
      <c r="B665" s="79" t="str">
        <f ca="1">IFERROR(__xludf.DUMMYFUNCTION("""COMPUTED_VALUE"""),"Desarrollo Integral de Personas Adultas Mayores/Jefatura del Departamento de Proyectos de Inclusión/Jefatura del Departamento de Proyectos de Inclusión/Coord.5. Inclusión")</f>
        <v>Desarrollo Integral de Personas Adultas Mayores/Jefatura del Departamento de Proyectos de Inclusión/Jefatura del Departamento de Proyectos de Inclusión/Coord.5. Inclusión</v>
      </c>
      <c r="C665" s="79" t="str">
        <f ca="1">IFERROR(__xludf.DUMMYFUNCTION("""COMPUTED_VALUE"""),"5. Inclusión")</f>
        <v>5. Inclusión</v>
      </c>
      <c r="D665" s="79" t="str">
        <f ca="1">IFERROR(__xludf.DUMMYFUNCTION("""COMPUTED_VALUE"""),"Guadalajara sin Barreras")</f>
        <v>Guadalajara sin Barreras</v>
      </c>
      <c r="E665" s="79" t="str">
        <f ca="1">IFERROR(__xludf.DUMMYFUNCTION("""COMPUTED_VALUE"""),"Desarrollo Integral de Personas Adultas Mayores")</f>
        <v>Desarrollo Integral de Personas Adultas Mayores</v>
      </c>
      <c r="F665" s="79" t="str">
        <f ca="1">IFERROR(__xludf.DUMMYFUNCTION("""COMPUTED_VALUE"""),"C4. Asistencias de personas adultas mayores a capacitaciones y talleres de envejecimiento activo realizados en 2024")</f>
        <v>C4. Asistencias de personas adultas mayores a capacitaciones y talleres de envejecimiento activo realizados en 2024</v>
      </c>
      <c r="G665" s="79" t="str">
        <f ca="1">IFERROR(__xludf.DUMMYFUNCTION("""COMPUTED_VALUE"""),"Promedio de asistencias de personas adultas mayores a capacitación y taller de envejecimiento activo, durante el 2024")</f>
        <v>Promedio de asistencias de personas adultas mayores a capacitación y taller de envejecimiento activo, durante el 2024</v>
      </c>
      <c r="H665" s="79" t="str">
        <f ca="1">IFERROR(__xludf.DUMMYFUNCTION("""COMPUTED_VALUE"""),"AMH Diciembre")</f>
        <v>AMH Diciembre</v>
      </c>
      <c r="I665" s="79" t="str">
        <f ca="1">IFERROR(__xludf.DUMMYFUNCTION("""COMPUTED_VALUE"""),"Diciembre")</f>
        <v>Diciembre</v>
      </c>
      <c r="J665" s="79" t="str">
        <f ca="1">IFERROR(__xludf.DUMMYFUNCTION("""COMPUTED_VALUE"""),"AMH")</f>
        <v>AMH</v>
      </c>
      <c r="K665" s="80">
        <f ca="1">IFERROR(__xludf.DUMMYFUNCTION("""COMPUTED_VALUE"""),431)</f>
        <v>431</v>
      </c>
      <c r="L665" s="79" t="str">
        <f ca="1">IFERROR(__xludf.DUMMYFUNCTION("""COMPUTED_VALUE"""),"TRIMESTRE 4")</f>
        <v>TRIMESTRE 4</v>
      </c>
      <c r="M665" s="79" t="str">
        <f ca="1">IFERROR(__xludf.DUMMYFUNCTION("""COMPUTED_VALUE"""),"ADULTO MAYOR HOMBRE")</f>
        <v>ADULTO MAYOR HOMBRE</v>
      </c>
    </row>
    <row r="666" spans="1:13">
      <c r="A666" s="79" t="str">
        <f ca="1">IFERROR(__xludf.DUMMYFUNCTION("""COMPUTED_VALUE"""),"6.1.4.2")</f>
        <v>6.1.4.2</v>
      </c>
      <c r="B666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66" s="79" t="str">
        <f ca="1">IFERROR(__xludf.DUMMYFUNCTION("""COMPUTED_VALUE"""),"5. Inclusión")</f>
        <v>5. Inclusión</v>
      </c>
      <c r="D666" s="79" t="str">
        <f ca="1">IFERROR(__xludf.DUMMYFUNCTION("""COMPUTED_VALUE"""),"Guadalajara sin Barreras")</f>
        <v>Guadalajara sin Barreras</v>
      </c>
      <c r="E666" s="79" t="str">
        <f ca="1">IFERROR(__xludf.DUMMYFUNCTION("""COMPUTED_VALUE"""),"Desarrollo Integral de Personas Adultas Mayores")</f>
        <v>Desarrollo Integral de Personas Adultas Mayores</v>
      </c>
      <c r="F666" s="79" t="str">
        <f ca="1">IFERROR(__xludf.DUMMYFUNCTION("""COMPUTED_VALUE"""),"A2C4. Raciones alimenticias entregadas en el comedor de DIPAM en 2024")</f>
        <v>A2C4. Raciones alimenticias entregadas en el comedor de DIPAM en 2024</v>
      </c>
      <c r="G666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66" s="79" t="str">
        <f ca="1">IFERROR(__xludf.DUMMYFUNCTION("""COMPUTED_VALUE"""),"NAS Diciembre")</f>
        <v>NAS Diciembre</v>
      </c>
      <c r="I666" s="79" t="str">
        <f ca="1">IFERROR(__xludf.DUMMYFUNCTION("""COMPUTED_VALUE"""),"Diciembre")</f>
        <v>Diciembre</v>
      </c>
      <c r="J666" s="79" t="str">
        <f ca="1">IFERROR(__xludf.DUMMYFUNCTION("""COMPUTED_VALUE"""),"NAS")</f>
        <v>NAS</v>
      </c>
      <c r="K666" s="80"/>
      <c r="L666" s="79" t="str">
        <f ca="1">IFERROR(__xludf.DUMMYFUNCTION("""COMPUTED_VALUE"""),"TRIMESTRE 4")</f>
        <v>TRIMESTRE 4</v>
      </c>
      <c r="M666" s="79" t="str">
        <f ca="1">IFERROR(__xludf.DUMMYFUNCTION("""COMPUTED_VALUE"""),"NIÑAS")</f>
        <v>NIÑAS</v>
      </c>
    </row>
    <row r="667" spans="1:13">
      <c r="A667" s="79" t="str">
        <f ca="1">IFERROR(__xludf.DUMMYFUNCTION("""COMPUTED_VALUE"""),"6.1.4.2")</f>
        <v>6.1.4.2</v>
      </c>
      <c r="B667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67" s="79" t="str">
        <f ca="1">IFERROR(__xludf.DUMMYFUNCTION("""COMPUTED_VALUE"""),"5. Inclusión")</f>
        <v>5. Inclusión</v>
      </c>
      <c r="D667" s="79" t="str">
        <f ca="1">IFERROR(__xludf.DUMMYFUNCTION("""COMPUTED_VALUE"""),"Guadalajara sin Barreras")</f>
        <v>Guadalajara sin Barreras</v>
      </c>
      <c r="E667" s="79" t="str">
        <f ca="1">IFERROR(__xludf.DUMMYFUNCTION("""COMPUTED_VALUE"""),"Desarrollo Integral de Personas Adultas Mayores")</f>
        <v>Desarrollo Integral de Personas Adultas Mayores</v>
      </c>
      <c r="F667" s="79" t="str">
        <f ca="1">IFERROR(__xludf.DUMMYFUNCTION("""COMPUTED_VALUE"""),"A2C4. Raciones alimenticias entregadas en el comedor de DIPAM en 2024")</f>
        <v>A2C4. Raciones alimenticias entregadas en el comedor de DIPAM en 2024</v>
      </c>
      <c r="G667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67" s="79" t="str">
        <f ca="1">IFERROR(__xludf.DUMMYFUNCTION("""COMPUTED_VALUE"""),"NOS Diciembre")</f>
        <v>NOS Diciembre</v>
      </c>
      <c r="I667" s="79" t="str">
        <f ca="1">IFERROR(__xludf.DUMMYFUNCTION("""COMPUTED_VALUE"""),"Diciembre")</f>
        <v>Diciembre</v>
      </c>
      <c r="J667" s="79" t="str">
        <f ca="1">IFERROR(__xludf.DUMMYFUNCTION("""COMPUTED_VALUE"""),"NOS")</f>
        <v>NOS</v>
      </c>
      <c r="K667" s="80"/>
      <c r="L667" s="79" t="str">
        <f ca="1">IFERROR(__xludf.DUMMYFUNCTION("""COMPUTED_VALUE"""),"TRIMESTRE 4")</f>
        <v>TRIMESTRE 4</v>
      </c>
      <c r="M667" s="79" t="str">
        <f ca="1">IFERROR(__xludf.DUMMYFUNCTION("""COMPUTED_VALUE"""),"NIÑOS")</f>
        <v>NIÑOS</v>
      </c>
    </row>
    <row r="668" spans="1:13">
      <c r="A668" s="79" t="str">
        <f ca="1">IFERROR(__xludf.DUMMYFUNCTION("""COMPUTED_VALUE"""),"6.1.4.2")</f>
        <v>6.1.4.2</v>
      </c>
      <c r="B668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68" s="79" t="str">
        <f ca="1">IFERROR(__xludf.DUMMYFUNCTION("""COMPUTED_VALUE"""),"5. Inclusión")</f>
        <v>5. Inclusión</v>
      </c>
      <c r="D668" s="79" t="str">
        <f ca="1">IFERROR(__xludf.DUMMYFUNCTION("""COMPUTED_VALUE"""),"Guadalajara sin Barreras")</f>
        <v>Guadalajara sin Barreras</v>
      </c>
      <c r="E668" s="79" t="str">
        <f ca="1">IFERROR(__xludf.DUMMYFUNCTION("""COMPUTED_VALUE"""),"Desarrollo Integral de Personas Adultas Mayores")</f>
        <v>Desarrollo Integral de Personas Adultas Mayores</v>
      </c>
      <c r="F668" s="79" t="str">
        <f ca="1">IFERROR(__xludf.DUMMYFUNCTION("""COMPUTED_VALUE"""),"A2C4. Raciones alimenticias entregadas en el comedor de DIPAM en 2024")</f>
        <v>A2C4. Raciones alimenticias entregadas en el comedor de DIPAM en 2024</v>
      </c>
      <c r="G668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68" s="79" t="str">
        <f ca="1">IFERROR(__xludf.DUMMYFUNCTION("""COMPUTED_VALUE"""),"AM Diciembre")</f>
        <v>AM Diciembre</v>
      </c>
      <c r="I668" s="79" t="str">
        <f ca="1">IFERROR(__xludf.DUMMYFUNCTION("""COMPUTED_VALUE"""),"Diciembre")</f>
        <v>Diciembre</v>
      </c>
      <c r="J668" s="79" t="str">
        <f ca="1">IFERROR(__xludf.DUMMYFUNCTION("""COMPUTED_VALUE"""),"AM")</f>
        <v>AM</v>
      </c>
      <c r="K668" s="80"/>
      <c r="L668" s="79" t="str">
        <f ca="1">IFERROR(__xludf.DUMMYFUNCTION("""COMPUTED_VALUE"""),"TRIMESTRE 4")</f>
        <v>TRIMESTRE 4</v>
      </c>
      <c r="M668" s="79" t="str">
        <f ca="1">IFERROR(__xludf.DUMMYFUNCTION("""COMPUTED_VALUE"""),"ADOLESCENTES MUJERES")</f>
        <v>ADOLESCENTES MUJERES</v>
      </c>
    </row>
    <row r="669" spans="1:13">
      <c r="A669" s="79" t="str">
        <f ca="1">IFERROR(__xludf.DUMMYFUNCTION("""COMPUTED_VALUE"""),"6.1.4.2")</f>
        <v>6.1.4.2</v>
      </c>
      <c r="B669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69" s="79" t="str">
        <f ca="1">IFERROR(__xludf.DUMMYFUNCTION("""COMPUTED_VALUE"""),"5. Inclusión")</f>
        <v>5. Inclusión</v>
      </c>
      <c r="D669" s="79" t="str">
        <f ca="1">IFERROR(__xludf.DUMMYFUNCTION("""COMPUTED_VALUE"""),"Guadalajara sin Barreras")</f>
        <v>Guadalajara sin Barreras</v>
      </c>
      <c r="E669" s="79" t="str">
        <f ca="1">IFERROR(__xludf.DUMMYFUNCTION("""COMPUTED_VALUE"""),"Desarrollo Integral de Personas Adultas Mayores")</f>
        <v>Desarrollo Integral de Personas Adultas Mayores</v>
      </c>
      <c r="F669" s="79" t="str">
        <f ca="1">IFERROR(__xludf.DUMMYFUNCTION("""COMPUTED_VALUE"""),"A2C4. Raciones alimenticias entregadas en el comedor de DIPAM en 2024")</f>
        <v>A2C4. Raciones alimenticias entregadas en el comedor de DIPAM en 2024</v>
      </c>
      <c r="G669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69" s="79" t="str">
        <f ca="1">IFERROR(__xludf.DUMMYFUNCTION("""COMPUTED_VALUE"""),"AH Diciembre")</f>
        <v>AH Diciembre</v>
      </c>
      <c r="I669" s="79" t="str">
        <f ca="1">IFERROR(__xludf.DUMMYFUNCTION("""COMPUTED_VALUE"""),"Diciembre")</f>
        <v>Diciembre</v>
      </c>
      <c r="J669" s="79" t="str">
        <f ca="1">IFERROR(__xludf.DUMMYFUNCTION("""COMPUTED_VALUE"""),"AH")</f>
        <v>AH</v>
      </c>
      <c r="K669" s="80"/>
      <c r="L669" s="79" t="str">
        <f ca="1">IFERROR(__xludf.DUMMYFUNCTION("""COMPUTED_VALUE"""),"TRIMESTRE 4")</f>
        <v>TRIMESTRE 4</v>
      </c>
      <c r="M669" s="79" t="str">
        <f ca="1">IFERROR(__xludf.DUMMYFUNCTION("""COMPUTED_VALUE"""),"ADOLESCENTES HOMBRES")</f>
        <v>ADOLESCENTES HOMBRES</v>
      </c>
    </row>
    <row r="670" spans="1:13">
      <c r="A670" s="79" t="str">
        <f ca="1">IFERROR(__xludf.DUMMYFUNCTION("""COMPUTED_VALUE"""),"6.1.4.2")</f>
        <v>6.1.4.2</v>
      </c>
      <c r="B670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70" s="79" t="str">
        <f ca="1">IFERROR(__xludf.DUMMYFUNCTION("""COMPUTED_VALUE"""),"5. Inclusión")</f>
        <v>5. Inclusión</v>
      </c>
      <c r="D670" s="79" t="str">
        <f ca="1">IFERROR(__xludf.DUMMYFUNCTION("""COMPUTED_VALUE"""),"Guadalajara sin Barreras")</f>
        <v>Guadalajara sin Barreras</v>
      </c>
      <c r="E670" s="79" t="str">
        <f ca="1">IFERROR(__xludf.DUMMYFUNCTION("""COMPUTED_VALUE"""),"Desarrollo Integral de Personas Adultas Mayores")</f>
        <v>Desarrollo Integral de Personas Adultas Mayores</v>
      </c>
      <c r="F670" s="79" t="str">
        <f ca="1">IFERROR(__xludf.DUMMYFUNCTION("""COMPUTED_VALUE"""),"A2C4. Raciones alimenticias entregadas en el comedor de DIPAM en 2024")</f>
        <v>A2C4. Raciones alimenticias entregadas en el comedor de DIPAM en 2024</v>
      </c>
      <c r="G670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70" s="79" t="str">
        <f ca="1">IFERROR(__xludf.DUMMYFUNCTION("""COMPUTED_VALUE"""),"MUJ Diciembre")</f>
        <v>MUJ Diciembre</v>
      </c>
      <c r="I670" s="79" t="str">
        <f ca="1">IFERROR(__xludf.DUMMYFUNCTION("""COMPUTED_VALUE"""),"Diciembre")</f>
        <v>Diciembre</v>
      </c>
      <c r="J670" s="79" t="str">
        <f ca="1">IFERROR(__xludf.DUMMYFUNCTION("""COMPUTED_VALUE"""),"MUJ")</f>
        <v>MUJ</v>
      </c>
      <c r="K670" s="80"/>
      <c r="L670" s="79" t="str">
        <f ca="1">IFERROR(__xludf.DUMMYFUNCTION("""COMPUTED_VALUE"""),"TRIMESTRE 4")</f>
        <v>TRIMESTRE 4</v>
      </c>
      <c r="M670" s="79" t="str">
        <f ca="1">IFERROR(__xludf.DUMMYFUNCTION("""COMPUTED_VALUE"""),"MUJERES ADULTAS")</f>
        <v>MUJERES ADULTAS</v>
      </c>
    </row>
    <row r="671" spans="1:13">
      <c r="A671" s="79" t="str">
        <f ca="1">IFERROR(__xludf.DUMMYFUNCTION("""COMPUTED_VALUE"""),"6.1.4.2")</f>
        <v>6.1.4.2</v>
      </c>
      <c r="B671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71" s="79" t="str">
        <f ca="1">IFERROR(__xludf.DUMMYFUNCTION("""COMPUTED_VALUE"""),"5. Inclusión")</f>
        <v>5. Inclusión</v>
      </c>
      <c r="D671" s="79" t="str">
        <f ca="1">IFERROR(__xludf.DUMMYFUNCTION("""COMPUTED_VALUE"""),"Guadalajara sin Barreras")</f>
        <v>Guadalajara sin Barreras</v>
      </c>
      <c r="E671" s="79" t="str">
        <f ca="1">IFERROR(__xludf.DUMMYFUNCTION("""COMPUTED_VALUE"""),"Desarrollo Integral de Personas Adultas Mayores")</f>
        <v>Desarrollo Integral de Personas Adultas Mayores</v>
      </c>
      <c r="F671" s="79" t="str">
        <f ca="1">IFERROR(__xludf.DUMMYFUNCTION("""COMPUTED_VALUE"""),"A2C4. Raciones alimenticias entregadas en el comedor de DIPAM en 2024")</f>
        <v>A2C4. Raciones alimenticias entregadas en el comedor de DIPAM en 2024</v>
      </c>
      <c r="G671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71" s="79" t="str">
        <f ca="1">IFERROR(__xludf.DUMMYFUNCTION("""COMPUTED_VALUE"""),"HOM Diciembre")</f>
        <v>HOM Diciembre</v>
      </c>
      <c r="I671" s="79" t="str">
        <f ca="1">IFERROR(__xludf.DUMMYFUNCTION("""COMPUTED_VALUE"""),"Diciembre")</f>
        <v>Diciembre</v>
      </c>
      <c r="J671" s="79" t="str">
        <f ca="1">IFERROR(__xludf.DUMMYFUNCTION("""COMPUTED_VALUE"""),"HOM")</f>
        <v>HOM</v>
      </c>
      <c r="K671" s="80"/>
      <c r="L671" s="79" t="str">
        <f ca="1">IFERROR(__xludf.DUMMYFUNCTION("""COMPUTED_VALUE"""),"TRIMESTRE 4")</f>
        <v>TRIMESTRE 4</v>
      </c>
      <c r="M671" s="79" t="str">
        <f ca="1">IFERROR(__xludf.DUMMYFUNCTION("""COMPUTED_VALUE"""),"HOMBRES ADULTOS")</f>
        <v>HOMBRES ADULTOS</v>
      </c>
    </row>
    <row r="672" spans="1:13">
      <c r="A672" s="79" t="str">
        <f ca="1">IFERROR(__xludf.DUMMYFUNCTION("""COMPUTED_VALUE"""),"6.1.4.2")</f>
        <v>6.1.4.2</v>
      </c>
      <c r="B672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72" s="79" t="str">
        <f ca="1">IFERROR(__xludf.DUMMYFUNCTION("""COMPUTED_VALUE"""),"5. Inclusión")</f>
        <v>5. Inclusión</v>
      </c>
      <c r="D672" s="79" t="str">
        <f ca="1">IFERROR(__xludf.DUMMYFUNCTION("""COMPUTED_VALUE"""),"Guadalajara sin Barreras")</f>
        <v>Guadalajara sin Barreras</v>
      </c>
      <c r="E672" s="79" t="str">
        <f ca="1">IFERROR(__xludf.DUMMYFUNCTION("""COMPUTED_VALUE"""),"Desarrollo Integral de Personas Adultas Mayores")</f>
        <v>Desarrollo Integral de Personas Adultas Mayores</v>
      </c>
      <c r="F672" s="79" t="str">
        <f ca="1">IFERROR(__xludf.DUMMYFUNCTION("""COMPUTED_VALUE"""),"A2C4. Raciones alimenticias entregadas en el comedor de DIPAM en 2024")</f>
        <v>A2C4. Raciones alimenticias entregadas en el comedor de DIPAM en 2024</v>
      </c>
      <c r="G672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72" s="79" t="str">
        <f ca="1">IFERROR(__xludf.DUMMYFUNCTION("""COMPUTED_VALUE"""),"AMM Diciembre")</f>
        <v>AMM Diciembre</v>
      </c>
      <c r="I672" s="79" t="str">
        <f ca="1">IFERROR(__xludf.DUMMYFUNCTION("""COMPUTED_VALUE"""),"Diciembre")</f>
        <v>Diciembre</v>
      </c>
      <c r="J672" s="79" t="str">
        <f ca="1">IFERROR(__xludf.DUMMYFUNCTION("""COMPUTED_VALUE"""),"AMM")</f>
        <v>AMM</v>
      </c>
      <c r="K672" s="80">
        <f ca="1">IFERROR(__xludf.DUMMYFUNCTION("""COMPUTED_VALUE"""),700)</f>
        <v>700</v>
      </c>
      <c r="L672" s="79" t="str">
        <f ca="1">IFERROR(__xludf.DUMMYFUNCTION("""COMPUTED_VALUE"""),"TRIMESTRE 4")</f>
        <v>TRIMESTRE 4</v>
      </c>
      <c r="M672" s="79" t="str">
        <f ca="1">IFERROR(__xludf.DUMMYFUNCTION("""COMPUTED_VALUE"""),"ADULTA MAYOR MUJER")</f>
        <v>ADULTA MAYOR MUJER</v>
      </c>
    </row>
    <row r="673" spans="1:26">
      <c r="A673" s="79" t="str">
        <f ca="1">IFERROR(__xludf.DUMMYFUNCTION("""COMPUTED_VALUE"""),"6.1.4.2")</f>
        <v>6.1.4.2</v>
      </c>
      <c r="B673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673" s="79" t="str">
        <f ca="1">IFERROR(__xludf.DUMMYFUNCTION("""COMPUTED_VALUE"""),"5. Inclusión")</f>
        <v>5. Inclusión</v>
      </c>
      <c r="D673" s="79" t="str">
        <f ca="1">IFERROR(__xludf.DUMMYFUNCTION("""COMPUTED_VALUE"""),"Guadalajara sin Barreras")</f>
        <v>Guadalajara sin Barreras</v>
      </c>
      <c r="E673" s="79" t="str">
        <f ca="1">IFERROR(__xludf.DUMMYFUNCTION("""COMPUTED_VALUE"""),"Desarrollo Integral de Personas Adultas Mayores")</f>
        <v>Desarrollo Integral de Personas Adultas Mayores</v>
      </c>
      <c r="F673" s="79" t="str">
        <f ca="1">IFERROR(__xludf.DUMMYFUNCTION("""COMPUTED_VALUE"""),"A2C4. Raciones alimenticias entregadas en el comedor de DIPAM en 2024")</f>
        <v>A2C4. Raciones alimenticias entregadas en el comedor de DIPAM en 2024</v>
      </c>
      <c r="G673" s="79" t="str">
        <f ca="1">IFERROR(__xludf.DUMMYFUNCTION("""COMPUTED_VALUE"""),"Porcentaje de cumplimiento en la entrega de raciones alimenticias entregadas en el comedor de DIPAM en 2024")</f>
        <v>Porcentaje de cumplimiento en la entrega de raciones alimenticias entregadas en el comedor de DIPAM en 2024</v>
      </c>
      <c r="H673" s="79" t="str">
        <f ca="1">IFERROR(__xludf.DUMMYFUNCTION("""COMPUTED_VALUE"""),"AMH Diciembre")</f>
        <v>AMH Diciembre</v>
      </c>
      <c r="I673" s="79" t="str">
        <f ca="1">IFERROR(__xludf.DUMMYFUNCTION("""COMPUTED_VALUE"""),"Diciembre")</f>
        <v>Diciembre</v>
      </c>
      <c r="J673" s="79" t="str">
        <f ca="1">IFERROR(__xludf.DUMMYFUNCTION("""COMPUTED_VALUE"""),"AMH")</f>
        <v>AMH</v>
      </c>
      <c r="K673" s="80">
        <f ca="1">IFERROR(__xludf.DUMMYFUNCTION("""COMPUTED_VALUE"""),644)</f>
        <v>644</v>
      </c>
      <c r="L673" s="79" t="str">
        <f ca="1">IFERROR(__xludf.DUMMYFUNCTION("""COMPUTED_VALUE"""),"TRIMESTRE 4")</f>
        <v>TRIMESTRE 4</v>
      </c>
      <c r="M673" s="79" t="str">
        <f ca="1">IFERROR(__xludf.DUMMYFUNCTION("""COMPUTED_VALUE"""),"ADULTO MAYOR HOMBRE")</f>
        <v>ADULTO MAYOR HOMBRE</v>
      </c>
    </row>
    <row r="674" spans="1:26">
      <c r="A674" s="81" t="str">
        <f ca="1">IFERROR(__xludf.DUMMYFUNCTION("""COMPUTED_VALUE"""),"6.1.5.0")</f>
        <v>6.1.5.0</v>
      </c>
      <c r="B674" s="81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74" s="81" t="str">
        <f ca="1">IFERROR(__xludf.DUMMYFUNCTION("""COMPUTED_VALUE"""),"5. Inclusión")</f>
        <v>5. Inclusión</v>
      </c>
      <c r="D674" s="81" t="str">
        <f ca="1">IFERROR(__xludf.DUMMYFUNCTION("""COMPUTED_VALUE"""),"Guadalajara sin Barreras")</f>
        <v>Guadalajara sin Barreras</v>
      </c>
      <c r="E674" s="81" t="str">
        <f ca="1">IFERROR(__xludf.DUMMYFUNCTION("""COMPUTED_VALUE"""),"Atención Integral para Personas con Discapacidad")</f>
        <v>Atención Integral para Personas con Discapacidad</v>
      </c>
      <c r="F674" s="81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74" s="81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74" s="81" t="str">
        <f ca="1">IFERROR(__xludf.DUMMYFUNCTION("""COMPUTED_VALUE"""),"NAS enero")</f>
        <v>NAS enero</v>
      </c>
      <c r="I674" s="81" t="str">
        <f ca="1">IFERROR(__xludf.DUMMYFUNCTION("""COMPUTED_VALUE"""),"Enero")</f>
        <v>Enero</v>
      </c>
      <c r="J674" s="81" t="str">
        <f ca="1">IFERROR(__xludf.DUMMYFUNCTION("""COMPUTED_VALUE"""),"NAS")</f>
        <v>NAS</v>
      </c>
      <c r="K674" s="80">
        <f ca="1">IFERROR(__xludf.DUMMYFUNCTION("""COMPUTED_VALUE"""),7)</f>
        <v>7</v>
      </c>
      <c r="L674" s="81" t="str">
        <f ca="1">IFERROR(__xludf.DUMMYFUNCTION("""COMPUTED_VALUE"""),"TRIMESTRE 1")</f>
        <v>TRIMESTRE 1</v>
      </c>
      <c r="M674" s="81" t="str">
        <f ca="1">IFERROR(__xludf.DUMMYFUNCTION("""COMPUTED_VALUE"""),"NIÑAS")</f>
        <v>NIÑAS</v>
      </c>
      <c r="N674" s="81"/>
      <c r="O674" s="81"/>
      <c r="P674" s="81"/>
      <c r="Q674" s="81"/>
      <c r="R674" s="81"/>
      <c r="S674" s="81"/>
      <c r="T674" s="81"/>
      <c r="U674" s="81"/>
      <c r="V674" s="81"/>
      <c r="W674" s="81"/>
      <c r="X674" s="81"/>
      <c r="Y674" s="81"/>
      <c r="Z674" s="81"/>
    </row>
    <row r="675" spans="1:26">
      <c r="A675" s="81" t="str">
        <f ca="1">IFERROR(__xludf.DUMMYFUNCTION("""COMPUTED_VALUE"""),"6.1.5.0")</f>
        <v>6.1.5.0</v>
      </c>
      <c r="B675" s="81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75" s="81" t="str">
        <f ca="1">IFERROR(__xludf.DUMMYFUNCTION("""COMPUTED_VALUE"""),"5. Inclusión")</f>
        <v>5. Inclusión</v>
      </c>
      <c r="D675" s="81" t="str">
        <f ca="1">IFERROR(__xludf.DUMMYFUNCTION("""COMPUTED_VALUE"""),"Guadalajara sin Barreras")</f>
        <v>Guadalajara sin Barreras</v>
      </c>
      <c r="E675" s="81" t="str">
        <f ca="1">IFERROR(__xludf.DUMMYFUNCTION("""COMPUTED_VALUE"""),"Atención Integral para Personas con Discapacidad")</f>
        <v>Atención Integral para Personas con Discapacidad</v>
      </c>
      <c r="F675" s="81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75" s="81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75" s="81" t="str">
        <f ca="1">IFERROR(__xludf.DUMMYFUNCTION("""COMPUTED_VALUE"""),"NOS enero")</f>
        <v>NOS enero</v>
      </c>
      <c r="I675" s="81" t="str">
        <f ca="1">IFERROR(__xludf.DUMMYFUNCTION("""COMPUTED_VALUE"""),"Enero")</f>
        <v>Enero</v>
      </c>
      <c r="J675" s="81" t="str">
        <f ca="1">IFERROR(__xludf.DUMMYFUNCTION("""COMPUTED_VALUE"""),"NOS")</f>
        <v>NOS</v>
      </c>
      <c r="K675" s="80">
        <f ca="1">IFERROR(__xludf.DUMMYFUNCTION("""COMPUTED_VALUE"""),7)</f>
        <v>7</v>
      </c>
      <c r="L675" s="81" t="str">
        <f ca="1">IFERROR(__xludf.DUMMYFUNCTION("""COMPUTED_VALUE"""),"TRIMESTRE 1")</f>
        <v>TRIMESTRE 1</v>
      </c>
      <c r="M675" s="81" t="str">
        <f ca="1">IFERROR(__xludf.DUMMYFUNCTION("""COMPUTED_VALUE"""),"NIÑOS")</f>
        <v>NIÑOS</v>
      </c>
      <c r="N675" s="81"/>
      <c r="O675" s="81"/>
      <c r="P675" s="81"/>
      <c r="Q675" s="81"/>
      <c r="R675" s="81"/>
      <c r="S675" s="81"/>
      <c r="T675" s="81"/>
      <c r="U675" s="81"/>
      <c r="V675" s="81"/>
      <c r="W675" s="81"/>
      <c r="X675" s="81"/>
      <c r="Y675" s="81"/>
      <c r="Z675" s="81"/>
    </row>
    <row r="676" spans="1:26">
      <c r="A676" s="81" t="str">
        <f ca="1">IFERROR(__xludf.DUMMYFUNCTION("""COMPUTED_VALUE"""),"6.1.5.0")</f>
        <v>6.1.5.0</v>
      </c>
      <c r="B676" s="81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76" s="81" t="str">
        <f ca="1">IFERROR(__xludf.DUMMYFUNCTION("""COMPUTED_VALUE"""),"5. Inclusión")</f>
        <v>5. Inclusión</v>
      </c>
      <c r="D676" s="81" t="str">
        <f ca="1">IFERROR(__xludf.DUMMYFUNCTION("""COMPUTED_VALUE"""),"Guadalajara sin Barreras")</f>
        <v>Guadalajara sin Barreras</v>
      </c>
      <c r="E676" s="81" t="str">
        <f ca="1">IFERROR(__xludf.DUMMYFUNCTION("""COMPUTED_VALUE"""),"Atención Integral para Personas con Discapacidad")</f>
        <v>Atención Integral para Personas con Discapacidad</v>
      </c>
      <c r="F676" s="81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76" s="81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76" s="81" t="str">
        <f ca="1">IFERROR(__xludf.DUMMYFUNCTION("""COMPUTED_VALUE"""),"AM enero")</f>
        <v>AM enero</v>
      </c>
      <c r="I676" s="81" t="str">
        <f ca="1">IFERROR(__xludf.DUMMYFUNCTION("""COMPUTED_VALUE"""),"Enero")</f>
        <v>Enero</v>
      </c>
      <c r="J676" s="81" t="str">
        <f ca="1">IFERROR(__xludf.DUMMYFUNCTION("""COMPUTED_VALUE"""),"AM")</f>
        <v>AM</v>
      </c>
      <c r="K676" s="80">
        <f ca="1">IFERROR(__xludf.DUMMYFUNCTION("""COMPUTED_VALUE"""),3)</f>
        <v>3</v>
      </c>
      <c r="L676" s="81" t="str">
        <f ca="1">IFERROR(__xludf.DUMMYFUNCTION("""COMPUTED_VALUE"""),"TRIMESTRE 1")</f>
        <v>TRIMESTRE 1</v>
      </c>
      <c r="M676" s="81" t="str">
        <f ca="1">IFERROR(__xludf.DUMMYFUNCTION("""COMPUTED_VALUE"""),"ADOLESCENTES MUJERES")</f>
        <v>ADOLESCENTES MUJERES</v>
      </c>
      <c r="N676" s="81"/>
      <c r="O676" s="81"/>
      <c r="P676" s="81"/>
      <c r="Q676" s="81"/>
      <c r="R676" s="81"/>
      <c r="S676" s="81"/>
      <c r="T676" s="81"/>
      <c r="U676" s="81"/>
      <c r="V676" s="81"/>
      <c r="W676" s="81"/>
      <c r="X676" s="81"/>
      <c r="Y676" s="81"/>
      <c r="Z676" s="81"/>
    </row>
    <row r="677" spans="1:26">
      <c r="A677" s="81" t="str">
        <f ca="1">IFERROR(__xludf.DUMMYFUNCTION("""COMPUTED_VALUE"""),"6.1.5.0")</f>
        <v>6.1.5.0</v>
      </c>
      <c r="B677" s="81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77" s="81" t="str">
        <f ca="1">IFERROR(__xludf.DUMMYFUNCTION("""COMPUTED_VALUE"""),"5. Inclusión")</f>
        <v>5. Inclusión</v>
      </c>
      <c r="D677" s="81" t="str">
        <f ca="1">IFERROR(__xludf.DUMMYFUNCTION("""COMPUTED_VALUE"""),"Guadalajara sin Barreras")</f>
        <v>Guadalajara sin Barreras</v>
      </c>
      <c r="E677" s="81" t="str">
        <f ca="1">IFERROR(__xludf.DUMMYFUNCTION("""COMPUTED_VALUE"""),"Atención Integral para Personas con Discapacidad")</f>
        <v>Atención Integral para Personas con Discapacidad</v>
      </c>
      <c r="F677" s="81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77" s="81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77" s="81" t="str">
        <f ca="1">IFERROR(__xludf.DUMMYFUNCTION("""COMPUTED_VALUE"""),"AH enero")</f>
        <v>AH enero</v>
      </c>
      <c r="I677" s="81" t="str">
        <f ca="1">IFERROR(__xludf.DUMMYFUNCTION("""COMPUTED_VALUE"""),"Enero")</f>
        <v>Enero</v>
      </c>
      <c r="J677" s="81" t="str">
        <f ca="1">IFERROR(__xludf.DUMMYFUNCTION("""COMPUTED_VALUE"""),"AH")</f>
        <v>AH</v>
      </c>
      <c r="K677" s="80">
        <f ca="1">IFERROR(__xludf.DUMMYFUNCTION("""COMPUTED_VALUE"""),14)</f>
        <v>14</v>
      </c>
      <c r="L677" s="81" t="str">
        <f ca="1">IFERROR(__xludf.DUMMYFUNCTION("""COMPUTED_VALUE"""),"TRIMESTRE 1")</f>
        <v>TRIMESTRE 1</v>
      </c>
      <c r="M677" s="81" t="str">
        <f ca="1">IFERROR(__xludf.DUMMYFUNCTION("""COMPUTED_VALUE"""),"ADOLESCENTES HOMBRES")</f>
        <v>ADOLESCENTES HOMBRES</v>
      </c>
      <c r="N677" s="81"/>
      <c r="O677" s="81"/>
      <c r="P677" s="81"/>
      <c r="Q677" s="81"/>
      <c r="R677" s="81"/>
      <c r="S677" s="81"/>
      <c r="T677" s="81"/>
      <c r="U677" s="81"/>
      <c r="V677" s="81"/>
      <c r="W677" s="81"/>
      <c r="X677" s="81"/>
      <c r="Y677" s="81"/>
      <c r="Z677" s="81"/>
    </row>
    <row r="678" spans="1:26">
      <c r="A678" s="81" t="str">
        <f ca="1">IFERROR(__xludf.DUMMYFUNCTION("""COMPUTED_VALUE"""),"6.1.5.0")</f>
        <v>6.1.5.0</v>
      </c>
      <c r="B678" s="81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78" s="81" t="str">
        <f ca="1">IFERROR(__xludf.DUMMYFUNCTION("""COMPUTED_VALUE"""),"5. Inclusión")</f>
        <v>5. Inclusión</v>
      </c>
      <c r="D678" s="81" t="str">
        <f ca="1">IFERROR(__xludf.DUMMYFUNCTION("""COMPUTED_VALUE"""),"Guadalajara sin Barreras")</f>
        <v>Guadalajara sin Barreras</v>
      </c>
      <c r="E678" s="81" t="str">
        <f ca="1">IFERROR(__xludf.DUMMYFUNCTION("""COMPUTED_VALUE"""),"Atención Integral para Personas con Discapacidad")</f>
        <v>Atención Integral para Personas con Discapacidad</v>
      </c>
      <c r="F678" s="81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78" s="81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78" s="81" t="str">
        <f ca="1">IFERROR(__xludf.DUMMYFUNCTION("""COMPUTED_VALUE"""),"MUJ enero")</f>
        <v>MUJ enero</v>
      </c>
      <c r="I678" s="81" t="str">
        <f ca="1">IFERROR(__xludf.DUMMYFUNCTION("""COMPUTED_VALUE"""),"Enero")</f>
        <v>Enero</v>
      </c>
      <c r="J678" s="81" t="str">
        <f ca="1">IFERROR(__xludf.DUMMYFUNCTION("""COMPUTED_VALUE"""),"MUJ")</f>
        <v>MUJ</v>
      </c>
      <c r="K678" s="80">
        <f ca="1">IFERROR(__xludf.DUMMYFUNCTION("""COMPUTED_VALUE"""),165)</f>
        <v>165</v>
      </c>
      <c r="L678" s="81" t="str">
        <f ca="1">IFERROR(__xludf.DUMMYFUNCTION("""COMPUTED_VALUE"""),"TRIMESTRE 1")</f>
        <v>TRIMESTRE 1</v>
      </c>
      <c r="M678" s="81" t="str">
        <f ca="1">IFERROR(__xludf.DUMMYFUNCTION("""COMPUTED_VALUE"""),"MUJERES ADULTAS")</f>
        <v>MUJERES ADULTAS</v>
      </c>
      <c r="N678" s="81"/>
      <c r="O678" s="81"/>
      <c r="P678" s="81"/>
      <c r="Q678" s="81"/>
      <c r="R678" s="81"/>
      <c r="S678" s="81"/>
      <c r="T678" s="81"/>
      <c r="U678" s="81"/>
      <c r="V678" s="81"/>
      <c r="W678" s="81"/>
      <c r="X678" s="81"/>
      <c r="Y678" s="81"/>
      <c r="Z678" s="81"/>
    </row>
    <row r="679" spans="1:26">
      <c r="A679" s="81" t="str">
        <f ca="1">IFERROR(__xludf.DUMMYFUNCTION("""COMPUTED_VALUE"""),"6.1.5.0")</f>
        <v>6.1.5.0</v>
      </c>
      <c r="B679" s="81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79" s="81" t="str">
        <f ca="1">IFERROR(__xludf.DUMMYFUNCTION("""COMPUTED_VALUE"""),"5. Inclusión")</f>
        <v>5. Inclusión</v>
      </c>
      <c r="D679" s="81" t="str">
        <f ca="1">IFERROR(__xludf.DUMMYFUNCTION("""COMPUTED_VALUE"""),"Guadalajara sin Barreras")</f>
        <v>Guadalajara sin Barreras</v>
      </c>
      <c r="E679" s="81" t="str">
        <f ca="1">IFERROR(__xludf.DUMMYFUNCTION("""COMPUTED_VALUE"""),"Atención Integral para Personas con Discapacidad")</f>
        <v>Atención Integral para Personas con Discapacidad</v>
      </c>
      <c r="F679" s="81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79" s="81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79" s="81" t="str">
        <f ca="1">IFERROR(__xludf.DUMMYFUNCTION("""COMPUTED_VALUE"""),"HOM enero")</f>
        <v>HOM enero</v>
      </c>
      <c r="I679" s="81" t="str">
        <f ca="1">IFERROR(__xludf.DUMMYFUNCTION("""COMPUTED_VALUE"""),"Enero")</f>
        <v>Enero</v>
      </c>
      <c r="J679" s="81" t="str">
        <f ca="1">IFERROR(__xludf.DUMMYFUNCTION("""COMPUTED_VALUE"""),"HOM")</f>
        <v>HOM</v>
      </c>
      <c r="K679" s="80">
        <f ca="1">IFERROR(__xludf.DUMMYFUNCTION("""COMPUTED_VALUE"""),62)</f>
        <v>62</v>
      </c>
      <c r="L679" s="81" t="str">
        <f ca="1">IFERROR(__xludf.DUMMYFUNCTION("""COMPUTED_VALUE"""),"TRIMESTRE 1")</f>
        <v>TRIMESTRE 1</v>
      </c>
      <c r="M679" s="81" t="str">
        <f ca="1">IFERROR(__xludf.DUMMYFUNCTION("""COMPUTED_VALUE"""),"HOMBRES ADULTOS")</f>
        <v>HOMBRES ADULTOS</v>
      </c>
      <c r="N679" s="81"/>
      <c r="O679" s="81"/>
      <c r="P679" s="81"/>
      <c r="Q679" s="81"/>
      <c r="R679" s="81"/>
      <c r="S679" s="81"/>
      <c r="T679" s="81"/>
      <c r="U679" s="81"/>
      <c r="V679" s="81"/>
      <c r="W679" s="81"/>
      <c r="X679" s="81"/>
      <c r="Y679" s="81"/>
      <c r="Z679" s="81"/>
    </row>
    <row r="680" spans="1:26">
      <c r="A680" s="81" t="str">
        <f ca="1">IFERROR(__xludf.DUMMYFUNCTION("""COMPUTED_VALUE"""),"6.1.5.0")</f>
        <v>6.1.5.0</v>
      </c>
      <c r="B680" s="81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80" s="81" t="str">
        <f ca="1">IFERROR(__xludf.DUMMYFUNCTION("""COMPUTED_VALUE"""),"5. Inclusión")</f>
        <v>5. Inclusión</v>
      </c>
      <c r="D680" s="81" t="str">
        <f ca="1">IFERROR(__xludf.DUMMYFUNCTION("""COMPUTED_VALUE"""),"Guadalajara sin Barreras")</f>
        <v>Guadalajara sin Barreras</v>
      </c>
      <c r="E680" s="81" t="str">
        <f ca="1">IFERROR(__xludf.DUMMYFUNCTION("""COMPUTED_VALUE"""),"Atención Integral para Personas con Discapacidad")</f>
        <v>Atención Integral para Personas con Discapacidad</v>
      </c>
      <c r="F680" s="81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80" s="81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80" s="81" t="str">
        <f ca="1">IFERROR(__xludf.DUMMYFUNCTION("""COMPUTED_VALUE"""),"AMM enero")</f>
        <v>AMM enero</v>
      </c>
      <c r="I680" s="81" t="str">
        <f ca="1">IFERROR(__xludf.DUMMYFUNCTION("""COMPUTED_VALUE"""),"Enero")</f>
        <v>Enero</v>
      </c>
      <c r="J680" s="81" t="str">
        <f ca="1">IFERROR(__xludf.DUMMYFUNCTION("""COMPUTED_VALUE"""),"AMM")</f>
        <v>AMM</v>
      </c>
      <c r="K680" s="80">
        <f ca="1">IFERROR(__xludf.DUMMYFUNCTION("""COMPUTED_VALUE"""),333)</f>
        <v>333</v>
      </c>
      <c r="L680" s="81" t="str">
        <f ca="1">IFERROR(__xludf.DUMMYFUNCTION("""COMPUTED_VALUE"""),"TRIMESTRE 1")</f>
        <v>TRIMESTRE 1</v>
      </c>
      <c r="M680" s="81" t="str">
        <f ca="1">IFERROR(__xludf.DUMMYFUNCTION("""COMPUTED_VALUE"""),"ADULTA MAYOR MUJER")</f>
        <v>ADULTA MAYOR MUJER</v>
      </c>
      <c r="N680" s="81"/>
      <c r="O680" s="81"/>
      <c r="P680" s="81"/>
      <c r="Q680" s="81"/>
      <c r="R680" s="81"/>
      <c r="S680" s="81"/>
      <c r="T680" s="81"/>
      <c r="U680" s="81"/>
      <c r="V680" s="81"/>
      <c r="W680" s="81"/>
      <c r="X680" s="81"/>
      <c r="Y680" s="81"/>
      <c r="Z680" s="81"/>
    </row>
    <row r="681" spans="1:26">
      <c r="A681" s="81" t="str">
        <f ca="1">IFERROR(__xludf.DUMMYFUNCTION("""COMPUTED_VALUE"""),"6.1.5.0")</f>
        <v>6.1.5.0</v>
      </c>
      <c r="B681" s="81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81" s="81" t="str">
        <f ca="1">IFERROR(__xludf.DUMMYFUNCTION("""COMPUTED_VALUE"""),"5. Inclusión")</f>
        <v>5. Inclusión</v>
      </c>
      <c r="D681" s="81" t="str">
        <f ca="1">IFERROR(__xludf.DUMMYFUNCTION("""COMPUTED_VALUE"""),"Guadalajara sin Barreras")</f>
        <v>Guadalajara sin Barreras</v>
      </c>
      <c r="E681" s="81" t="str">
        <f ca="1">IFERROR(__xludf.DUMMYFUNCTION("""COMPUTED_VALUE"""),"Atención Integral para Personas con Discapacidad")</f>
        <v>Atención Integral para Personas con Discapacidad</v>
      </c>
      <c r="F681" s="81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81" s="81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81" s="81" t="str">
        <f ca="1">IFERROR(__xludf.DUMMYFUNCTION("""COMPUTED_VALUE"""),"AMH enero")</f>
        <v>AMH enero</v>
      </c>
      <c r="I681" s="81" t="str">
        <f ca="1">IFERROR(__xludf.DUMMYFUNCTION("""COMPUTED_VALUE"""),"Enero")</f>
        <v>Enero</v>
      </c>
      <c r="J681" s="81" t="str">
        <f ca="1">IFERROR(__xludf.DUMMYFUNCTION("""COMPUTED_VALUE"""),"AMH")</f>
        <v>AMH</v>
      </c>
      <c r="K681" s="80">
        <f ca="1">IFERROR(__xludf.DUMMYFUNCTION("""COMPUTED_VALUE"""),57)</f>
        <v>57</v>
      </c>
      <c r="L681" s="81" t="str">
        <f ca="1">IFERROR(__xludf.DUMMYFUNCTION("""COMPUTED_VALUE"""),"TRIMESTRE 1")</f>
        <v>TRIMESTRE 1</v>
      </c>
      <c r="M681" s="81" t="str">
        <f ca="1">IFERROR(__xludf.DUMMYFUNCTION("""COMPUTED_VALUE"""),"ADULTO MAYOR HOMBRE")</f>
        <v>ADULTO MAYOR HOMBRE</v>
      </c>
      <c r="N681" s="81"/>
      <c r="O681" s="81"/>
      <c r="P681" s="81"/>
      <c r="Q681" s="81"/>
      <c r="R681" s="81"/>
      <c r="S681" s="81"/>
      <c r="T681" s="81"/>
      <c r="U681" s="81"/>
      <c r="V681" s="81"/>
      <c r="W681" s="81"/>
      <c r="X681" s="81"/>
      <c r="Y681" s="81"/>
      <c r="Z681" s="81"/>
    </row>
    <row r="682" spans="1:26">
      <c r="A682" s="79" t="str">
        <f ca="1">IFERROR(__xludf.DUMMYFUNCTION("""COMPUTED_VALUE"""),"6.1.5.1")</f>
        <v>6.1.5.1</v>
      </c>
      <c r="B682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2" s="79" t="str">
        <f ca="1">IFERROR(__xludf.DUMMYFUNCTION("""COMPUTED_VALUE"""),"5. Inclusión")</f>
        <v>5. Inclusión</v>
      </c>
      <c r="D682" s="79" t="str">
        <f ca="1">IFERROR(__xludf.DUMMYFUNCTION("""COMPUTED_VALUE"""),"Guadalajara sin Barreras")</f>
        <v>Guadalajara sin Barreras</v>
      </c>
      <c r="E682" s="79" t="str">
        <f ca="1">IFERROR(__xludf.DUMMYFUNCTION("""COMPUTED_VALUE"""),"Atención Integral para Personas con Discapacidad")</f>
        <v>Atención Integral para Personas con Discapacidad</v>
      </c>
      <c r="F682" s="79" t="str">
        <f ca="1">IFERROR(__xludf.DUMMYFUNCTION("""COMPUTED_VALUE"""),"A1C5. Sesiones de terapia física brindadas en el Centro CAIPED en 2024")</f>
        <v>A1C5. Sesiones de terapia física brindadas en el Centro CAIPED en 2024</v>
      </c>
      <c r="G682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2" s="79" t="str">
        <f ca="1">IFERROR(__xludf.DUMMYFUNCTION("""COMPUTED_VALUE"""),"NAS enero")</f>
        <v>NAS enero</v>
      </c>
      <c r="I682" s="79" t="str">
        <f ca="1">IFERROR(__xludf.DUMMYFUNCTION("""COMPUTED_VALUE"""),"Enero")</f>
        <v>Enero</v>
      </c>
      <c r="J682" s="79" t="str">
        <f ca="1">IFERROR(__xludf.DUMMYFUNCTION("""COMPUTED_VALUE"""),"NAS")</f>
        <v>NAS</v>
      </c>
      <c r="K682" s="80">
        <f ca="1">IFERROR(__xludf.DUMMYFUNCTION("""COMPUTED_VALUE"""),4)</f>
        <v>4</v>
      </c>
      <c r="L682" s="79" t="str">
        <f ca="1">IFERROR(__xludf.DUMMYFUNCTION("""COMPUTED_VALUE"""),"TRIMESTRE 1")</f>
        <v>TRIMESTRE 1</v>
      </c>
      <c r="M682" s="79" t="str">
        <f ca="1">IFERROR(__xludf.DUMMYFUNCTION("""COMPUTED_VALUE"""),"NIÑAS")</f>
        <v>NIÑAS</v>
      </c>
    </row>
    <row r="683" spans="1:26">
      <c r="A683" s="79" t="str">
        <f ca="1">IFERROR(__xludf.DUMMYFUNCTION("""COMPUTED_VALUE"""),"6.1.5.1")</f>
        <v>6.1.5.1</v>
      </c>
      <c r="B683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3" s="79" t="str">
        <f ca="1">IFERROR(__xludf.DUMMYFUNCTION("""COMPUTED_VALUE"""),"5. Inclusión")</f>
        <v>5. Inclusión</v>
      </c>
      <c r="D683" s="79" t="str">
        <f ca="1">IFERROR(__xludf.DUMMYFUNCTION("""COMPUTED_VALUE"""),"Guadalajara sin Barreras")</f>
        <v>Guadalajara sin Barreras</v>
      </c>
      <c r="E683" s="79" t="str">
        <f ca="1">IFERROR(__xludf.DUMMYFUNCTION("""COMPUTED_VALUE"""),"Atención Integral para Personas con Discapacidad")</f>
        <v>Atención Integral para Personas con Discapacidad</v>
      </c>
      <c r="F683" s="79" t="str">
        <f ca="1">IFERROR(__xludf.DUMMYFUNCTION("""COMPUTED_VALUE"""),"A1C5. Sesiones de terapia física brindadas en el Centro CAIPED en 2024")</f>
        <v>A1C5. Sesiones de terapia física brindadas en el Centro CAIPED en 2024</v>
      </c>
      <c r="G683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3" s="79" t="str">
        <f ca="1">IFERROR(__xludf.DUMMYFUNCTION("""COMPUTED_VALUE"""),"NOS enero")</f>
        <v>NOS enero</v>
      </c>
      <c r="I683" s="79" t="str">
        <f ca="1">IFERROR(__xludf.DUMMYFUNCTION("""COMPUTED_VALUE"""),"Enero")</f>
        <v>Enero</v>
      </c>
      <c r="J683" s="79" t="str">
        <f ca="1">IFERROR(__xludf.DUMMYFUNCTION("""COMPUTED_VALUE"""),"NOS")</f>
        <v>NOS</v>
      </c>
      <c r="K683" s="80">
        <f ca="1">IFERROR(__xludf.DUMMYFUNCTION("""COMPUTED_VALUE"""),5)</f>
        <v>5</v>
      </c>
      <c r="L683" s="79" t="str">
        <f ca="1">IFERROR(__xludf.DUMMYFUNCTION("""COMPUTED_VALUE"""),"TRIMESTRE 1")</f>
        <v>TRIMESTRE 1</v>
      </c>
      <c r="M683" s="79" t="str">
        <f ca="1">IFERROR(__xludf.DUMMYFUNCTION("""COMPUTED_VALUE"""),"NIÑOS")</f>
        <v>NIÑOS</v>
      </c>
    </row>
    <row r="684" spans="1:26">
      <c r="A684" s="79" t="str">
        <f ca="1">IFERROR(__xludf.DUMMYFUNCTION("""COMPUTED_VALUE"""),"6.1.5.1")</f>
        <v>6.1.5.1</v>
      </c>
      <c r="B684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4" s="79" t="str">
        <f ca="1">IFERROR(__xludf.DUMMYFUNCTION("""COMPUTED_VALUE"""),"5. Inclusión")</f>
        <v>5. Inclusión</v>
      </c>
      <c r="D684" s="79" t="str">
        <f ca="1">IFERROR(__xludf.DUMMYFUNCTION("""COMPUTED_VALUE"""),"Guadalajara sin Barreras")</f>
        <v>Guadalajara sin Barreras</v>
      </c>
      <c r="E684" s="79" t="str">
        <f ca="1">IFERROR(__xludf.DUMMYFUNCTION("""COMPUTED_VALUE"""),"Atención Integral para Personas con Discapacidad")</f>
        <v>Atención Integral para Personas con Discapacidad</v>
      </c>
      <c r="F684" s="79" t="str">
        <f ca="1">IFERROR(__xludf.DUMMYFUNCTION("""COMPUTED_VALUE"""),"A1C5. Sesiones de terapia física brindadas en el Centro CAIPED en 2024")</f>
        <v>A1C5. Sesiones de terapia física brindadas en el Centro CAIPED en 2024</v>
      </c>
      <c r="G684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4" s="79" t="str">
        <f ca="1">IFERROR(__xludf.DUMMYFUNCTION("""COMPUTED_VALUE"""),"AM enero")</f>
        <v>AM enero</v>
      </c>
      <c r="I684" s="79" t="str">
        <f ca="1">IFERROR(__xludf.DUMMYFUNCTION("""COMPUTED_VALUE"""),"Enero")</f>
        <v>Enero</v>
      </c>
      <c r="J684" s="79" t="str">
        <f ca="1">IFERROR(__xludf.DUMMYFUNCTION("""COMPUTED_VALUE"""),"AM")</f>
        <v>AM</v>
      </c>
      <c r="K684" s="80"/>
      <c r="L684" s="79" t="str">
        <f ca="1">IFERROR(__xludf.DUMMYFUNCTION("""COMPUTED_VALUE"""),"TRIMESTRE 1")</f>
        <v>TRIMESTRE 1</v>
      </c>
      <c r="M684" s="79" t="str">
        <f ca="1">IFERROR(__xludf.DUMMYFUNCTION("""COMPUTED_VALUE"""),"ADOLESCENTES MUJERES")</f>
        <v>ADOLESCENTES MUJERES</v>
      </c>
    </row>
    <row r="685" spans="1:26">
      <c r="A685" s="79" t="str">
        <f ca="1">IFERROR(__xludf.DUMMYFUNCTION("""COMPUTED_VALUE"""),"6.1.5.1")</f>
        <v>6.1.5.1</v>
      </c>
      <c r="B685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5" s="79" t="str">
        <f ca="1">IFERROR(__xludf.DUMMYFUNCTION("""COMPUTED_VALUE"""),"5. Inclusión")</f>
        <v>5. Inclusión</v>
      </c>
      <c r="D685" s="79" t="str">
        <f ca="1">IFERROR(__xludf.DUMMYFUNCTION("""COMPUTED_VALUE"""),"Guadalajara sin Barreras")</f>
        <v>Guadalajara sin Barreras</v>
      </c>
      <c r="E685" s="79" t="str">
        <f ca="1">IFERROR(__xludf.DUMMYFUNCTION("""COMPUTED_VALUE"""),"Atención Integral para Personas con Discapacidad")</f>
        <v>Atención Integral para Personas con Discapacidad</v>
      </c>
      <c r="F685" s="79" t="str">
        <f ca="1">IFERROR(__xludf.DUMMYFUNCTION("""COMPUTED_VALUE"""),"A1C5. Sesiones de terapia física brindadas en el Centro CAIPED en 2024")</f>
        <v>A1C5. Sesiones de terapia física brindadas en el Centro CAIPED en 2024</v>
      </c>
      <c r="G685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5" s="79" t="str">
        <f ca="1">IFERROR(__xludf.DUMMYFUNCTION("""COMPUTED_VALUE"""),"AH enero")</f>
        <v>AH enero</v>
      </c>
      <c r="I685" s="79" t="str">
        <f ca="1">IFERROR(__xludf.DUMMYFUNCTION("""COMPUTED_VALUE"""),"Enero")</f>
        <v>Enero</v>
      </c>
      <c r="J685" s="79" t="str">
        <f ca="1">IFERROR(__xludf.DUMMYFUNCTION("""COMPUTED_VALUE"""),"AH")</f>
        <v>AH</v>
      </c>
      <c r="K685" s="80">
        <f ca="1">IFERROR(__xludf.DUMMYFUNCTION("""COMPUTED_VALUE"""),9)</f>
        <v>9</v>
      </c>
      <c r="L685" s="79" t="str">
        <f ca="1">IFERROR(__xludf.DUMMYFUNCTION("""COMPUTED_VALUE"""),"TRIMESTRE 1")</f>
        <v>TRIMESTRE 1</v>
      </c>
      <c r="M685" s="79" t="str">
        <f ca="1">IFERROR(__xludf.DUMMYFUNCTION("""COMPUTED_VALUE"""),"ADOLESCENTES HOMBRES")</f>
        <v>ADOLESCENTES HOMBRES</v>
      </c>
    </row>
    <row r="686" spans="1:26">
      <c r="A686" s="79" t="str">
        <f ca="1">IFERROR(__xludf.DUMMYFUNCTION("""COMPUTED_VALUE"""),"6.1.5.1")</f>
        <v>6.1.5.1</v>
      </c>
      <c r="B686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6" s="79" t="str">
        <f ca="1">IFERROR(__xludf.DUMMYFUNCTION("""COMPUTED_VALUE"""),"5. Inclusión")</f>
        <v>5. Inclusión</v>
      </c>
      <c r="D686" s="79" t="str">
        <f ca="1">IFERROR(__xludf.DUMMYFUNCTION("""COMPUTED_VALUE"""),"Guadalajara sin Barreras")</f>
        <v>Guadalajara sin Barreras</v>
      </c>
      <c r="E686" s="79" t="str">
        <f ca="1">IFERROR(__xludf.DUMMYFUNCTION("""COMPUTED_VALUE"""),"Atención Integral para Personas con Discapacidad")</f>
        <v>Atención Integral para Personas con Discapacidad</v>
      </c>
      <c r="F686" s="79" t="str">
        <f ca="1">IFERROR(__xludf.DUMMYFUNCTION("""COMPUTED_VALUE"""),"A1C5. Sesiones de terapia física brindadas en el Centro CAIPED en 2024")</f>
        <v>A1C5. Sesiones de terapia física brindadas en el Centro CAIPED en 2024</v>
      </c>
      <c r="G686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6" s="79" t="str">
        <f ca="1">IFERROR(__xludf.DUMMYFUNCTION("""COMPUTED_VALUE"""),"MUJ enero")</f>
        <v>MUJ enero</v>
      </c>
      <c r="I686" s="79" t="str">
        <f ca="1">IFERROR(__xludf.DUMMYFUNCTION("""COMPUTED_VALUE"""),"Enero")</f>
        <v>Enero</v>
      </c>
      <c r="J686" s="79" t="str">
        <f ca="1">IFERROR(__xludf.DUMMYFUNCTION("""COMPUTED_VALUE"""),"MUJ")</f>
        <v>MUJ</v>
      </c>
      <c r="K686" s="80">
        <f ca="1">IFERROR(__xludf.DUMMYFUNCTION("""COMPUTED_VALUE"""),139)</f>
        <v>139</v>
      </c>
      <c r="L686" s="79" t="str">
        <f ca="1">IFERROR(__xludf.DUMMYFUNCTION("""COMPUTED_VALUE"""),"TRIMESTRE 1")</f>
        <v>TRIMESTRE 1</v>
      </c>
      <c r="M686" s="79" t="str">
        <f ca="1">IFERROR(__xludf.DUMMYFUNCTION("""COMPUTED_VALUE"""),"MUJERES ADULTAS")</f>
        <v>MUJERES ADULTAS</v>
      </c>
    </row>
    <row r="687" spans="1:26">
      <c r="A687" s="79" t="str">
        <f ca="1">IFERROR(__xludf.DUMMYFUNCTION("""COMPUTED_VALUE"""),"6.1.5.1")</f>
        <v>6.1.5.1</v>
      </c>
      <c r="B687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7" s="79" t="str">
        <f ca="1">IFERROR(__xludf.DUMMYFUNCTION("""COMPUTED_VALUE"""),"5. Inclusión")</f>
        <v>5. Inclusión</v>
      </c>
      <c r="D687" s="79" t="str">
        <f ca="1">IFERROR(__xludf.DUMMYFUNCTION("""COMPUTED_VALUE"""),"Guadalajara sin Barreras")</f>
        <v>Guadalajara sin Barreras</v>
      </c>
      <c r="E687" s="79" t="str">
        <f ca="1">IFERROR(__xludf.DUMMYFUNCTION("""COMPUTED_VALUE"""),"Atención Integral para Personas con Discapacidad")</f>
        <v>Atención Integral para Personas con Discapacidad</v>
      </c>
      <c r="F687" s="79" t="str">
        <f ca="1">IFERROR(__xludf.DUMMYFUNCTION("""COMPUTED_VALUE"""),"A1C5. Sesiones de terapia física brindadas en el Centro CAIPED en 2024")</f>
        <v>A1C5. Sesiones de terapia física brindadas en el Centro CAIPED en 2024</v>
      </c>
      <c r="G687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7" s="79" t="str">
        <f ca="1">IFERROR(__xludf.DUMMYFUNCTION("""COMPUTED_VALUE"""),"HOM enero")</f>
        <v>HOM enero</v>
      </c>
      <c r="I687" s="79" t="str">
        <f ca="1">IFERROR(__xludf.DUMMYFUNCTION("""COMPUTED_VALUE"""),"Enero")</f>
        <v>Enero</v>
      </c>
      <c r="J687" s="79" t="str">
        <f ca="1">IFERROR(__xludf.DUMMYFUNCTION("""COMPUTED_VALUE"""),"HOM")</f>
        <v>HOM</v>
      </c>
      <c r="K687" s="80">
        <f ca="1">IFERROR(__xludf.DUMMYFUNCTION("""COMPUTED_VALUE"""),52)</f>
        <v>52</v>
      </c>
      <c r="L687" s="79" t="str">
        <f ca="1">IFERROR(__xludf.DUMMYFUNCTION("""COMPUTED_VALUE"""),"TRIMESTRE 1")</f>
        <v>TRIMESTRE 1</v>
      </c>
      <c r="M687" s="79" t="str">
        <f ca="1">IFERROR(__xludf.DUMMYFUNCTION("""COMPUTED_VALUE"""),"HOMBRES ADULTOS")</f>
        <v>HOMBRES ADULTOS</v>
      </c>
    </row>
    <row r="688" spans="1:26">
      <c r="A688" s="79" t="str">
        <f ca="1">IFERROR(__xludf.DUMMYFUNCTION("""COMPUTED_VALUE"""),"6.1.5.1")</f>
        <v>6.1.5.1</v>
      </c>
      <c r="B688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8" s="79" t="str">
        <f ca="1">IFERROR(__xludf.DUMMYFUNCTION("""COMPUTED_VALUE"""),"5. Inclusión")</f>
        <v>5. Inclusión</v>
      </c>
      <c r="D688" s="79" t="str">
        <f ca="1">IFERROR(__xludf.DUMMYFUNCTION("""COMPUTED_VALUE"""),"Guadalajara sin Barreras")</f>
        <v>Guadalajara sin Barreras</v>
      </c>
      <c r="E688" s="79" t="str">
        <f ca="1">IFERROR(__xludf.DUMMYFUNCTION("""COMPUTED_VALUE"""),"Atención Integral para Personas con Discapacidad")</f>
        <v>Atención Integral para Personas con Discapacidad</v>
      </c>
      <c r="F688" s="79" t="str">
        <f ca="1">IFERROR(__xludf.DUMMYFUNCTION("""COMPUTED_VALUE"""),"A1C5. Sesiones de terapia física brindadas en el Centro CAIPED en 2024")</f>
        <v>A1C5. Sesiones de terapia física brindadas en el Centro CAIPED en 2024</v>
      </c>
      <c r="G688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8" s="79" t="str">
        <f ca="1">IFERROR(__xludf.DUMMYFUNCTION("""COMPUTED_VALUE"""),"AMM enero")</f>
        <v>AMM enero</v>
      </c>
      <c r="I688" s="79" t="str">
        <f ca="1">IFERROR(__xludf.DUMMYFUNCTION("""COMPUTED_VALUE"""),"Enero")</f>
        <v>Enero</v>
      </c>
      <c r="J688" s="79" t="str">
        <f ca="1">IFERROR(__xludf.DUMMYFUNCTION("""COMPUTED_VALUE"""),"AMM")</f>
        <v>AMM</v>
      </c>
      <c r="K688" s="80">
        <f ca="1">IFERROR(__xludf.DUMMYFUNCTION("""COMPUTED_VALUE"""),281)</f>
        <v>281</v>
      </c>
      <c r="L688" s="79" t="str">
        <f ca="1">IFERROR(__xludf.DUMMYFUNCTION("""COMPUTED_VALUE"""),"TRIMESTRE 1")</f>
        <v>TRIMESTRE 1</v>
      </c>
      <c r="M688" s="79" t="str">
        <f ca="1">IFERROR(__xludf.DUMMYFUNCTION("""COMPUTED_VALUE"""),"ADULTA MAYOR MUJER")</f>
        <v>ADULTA MAYOR MUJER</v>
      </c>
    </row>
    <row r="689" spans="1:13">
      <c r="A689" s="79" t="str">
        <f ca="1">IFERROR(__xludf.DUMMYFUNCTION("""COMPUTED_VALUE"""),"6.1.5.1")</f>
        <v>6.1.5.1</v>
      </c>
      <c r="B689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89" s="79" t="str">
        <f ca="1">IFERROR(__xludf.DUMMYFUNCTION("""COMPUTED_VALUE"""),"5. Inclusión")</f>
        <v>5. Inclusión</v>
      </c>
      <c r="D689" s="79" t="str">
        <f ca="1">IFERROR(__xludf.DUMMYFUNCTION("""COMPUTED_VALUE"""),"Guadalajara sin Barreras")</f>
        <v>Guadalajara sin Barreras</v>
      </c>
      <c r="E689" s="79" t="str">
        <f ca="1">IFERROR(__xludf.DUMMYFUNCTION("""COMPUTED_VALUE"""),"Atención Integral para Personas con Discapacidad")</f>
        <v>Atención Integral para Personas con Discapacidad</v>
      </c>
      <c r="F689" s="79" t="str">
        <f ca="1">IFERROR(__xludf.DUMMYFUNCTION("""COMPUTED_VALUE"""),"A1C5. Sesiones de terapia física brindadas en el Centro CAIPED en 2024")</f>
        <v>A1C5. Sesiones de terapia física brindadas en el Centro CAIPED en 2024</v>
      </c>
      <c r="G689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689" s="79" t="str">
        <f ca="1">IFERROR(__xludf.DUMMYFUNCTION("""COMPUTED_VALUE"""),"AMH enero")</f>
        <v>AMH enero</v>
      </c>
      <c r="I689" s="79" t="str">
        <f ca="1">IFERROR(__xludf.DUMMYFUNCTION("""COMPUTED_VALUE"""),"Enero")</f>
        <v>Enero</v>
      </c>
      <c r="J689" s="79" t="str">
        <f ca="1">IFERROR(__xludf.DUMMYFUNCTION("""COMPUTED_VALUE"""),"AMH")</f>
        <v>AMH</v>
      </c>
      <c r="K689" s="80">
        <f ca="1">IFERROR(__xludf.DUMMYFUNCTION("""COMPUTED_VALUE"""),44)</f>
        <v>44</v>
      </c>
      <c r="L689" s="79" t="str">
        <f ca="1">IFERROR(__xludf.DUMMYFUNCTION("""COMPUTED_VALUE"""),"TRIMESTRE 1")</f>
        <v>TRIMESTRE 1</v>
      </c>
      <c r="M689" s="79" t="str">
        <f ca="1">IFERROR(__xludf.DUMMYFUNCTION("""COMPUTED_VALUE"""),"ADULTO MAYOR HOMBRE")</f>
        <v>ADULTO MAYOR HOMBRE</v>
      </c>
    </row>
    <row r="690" spans="1:13">
      <c r="A690" s="79" t="str">
        <f ca="1">IFERROR(__xludf.DUMMYFUNCTION("""COMPUTED_VALUE"""),"6.1.5.2")</f>
        <v>6.1.5.2</v>
      </c>
      <c r="B690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0" s="79" t="str">
        <f ca="1">IFERROR(__xludf.DUMMYFUNCTION("""COMPUTED_VALUE"""),"5. Inclusión")</f>
        <v>5. Inclusión</v>
      </c>
      <c r="D690" s="79" t="str">
        <f ca="1">IFERROR(__xludf.DUMMYFUNCTION("""COMPUTED_VALUE"""),"Guadalajara sin Barreras")</f>
        <v>Guadalajara sin Barreras</v>
      </c>
      <c r="E690" s="79" t="str">
        <f ca="1">IFERROR(__xludf.DUMMYFUNCTION("""COMPUTED_VALUE"""),"Atención Integral para Personas con Discapacidad")</f>
        <v>Atención Integral para Personas con Discapacidad</v>
      </c>
      <c r="F690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690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0" s="79" t="str">
        <f ca="1">IFERROR(__xludf.DUMMYFUNCTION("""COMPUTED_VALUE"""),"NAS enero")</f>
        <v>NAS enero</v>
      </c>
      <c r="I690" s="79" t="str">
        <f ca="1">IFERROR(__xludf.DUMMYFUNCTION("""COMPUTED_VALUE"""),"Enero")</f>
        <v>Enero</v>
      </c>
      <c r="J690" s="79" t="str">
        <f ca="1">IFERROR(__xludf.DUMMYFUNCTION("""COMPUTED_VALUE"""),"NAS")</f>
        <v>NAS</v>
      </c>
      <c r="K690" s="80">
        <f ca="1">IFERROR(__xludf.DUMMYFUNCTION("""COMPUTED_VALUE"""),3)</f>
        <v>3</v>
      </c>
      <c r="L690" s="79" t="str">
        <f ca="1">IFERROR(__xludf.DUMMYFUNCTION("""COMPUTED_VALUE"""),"TRIMESTRE 1")</f>
        <v>TRIMESTRE 1</v>
      </c>
      <c r="M690" s="79" t="str">
        <f ca="1">IFERROR(__xludf.DUMMYFUNCTION("""COMPUTED_VALUE"""),"NIÑAS")</f>
        <v>NIÑAS</v>
      </c>
    </row>
    <row r="691" spans="1:13">
      <c r="A691" s="79" t="str">
        <f ca="1">IFERROR(__xludf.DUMMYFUNCTION("""COMPUTED_VALUE"""),"6.1.5.2")</f>
        <v>6.1.5.2</v>
      </c>
      <c r="B691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1" s="79" t="str">
        <f ca="1">IFERROR(__xludf.DUMMYFUNCTION("""COMPUTED_VALUE"""),"5. Inclusión")</f>
        <v>5. Inclusión</v>
      </c>
      <c r="D691" s="79" t="str">
        <f ca="1">IFERROR(__xludf.DUMMYFUNCTION("""COMPUTED_VALUE"""),"Guadalajara sin Barreras")</f>
        <v>Guadalajara sin Barreras</v>
      </c>
      <c r="E691" s="79" t="str">
        <f ca="1">IFERROR(__xludf.DUMMYFUNCTION("""COMPUTED_VALUE"""),"Atención Integral para Personas con Discapacidad")</f>
        <v>Atención Integral para Personas con Discapacidad</v>
      </c>
      <c r="F691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691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1" s="79" t="str">
        <f ca="1">IFERROR(__xludf.DUMMYFUNCTION("""COMPUTED_VALUE"""),"NOS enero")</f>
        <v>NOS enero</v>
      </c>
      <c r="I691" s="79" t="str">
        <f ca="1">IFERROR(__xludf.DUMMYFUNCTION("""COMPUTED_VALUE"""),"Enero")</f>
        <v>Enero</v>
      </c>
      <c r="J691" s="79" t="str">
        <f ca="1">IFERROR(__xludf.DUMMYFUNCTION("""COMPUTED_VALUE"""),"NOS")</f>
        <v>NOS</v>
      </c>
      <c r="K691" s="80">
        <f ca="1">IFERROR(__xludf.DUMMYFUNCTION("""COMPUTED_VALUE"""),2)</f>
        <v>2</v>
      </c>
      <c r="L691" s="79" t="str">
        <f ca="1">IFERROR(__xludf.DUMMYFUNCTION("""COMPUTED_VALUE"""),"TRIMESTRE 1")</f>
        <v>TRIMESTRE 1</v>
      </c>
      <c r="M691" s="79" t="str">
        <f ca="1">IFERROR(__xludf.DUMMYFUNCTION("""COMPUTED_VALUE"""),"NIÑOS")</f>
        <v>NIÑOS</v>
      </c>
    </row>
    <row r="692" spans="1:13">
      <c r="A692" s="79" t="str">
        <f ca="1">IFERROR(__xludf.DUMMYFUNCTION("""COMPUTED_VALUE"""),"6.1.5.2")</f>
        <v>6.1.5.2</v>
      </c>
      <c r="B692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2" s="79" t="str">
        <f ca="1">IFERROR(__xludf.DUMMYFUNCTION("""COMPUTED_VALUE"""),"5. Inclusión")</f>
        <v>5. Inclusión</v>
      </c>
      <c r="D692" s="79" t="str">
        <f ca="1">IFERROR(__xludf.DUMMYFUNCTION("""COMPUTED_VALUE"""),"Guadalajara sin Barreras")</f>
        <v>Guadalajara sin Barreras</v>
      </c>
      <c r="E692" s="79" t="str">
        <f ca="1">IFERROR(__xludf.DUMMYFUNCTION("""COMPUTED_VALUE"""),"Atención Integral para Personas con Discapacidad")</f>
        <v>Atención Integral para Personas con Discapacidad</v>
      </c>
      <c r="F692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692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2" s="79" t="str">
        <f ca="1">IFERROR(__xludf.DUMMYFUNCTION("""COMPUTED_VALUE"""),"AM enero")</f>
        <v>AM enero</v>
      </c>
      <c r="I692" s="79" t="str">
        <f ca="1">IFERROR(__xludf.DUMMYFUNCTION("""COMPUTED_VALUE"""),"Enero")</f>
        <v>Enero</v>
      </c>
      <c r="J692" s="79" t="str">
        <f ca="1">IFERROR(__xludf.DUMMYFUNCTION("""COMPUTED_VALUE"""),"AM")</f>
        <v>AM</v>
      </c>
      <c r="K692" s="80">
        <f ca="1">IFERROR(__xludf.DUMMYFUNCTION("""COMPUTED_VALUE"""),3)</f>
        <v>3</v>
      </c>
      <c r="L692" s="79" t="str">
        <f ca="1">IFERROR(__xludf.DUMMYFUNCTION("""COMPUTED_VALUE"""),"TRIMESTRE 1")</f>
        <v>TRIMESTRE 1</v>
      </c>
      <c r="M692" s="79" t="str">
        <f ca="1">IFERROR(__xludf.DUMMYFUNCTION("""COMPUTED_VALUE"""),"ADOLESCENTES MUJERES")</f>
        <v>ADOLESCENTES MUJERES</v>
      </c>
    </row>
    <row r="693" spans="1:13">
      <c r="A693" s="79" t="str">
        <f ca="1">IFERROR(__xludf.DUMMYFUNCTION("""COMPUTED_VALUE"""),"6.1.5.2")</f>
        <v>6.1.5.2</v>
      </c>
      <c r="B693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3" s="79" t="str">
        <f ca="1">IFERROR(__xludf.DUMMYFUNCTION("""COMPUTED_VALUE"""),"5. Inclusión")</f>
        <v>5. Inclusión</v>
      </c>
      <c r="D693" s="79" t="str">
        <f ca="1">IFERROR(__xludf.DUMMYFUNCTION("""COMPUTED_VALUE"""),"Guadalajara sin Barreras")</f>
        <v>Guadalajara sin Barreras</v>
      </c>
      <c r="E693" s="79" t="str">
        <f ca="1">IFERROR(__xludf.DUMMYFUNCTION("""COMPUTED_VALUE"""),"Atención Integral para Personas con Discapacidad")</f>
        <v>Atención Integral para Personas con Discapacidad</v>
      </c>
      <c r="F693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693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3" s="79" t="str">
        <f ca="1">IFERROR(__xludf.DUMMYFUNCTION("""COMPUTED_VALUE"""),"AH enero")</f>
        <v>AH enero</v>
      </c>
      <c r="I693" s="79" t="str">
        <f ca="1">IFERROR(__xludf.DUMMYFUNCTION("""COMPUTED_VALUE"""),"Enero")</f>
        <v>Enero</v>
      </c>
      <c r="J693" s="79" t="str">
        <f ca="1">IFERROR(__xludf.DUMMYFUNCTION("""COMPUTED_VALUE"""),"AH")</f>
        <v>AH</v>
      </c>
      <c r="K693" s="80">
        <f ca="1">IFERROR(__xludf.DUMMYFUNCTION("""COMPUTED_VALUE"""),5)</f>
        <v>5</v>
      </c>
      <c r="L693" s="79" t="str">
        <f ca="1">IFERROR(__xludf.DUMMYFUNCTION("""COMPUTED_VALUE"""),"TRIMESTRE 1")</f>
        <v>TRIMESTRE 1</v>
      </c>
      <c r="M693" s="79" t="str">
        <f ca="1">IFERROR(__xludf.DUMMYFUNCTION("""COMPUTED_VALUE"""),"ADOLESCENTES HOMBRES")</f>
        <v>ADOLESCENTES HOMBRES</v>
      </c>
    </row>
    <row r="694" spans="1:13">
      <c r="A694" s="79" t="str">
        <f ca="1">IFERROR(__xludf.DUMMYFUNCTION("""COMPUTED_VALUE"""),"6.1.5.2")</f>
        <v>6.1.5.2</v>
      </c>
      <c r="B694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4" s="79" t="str">
        <f ca="1">IFERROR(__xludf.DUMMYFUNCTION("""COMPUTED_VALUE"""),"5. Inclusión")</f>
        <v>5. Inclusión</v>
      </c>
      <c r="D694" s="79" t="str">
        <f ca="1">IFERROR(__xludf.DUMMYFUNCTION("""COMPUTED_VALUE"""),"Guadalajara sin Barreras")</f>
        <v>Guadalajara sin Barreras</v>
      </c>
      <c r="E694" s="79" t="str">
        <f ca="1">IFERROR(__xludf.DUMMYFUNCTION("""COMPUTED_VALUE"""),"Atención Integral para Personas con Discapacidad")</f>
        <v>Atención Integral para Personas con Discapacidad</v>
      </c>
      <c r="F694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694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4" s="79" t="str">
        <f ca="1">IFERROR(__xludf.DUMMYFUNCTION("""COMPUTED_VALUE"""),"MUJ enero")</f>
        <v>MUJ enero</v>
      </c>
      <c r="I694" s="79" t="str">
        <f ca="1">IFERROR(__xludf.DUMMYFUNCTION("""COMPUTED_VALUE"""),"Enero")</f>
        <v>Enero</v>
      </c>
      <c r="J694" s="79" t="str">
        <f ca="1">IFERROR(__xludf.DUMMYFUNCTION("""COMPUTED_VALUE"""),"MUJ")</f>
        <v>MUJ</v>
      </c>
      <c r="K694" s="80">
        <f ca="1">IFERROR(__xludf.DUMMYFUNCTION("""COMPUTED_VALUE"""),26)</f>
        <v>26</v>
      </c>
      <c r="L694" s="79" t="str">
        <f ca="1">IFERROR(__xludf.DUMMYFUNCTION("""COMPUTED_VALUE"""),"TRIMESTRE 1")</f>
        <v>TRIMESTRE 1</v>
      </c>
      <c r="M694" s="79" t="str">
        <f ca="1">IFERROR(__xludf.DUMMYFUNCTION("""COMPUTED_VALUE"""),"MUJERES ADULTAS")</f>
        <v>MUJERES ADULTAS</v>
      </c>
    </row>
    <row r="695" spans="1:13">
      <c r="A695" s="79" t="str">
        <f ca="1">IFERROR(__xludf.DUMMYFUNCTION("""COMPUTED_VALUE"""),"6.1.5.2")</f>
        <v>6.1.5.2</v>
      </c>
      <c r="B695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5" s="79" t="str">
        <f ca="1">IFERROR(__xludf.DUMMYFUNCTION("""COMPUTED_VALUE"""),"5. Inclusión")</f>
        <v>5. Inclusión</v>
      </c>
      <c r="D695" s="79" t="str">
        <f ca="1">IFERROR(__xludf.DUMMYFUNCTION("""COMPUTED_VALUE"""),"Guadalajara sin Barreras")</f>
        <v>Guadalajara sin Barreras</v>
      </c>
      <c r="E695" s="79" t="str">
        <f ca="1">IFERROR(__xludf.DUMMYFUNCTION("""COMPUTED_VALUE"""),"Atención Integral para Personas con Discapacidad")</f>
        <v>Atención Integral para Personas con Discapacidad</v>
      </c>
      <c r="F695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695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5" s="79" t="str">
        <f ca="1">IFERROR(__xludf.DUMMYFUNCTION("""COMPUTED_VALUE"""),"HOM enero")</f>
        <v>HOM enero</v>
      </c>
      <c r="I695" s="79" t="str">
        <f ca="1">IFERROR(__xludf.DUMMYFUNCTION("""COMPUTED_VALUE"""),"Enero")</f>
        <v>Enero</v>
      </c>
      <c r="J695" s="79" t="str">
        <f ca="1">IFERROR(__xludf.DUMMYFUNCTION("""COMPUTED_VALUE"""),"HOM")</f>
        <v>HOM</v>
      </c>
      <c r="K695" s="80">
        <f ca="1">IFERROR(__xludf.DUMMYFUNCTION("""COMPUTED_VALUE"""),10)</f>
        <v>10</v>
      </c>
      <c r="L695" s="79" t="str">
        <f ca="1">IFERROR(__xludf.DUMMYFUNCTION("""COMPUTED_VALUE"""),"TRIMESTRE 1")</f>
        <v>TRIMESTRE 1</v>
      </c>
      <c r="M695" s="79" t="str">
        <f ca="1">IFERROR(__xludf.DUMMYFUNCTION("""COMPUTED_VALUE"""),"HOMBRES ADULTOS")</f>
        <v>HOMBRES ADULTOS</v>
      </c>
    </row>
    <row r="696" spans="1:13">
      <c r="A696" s="79" t="str">
        <f ca="1">IFERROR(__xludf.DUMMYFUNCTION("""COMPUTED_VALUE"""),"6.1.5.2")</f>
        <v>6.1.5.2</v>
      </c>
      <c r="B696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6" s="79" t="str">
        <f ca="1">IFERROR(__xludf.DUMMYFUNCTION("""COMPUTED_VALUE"""),"5. Inclusión")</f>
        <v>5. Inclusión</v>
      </c>
      <c r="D696" s="79" t="str">
        <f ca="1">IFERROR(__xludf.DUMMYFUNCTION("""COMPUTED_VALUE"""),"Guadalajara sin Barreras")</f>
        <v>Guadalajara sin Barreras</v>
      </c>
      <c r="E696" s="79" t="str">
        <f ca="1">IFERROR(__xludf.DUMMYFUNCTION("""COMPUTED_VALUE"""),"Atención Integral para Personas con Discapacidad")</f>
        <v>Atención Integral para Personas con Discapacidad</v>
      </c>
      <c r="F696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696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6" s="79" t="str">
        <f ca="1">IFERROR(__xludf.DUMMYFUNCTION("""COMPUTED_VALUE"""),"AMM enero")</f>
        <v>AMM enero</v>
      </c>
      <c r="I696" s="79" t="str">
        <f ca="1">IFERROR(__xludf.DUMMYFUNCTION("""COMPUTED_VALUE"""),"Enero")</f>
        <v>Enero</v>
      </c>
      <c r="J696" s="79" t="str">
        <f ca="1">IFERROR(__xludf.DUMMYFUNCTION("""COMPUTED_VALUE"""),"AMM")</f>
        <v>AMM</v>
      </c>
      <c r="K696" s="80">
        <f ca="1">IFERROR(__xludf.DUMMYFUNCTION("""COMPUTED_VALUE"""),52)</f>
        <v>52</v>
      </c>
      <c r="L696" s="79" t="str">
        <f ca="1">IFERROR(__xludf.DUMMYFUNCTION("""COMPUTED_VALUE"""),"TRIMESTRE 1")</f>
        <v>TRIMESTRE 1</v>
      </c>
      <c r="M696" s="79" t="str">
        <f ca="1">IFERROR(__xludf.DUMMYFUNCTION("""COMPUTED_VALUE"""),"ADULTA MAYOR MUJER")</f>
        <v>ADULTA MAYOR MUJER</v>
      </c>
    </row>
    <row r="697" spans="1:13">
      <c r="A697" s="79" t="str">
        <f ca="1">IFERROR(__xludf.DUMMYFUNCTION("""COMPUTED_VALUE"""),"6.1.5.2")</f>
        <v>6.1.5.2</v>
      </c>
      <c r="B697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697" s="79" t="str">
        <f ca="1">IFERROR(__xludf.DUMMYFUNCTION("""COMPUTED_VALUE"""),"5. Inclusión")</f>
        <v>5. Inclusión</v>
      </c>
      <c r="D697" s="79" t="str">
        <f ca="1">IFERROR(__xludf.DUMMYFUNCTION("""COMPUTED_VALUE"""),"Guadalajara sin Barreras")</f>
        <v>Guadalajara sin Barreras</v>
      </c>
      <c r="E697" s="79" t="str">
        <f ca="1">IFERROR(__xludf.DUMMYFUNCTION("""COMPUTED_VALUE"""),"Atención Integral para Personas con Discapacidad")</f>
        <v>Atención Integral para Personas con Discapacidad</v>
      </c>
      <c r="F697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697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697" s="79" t="str">
        <f ca="1">IFERROR(__xludf.DUMMYFUNCTION("""COMPUTED_VALUE"""),"AMH enero")</f>
        <v>AMH enero</v>
      </c>
      <c r="I697" s="79" t="str">
        <f ca="1">IFERROR(__xludf.DUMMYFUNCTION("""COMPUTED_VALUE"""),"Enero")</f>
        <v>Enero</v>
      </c>
      <c r="J697" s="79" t="str">
        <f ca="1">IFERROR(__xludf.DUMMYFUNCTION("""COMPUTED_VALUE"""),"AMH")</f>
        <v>AMH</v>
      </c>
      <c r="K697" s="80">
        <f ca="1">IFERROR(__xludf.DUMMYFUNCTION("""COMPUTED_VALUE"""),13)</f>
        <v>13</v>
      </c>
      <c r="L697" s="79" t="str">
        <f ca="1">IFERROR(__xludf.DUMMYFUNCTION("""COMPUTED_VALUE"""),"TRIMESTRE 1")</f>
        <v>TRIMESTRE 1</v>
      </c>
      <c r="M697" s="79" t="str">
        <f ca="1">IFERROR(__xludf.DUMMYFUNCTION("""COMPUTED_VALUE"""),"ADULTO MAYOR HOMBRE")</f>
        <v>ADULTO MAYOR HOMBRE</v>
      </c>
    </row>
    <row r="698" spans="1:13">
      <c r="A698" s="79" t="str">
        <f ca="1">IFERROR(__xludf.DUMMYFUNCTION("""COMPUTED_VALUE"""),"6.1.5.0")</f>
        <v>6.1.5.0</v>
      </c>
      <c r="B698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98" s="79" t="str">
        <f ca="1">IFERROR(__xludf.DUMMYFUNCTION("""COMPUTED_VALUE"""),"5. Inclusión")</f>
        <v>5. Inclusión</v>
      </c>
      <c r="D698" s="79" t="str">
        <f ca="1">IFERROR(__xludf.DUMMYFUNCTION("""COMPUTED_VALUE"""),"Guadalajara sin Barreras")</f>
        <v>Guadalajara sin Barreras</v>
      </c>
      <c r="E698" s="79" t="str">
        <f ca="1">IFERROR(__xludf.DUMMYFUNCTION("""COMPUTED_VALUE"""),"Atención Integral para Personas con Discapacidad")</f>
        <v>Atención Integral para Personas con Discapacidad</v>
      </c>
      <c r="F698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98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98" s="79" t="str">
        <f ca="1">IFERROR(__xludf.DUMMYFUNCTION("""COMPUTED_VALUE"""),"NAS Febrero")</f>
        <v>NAS Febrero</v>
      </c>
      <c r="I698" s="79" t="str">
        <f ca="1">IFERROR(__xludf.DUMMYFUNCTION("""COMPUTED_VALUE"""),"Febrero")</f>
        <v>Febrero</v>
      </c>
      <c r="J698" s="79" t="str">
        <f ca="1">IFERROR(__xludf.DUMMYFUNCTION("""COMPUTED_VALUE"""),"NAS")</f>
        <v>NAS</v>
      </c>
      <c r="K698" s="80">
        <f ca="1">IFERROR(__xludf.DUMMYFUNCTION("""COMPUTED_VALUE"""),2)</f>
        <v>2</v>
      </c>
      <c r="L698" s="79" t="str">
        <f ca="1">IFERROR(__xludf.DUMMYFUNCTION("""COMPUTED_VALUE"""),"TRIMESTRE 1")</f>
        <v>TRIMESTRE 1</v>
      </c>
      <c r="M698" s="79" t="str">
        <f ca="1">IFERROR(__xludf.DUMMYFUNCTION("""COMPUTED_VALUE"""),"NIÑAS")</f>
        <v>NIÑAS</v>
      </c>
    </row>
    <row r="699" spans="1:13">
      <c r="A699" s="79" t="str">
        <f ca="1">IFERROR(__xludf.DUMMYFUNCTION("""COMPUTED_VALUE"""),"6.1.5.0")</f>
        <v>6.1.5.0</v>
      </c>
      <c r="B699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699" s="79" t="str">
        <f ca="1">IFERROR(__xludf.DUMMYFUNCTION("""COMPUTED_VALUE"""),"5. Inclusión")</f>
        <v>5. Inclusión</v>
      </c>
      <c r="D699" s="79" t="str">
        <f ca="1">IFERROR(__xludf.DUMMYFUNCTION("""COMPUTED_VALUE"""),"Guadalajara sin Barreras")</f>
        <v>Guadalajara sin Barreras</v>
      </c>
      <c r="E699" s="79" t="str">
        <f ca="1">IFERROR(__xludf.DUMMYFUNCTION("""COMPUTED_VALUE"""),"Atención Integral para Personas con Discapacidad")</f>
        <v>Atención Integral para Personas con Discapacidad</v>
      </c>
      <c r="F699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699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699" s="79" t="str">
        <f ca="1">IFERROR(__xludf.DUMMYFUNCTION("""COMPUTED_VALUE"""),"NOS Febrero")</f>
        <v>NOS Febrero</v>
      </c>
      <c r="I699" s="79" t="str">
        <f ca="1">IFERROR(__xludf.DUMMYFUNCTION("""COMPUTED_VALUE"""),"Febrero")</f>
        <v>Febrero</v>
      </c>
      <c r="J699" s="79" t="str">
        <f ca="1">IFERROR(__xludf.DUMMYFUNCTION("""COMPUTED_VALUE"""),"NOS")</f>
        <v>NOS</v>
      </c>
      <c r="K699" s="80">
        <f ca="1">IFERROR(__xludf.DUMMYFUNCTION("""COMPUTED_VALUE"""),17)</f>
        <v>17</v>
      </c>
      <c r="L699" s="79" t="str">
        <f ca="1">IFERROR(__xludf.DUMMYFUNCTION("""COMPUTED_VALUE"""),"TRIMESTRE 1")</f>
        <v>TRIMESTRE 1</v>
      </c>
      <c r="M699" s="79" t="str">
        <f ca="1">IFERROR(__xludf.DUMMYFUNCTION("""COMPUTED_VALUE"""),"NIÑOS")</f>
        <v>NIÑOS</v>
      </c>
    </row>
    <row r="700" spans="1:13">
      <c r="A700" s="79" t="str">
        <f ca="1">IFERROR(__xludf.DUMMYFUNCTION("""COMPUTED_VALUE"""),"6.1.5.0")</f>
        <v>6.1.5.0</v>
      </c>
      <c r="B700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00" s="79" t="str">
        <f ca="1">IFERROR(__xludf.DUMMYFUNCTION("""COMPUTED_VALUE"""),"5. Inclusión")</f>
        <v>5. Inclusión</v>
      </c>
      <c r="D700" s="79" t="str">
        <f ca="1">IFERROR(__xludf.DUMMYFUNCTION("""COMPUTED_VALUE"""),"Guadalajara sin Barreras")</f>
        <v>Guadalajara sin Barreras</v>
      </c>
      <c r="E700" s="79" t="str">
        <f ca="1">IFERROR(__xludf.DUMMYFUNCTION("""COMPUTED_VALUE"""),"Atención Integral para Personas con Discapacidad")</f>
        <v>Atención Integral para Personas con Discapacidad</v>
      </c>
      <c r="F700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00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00" s="79" t="str">
        <f ca="1">IFERROR(__xludf.DUMMYFUNCTION("""COMPUTED_VALUE"""),"AM FEBRERO")</f>
        <v>AM FEBRERO</v>
      </c>
      <c r="I700" s="79" t="str">
        <f ca="1">IFERROR(__xludf.DUMMYFUNCTION("""COMPUTED_VALUE"""),"Febrero")</f>
        <v>Febrero</v>
      </c>
      <c r="J700" s="79" t="str">
        <f ca="1">IFERROR(__xludf.DUMMYFUNCTION("""COMPUTED_VALUE"""),"AM")</f>
        <v>AM</v>
      </c>
      <c r="K700" s="80">
        <f ca="1">IFERROR(__xludf.DUMMYFUNCTION("""COMPUTED_VALUE"""),1)</f>
        <v>1</v>
      </c>
      <c r="L700" s="79" t="str">
        <f ca="1">IFERROR(__xludf.DUMMYFUNCTION("""COMPUTED_VALUE"""),"TRIMESTRE 1")</f>
        <v>TRIMESTRE 1</v>
      </c>
      <c r="M700" s="79" t="str">
        <f ca="1">IFERROR(__xludf.DUMMYFUNCTION("""COMPUTED_VALUE"""),"ADOLESCENTES MUJERES")</f>
        <v>ADOLESCENTES MUJERES</v>
      </c>
    </row>
    <row r="701" spans="1:13">
      <c r="A701" s="79" t="str">
        <f ca="1">IFERROR(__xludf.DUMMYFUNCTION("""COMPUTED_VALUE"""),"6.1.5.0")</f>
        <v>6.1.5.0</v>
      </c>
      <c r="B701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01" s="79" t="str">
        <f ca="1">IFERROR(__xludf.DUMMYFUNCTION("""COMPUTED_VALUE"""),"5. Inclusión")</f>
        <v>5. Inclusión</v>
      </c>
      <c r="D701" s="79" t="str">
        <f ca="1">IFERROR(__xludf.DUMMYFUNCTION("""COMPUTED_VALUE"""),"Guadalajara sin Barreras")</f>
        <v>Guadalajara sin Barreras</v>
      </c>
      <c r="E701" s="79" t="str">
        <f ca="1">IFERROR(__xludf.DUMMYFUNCTION("""COMPUTED_VALUE"""),"Atención Integral para Personas con Discapacidad")</f>
        <v>Atención Integral para Personas con Discapacidad</v>
      </c>
      <c r="F701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01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01" s="79" t="str">
        <f ca="1">IFERROR(__xludf.DUMMYFUNCTION("""COMPUTED_VALUE"""),"AH FEBRERO")</f>
        <v>AH FEBRERO</v>
      </c>
      <c r="I701" s="79" t="str">
        <f ca="1">IFERROR(__xludf.DUMMYFUNCTION("""COMPUTED_VALUE"""),"Febrero")</f>
        <v>Febrero</v>
      </c>
      <c r="J701" s="79" t="str">
        <f ca="1">IFERROR(__xludf.DUMMYFUNCTION("""COMPUTED_VALUE"""),"AH")</f>
        <v>AH</v>
      </c>
      <c r="K701" s="80">
        <f ca="1">IFERROR(__xludf.DUMMYFUNCTION("""COMPUTED_VALUE"""),7)</f>
        <v>7</v>
      </c>
      <c r="L701" s="79" t="str">
        <f ca="1">IFERROR(__xludf.DUMMYFUNCTION("""COMPUTED_VALUE"""),"TRIMESTRE 1")</f>
        <v>TRIMESTRE 1</v>
      </c>
      <c r="M701" s="79" t="str">
        <f ca="1">IFERROR(__xludf.DUMMYFUNCTION("""COMPUTED_VALUE"""),"ADOLESCENTES HOMBRES")</f>
        <v>ADOLESCENTES HOMBRES</v>
      </c>
    </row>
    <row r="702" spans="1:13">
      <c r="A702" s="79" t="str">
        <f ca="1">IFERROR(__xludf.DUMMYFUNCTION("""COMPUTED_VALUE"""),"6.1.5.0")</f>
        <v>6.1.5.0</v>
      </c>
      <c r="B702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02" s="79" t="str">
        <f ca="1">IFERROR(__xludf.DUMMYFUNCTION("""COMPUTED_VALUE"""),"5. Inclusión")</f>
        <v>5. Inclusión</v>
      </c>
      <c r="D702" s="79" t="str">
        <f ca="1">IFERROR(__xludf.DUMMYFUNCTION("""COMPUTED_VALUE"""),"Guadalajara sin Barreras")</f>
        <v>Guadalajara sin Barreras</v>
      </c>
      <c r="E702" s="79" t="str">
        <f ca="1">IFERROR(__xludf.DUMMYFUNCTION("""COMPUTED_VALUE"""),"Atención Integral para Personas con Discapacidad")</f>
        <v>Atención Integral para Personas con Discapacidad</v>
      </c>
      <c r="F702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02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02" s="79" t="str">
        <f ca="1">IFERROR(__xludf.DUMMYFUNCTION("""COMPUTED_VALUE"""),"MUJ Febrero")</f>
        <v>MUJ Febrero</v>
      </c>
      <c r="I702" s="79" t="str">
        <f ca="1">IFERROR(__xludf.DUMMYFUNCTION("""COMPUTED_VALUE"""),"Febrero")</f>
        <v>Febrero</v>
      </c>
      <c r="J702" s="79" t="str">
        <f ca="1">IFERROR(__xludf.DUMMYFUNCTION("""COMPUTED_VALUE"""),"MUJ")</f>
        <v>MUJ</v>
      </c>
      <c r="K702" s="80">
        <f ca="1">IFERROR(__xludf.DUMMYFUNCTION("""COMPUTED_VALUE"""),122)</f>
        <v>122</v>
      </c>
      <c r="L702" s="79" t="str">
        <f ca="1">IFERROR(__xludf.DUMMYFUNCTION("""COMPUTED_VALUE"""),"TRIMESTRE 1")</f>
        <v>TRIMESTRE 1</v>
      </c>
      <c r="M702" s="79" t="str">
        <f ca="1">IFERROR(__xludf.DUMMYFUNCTION("""COMPUTED_VALUE"""),"MUJERES ADULTAS")</f>
        <v>MUJERES ADULTAS</v>
      </c>
    </row>
    <row r="703" spans="1:13">
      <c r="A703" s="79" t="str">
        <f ca="1">IFERROR(__xludf.DUMMYFUNCTION("""COMPUTED_VALUE"""),"6.1.5.0")</f>
        <v>6.1.5.0</v>
      </c>
      <c r="B703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03" s="79" t="str">
        <f ca="1">IFERROR(__xludf.DUMMYFUNCTION("""COMPUTED_VALUE"""),"5. Inclusión")</f>
        <v>5. Inclusión</v>
      </c>
      <c r="D703" s="79" t="str">
        <f ca="1">IFERROR(__xludf.DUMMYFUNCTION("""COMPUTED_VALUE"""),"Guadalajara sin Barreras")</f>
        <v>Guadalajara sin Barreras</v>
      </c>
      <c r="E703" s="79" t="str">
        <f ca="1">IFERROR(__xludf.DUMMYFUNCTION("""COMPUTED_VALUE"""),"Atención Integral para Personas con Discapacidad")</f>
        <v>Atención Integral para Personas con Discapacidad</v>
      </c>
      <c r="F703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03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03" s="79" t="str">
        <f ca="1">IFERROR(__xludf.DUMMYFUNCTION("""COMPUTED_VALUE"""),"HOM Febrero")</f>
        <v>HOM Febrero</v>
      </c>
      <c r="I703" s="79" t="str">
        <f ca="1">IFERROR(__xludf.DUMMYFUNCTION("""COMPUTED_VALUE"""),"Febrero")</f>
        <v>Febrero</v>
      </c>
      <c r="J703" s="79" t="str">
        <f ca="1">IFERROR(__xludf.DUMMYFUNCTION("""COMPUTED_VALUE"""),"HOM")</f>
        <v>HOM</v>
      </c>
      <c r="K703" s="80">
        <f ca="1">IFERROR(__xludf.DUMMYFUNCTION("""COMPUTED_VALUE"""),62)</f>
        <v>62</v>
      </c>
      <c r="L703" s="79" t="str">
        <f ca="1">IFERROR(__xludf.DUMMYFUNCTION("""COMPUTED_VALUE"""),"TRIMESTRE 1")</f>
        <v>TRIMESTRE 1</v>
      </c>
      <c r="M703" s="79" t="str">
        <f ca="1">IFERROR(__xludf.DUMMYFUNCTION("""COMPUTED_VALUE"""),"HOMBRES ADULTOS")</f>
        <v>HOMBRES ADULTOS</v>
      </c>
    </row>
    <row r="704" spans="1:13">
      <c r="A704" s="79" t="str">
        <f ca="1">IFERROR(__xludf.DUMMYFUNCTION("""COMPUTED_VALUE"""),"6.1.5.0")</f>
        <v>6.1.5.0</v>
      </c>
      <c r="B704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04" s="79" t="str">
        <f ca="1">IFERROR(__xludf.DUMMYFUNCTION("""COMPUTED_VALUE"""),"5. Inclusión")</f>
        <v>5. Inclusión</v>
      </c>
      <c r="D704" s="79" t="str">
        <f ca="1">IFERROR(__xludf.DUMMYFUNCTION("""COMPUTED_VALUE"""),"Guadalajara sin Barreras")</f>
        <v>Guadalajara sin Barreras</v>
      </c>
      <c r="E704" s="79" t="str">
        <f ca="1">IFERROR(__xludf.DUMMYFUNCTION("""COMPUTED_VALUE"""),"Atención Integral para Personas con Discapacidad")</f>
        <v>Atención Integral para Personas con Discapacidad</v>
      </c>
      <c r="F704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04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04" s="79" t="str">
        <f ca="1">IFERROR(__xludf.DUMMYFUNCTION("""COMPUTED_VALUE"""),"AMM Febrero")</f>
        <v>AMM Febrero</v>
      </c>
      <c r="I704" s="79" t="str">
        <f ca="1">IFERROR(__xludf.DUMMYFUNCTION("""COMPUTED_VALUE"""),"Febrero")</f>
        <v>Febrero</v>
      </c>
      <c r="J704" s="79" t="str">
        <f ca="1">IFERROR(__xludf.DUMMYFUNCTION("""COMPUTED_VALUE"""),"AMM")</f>
        <v>AMM</v>
      </c>
      <c r="K704" s="80">
        <f ca="1">IFERROR(__xludf.DUMMYFUNCTION("""COMPUTED_VALUE"""),322)</f>
        <v>322</v>
      </c>
      <c r="L704" s="79" t="str">
        <f ca="1">IFERROR(__xludf.DUMMYFUNCTION("""COMPUTED_VALUE"""),"TRIMESTRE 1")</f>
        <v>TRIMESTRE 1</v>
      </c>
      <c r="M704" s="79" t="str">
        <f ca="1">IFERROR(__xludf.DUMMYFUNCTION("""COMPUTED_VALUE"""),"ADULTA MAYOR MUJER")</f>
        <v>ADULTA MAYOR MUJER</v>
      </c>
    </row>
    <row r="705" spans="1:26">
      <c r="A705" s="79" t="str">
        <f ca="1">IFERROR(__xludf.DUMMYFUNCTION("""COMPUTED_VALUE"""),"6.1.5.0")</f>
        <v>6.1.5.0</v>
      </c>
      <c r="B705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05" s="79" t="str">
        <f ca="1">IFERROR(__xludf.DUMMYFUNCTION("""COMPUTED_VALUE"""),"5. Inclusión")</f>
        <v>5. Inclusión</v>
      </c>
      <c r="D705" s="79" t="str">
        <f ca="1">IFERROR(__xludf.DUMMYFUNCTION("""COMPUTED_VALUE"""),"Guadalajara sin Barreras")</f>
        <v>Guadalajara sin Barreras</v>
      </c>
      <c r="E705" s="79" t="str">
        <f ca="1">IFERROR(__xludf.DUMMYFUNCTION("""COMPUTED_VALUE"""),"Atención Integral para Personas con Discapacidad")</f>
        <v>Atención Integral para Personas con Discapacidad</v>
      </c>
      <c r="F705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05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05" s="79" t="str">
        <f ca="1">IFERROR(__xludf.DUMMYFUNCTION("""COMPUTED_VALUE"""),"AMH Febrero")</f>
        <v>AMH Febrero</v>
      </c>
      <c r="I705" s="79" t="str">
        <f ca="1">IFERROR(__xludf.DUMMYFUNCTION("""COMPUTED_VALUE"""),"Febrero")</f>
        <v>Febrero</v>
      </c>
      <c r="J705" s="79" t="str">
        <f ca="1">IFERROR(__xludf.DUMMYFUNCTION("""COMPUTED_VALUE"""),"AMH")</f>
        <v>AMH</v>
      </c>
      <c r="K705" s="80">
        <f ca="1">IFERROR(__xludf.DUMMYFUNCTION("""COMPUTED_VALUE"""),64)</f>
        <v>64</v>
      </c>
      <c r="L705" s="79" t="str">
        <f ca="1">IFERROR(__xludf.DUMMYFUNCTION("""COMPUTED_VALUE"""),"TRIMESTRE 1")</f>
        <v>TRIMESTRE 1</v>
      </c>
      <c r="M705" s="79" t="str">
        <f ca="1">IFERROR(__xludf.DUMMYFUNCTION("""COMPUTED_VALUE"""),"ADULTO MAYOR HOMBRE")</f>
        <v>ADULTO MAYOR HOMBRE</v>
      </c>
    </row>
    <row r="706" spans="1:26">
      <c r="A706" s="81" t="str">
        <f ca="1">IFERROR(__xludf.DUMMYFUNCTION("""COMPUTED_VALUE"""),"6.1.5.1")</f>
        <v>6.1.5.1</v>
      </c>
      <c r="B706" s="81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06" s="81" t="str">
        <f ca="1">IFERROR(__xludf.DUMMYFUNCTION("""COMPUTED_VALUE"""),"5. Inclusión")</f>
        <v>5. Inclusión</v>
      </c>
      <c r="D706" s="81" t="str">
        <f ca="1">IFERROR(__xludf.DUMMYFUNCTION("""COMPUTED_VALUE"""),"Guadalajara sin Barreras")</f>
        <v>Guadalajara sin Barreras</v>
      </c>
      <c r="E706" s="81" t="str">
        <f ca="1">IFERROR(__xludf.DUMMYFUNCTION("""COMPUTED_VALUE"""),"Atención Integral para Personas con Discapacidad")</f>
        <v>Atención Integral para Personas con Discapacidad</v>
      </c>
      <c r="F706" s="81" t="str">
        <f ca="1">IFERROR(__xludf.DUMMYFUNCTION("""COMPUTED_VALUE"""),"A1C5. Sesiones de terapia física brindadas en el Centro CAIPED en 2024")</f>
        <v>A1C5. Sesiones de terapia física brindadas en el Centro CAIPED en 2024</v>
      </c>
      <c r="G706" s="81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06" s="81" t="str">
        <f ca="1">IFERROR(__xludf.DUMMYFUNCTION("""COMPUTED_VALUE"""),"NAS Febrero")</f>
        <v>NAS Febrero</v>
      </c>
      <c r="I706" s="81" t="str">
        <f ca="1">IFERROR(__xludf.DUMMYFUNCTION("""COMPUTED_VALUE"""),"Febrero")</f>
        <v>Febrero</v>
      </c>
      <c r="J706" s="81" t="str">
        <f ca="1">IFERROR(__xludf.DUMMYFUNCTION("""COMPUTED_VALUE"""),"NAS")</f>
        <v>NAS</v>
      </c>
      <c r="K706" s="80">
        <f ca="1">IFERROR(__xludf.DUMMYFUNCTION("""COMPUTED_VALUE"""),0)</f>
        <v>0</v>
      </c>
      <c r="L706" s="81" t="str">
        <f ca="1">IFERROR(__xludf.DUMMYFUNCTION("""COMPUTED_VALUE"""),"TRIMESTRE 1")</f>
        <v>TRIMESTRE 1</v>
      </c>
      <c r="M706" s="81" t="str">
        <f ca="1">IFERROR(__xludf.DUMMYFUNCTION("""COMPUTED_VALUE"""),"NIÑAS")</f>
        <v>NIÑAS</v>
      </c>
      <c r="N706" s="81"/>
      <c r="O706" s="81"/>
      <c r="P706" s="81"/>
      <c r="Q706" s="81"/>
      <c r="R706" s="81"/>
      <c r="S706" s="81"/>
      <c r="T706" s="81"/>
      <c r="U706" s="81"/>
      <c r="V706" s="81"/>
      <c r="W706" s="81"/>
      <c r="X706" s="81"/>
      <c r="Y706" s="81"/>
      <c r="Z706" s="81"/>
    </row>
    <row r="707" spans="1:26">
      <c r="A707" s="81" t="str">
        <f ca="1">IFERROR(__xludf.DUMMYFUNCTION("""COMPUTED_VALUE"""),"6.1.5.1")</f>
        <v>6.1.5.1</v>
      </c>
      <c r="B707" s="81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07" s="81" t="str">
        <f ca="1">IFERROR(__xludf.DUMMYFUNCTION("""COMPUTED_VALUE"""),"5. Inclusión")</f>
        <v>5. Inclusión</v>
      </c>
      <c r="D707" s="81" t="str">
        <f ca="1">IFERROR(__xludf.DUMMYFUNCTION("""COMPUTED_VALUE"""),"Guadalajara sin Barreras")</f>
        <v>Guadalajara sin Barreras</v>
      </c>
      <c r="E707" s="81" t="str">
        <f ca="1">IFERROR(__xludf.DUMMYFUNCTION("""COMPUTED_VALUE"""),"Atención Integral para Personas con Discapacidad")</f>
        <v>Atención Integral para Personas con Discapacidad</v>
      </c>
      <c r="F707" s="81" t="str">
        <f ca="1">IFERROR(__xludf.DUMMYFUNCTION("""COMPUTED_VALUE"""),"A1C5. Sesiones de terapia física brindadas en el Centro CAIPED en 2024")</f>
        <v>A1C5. Sesiones de terapia física brindadas en el Centro CAIPED en 2024</v>
      </c>
      <c r="G707" s="81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07" s="81" t="str">
        <f ca="1">IFERROR(__xludf.DUMMYFUNCTION("""COMPUTED_VALUE"""),"NOS Febrero")</f>
        <v>NOS Febrero</v>
      </c>
      <c r="I707" s="81" t="str">
        <f ca="1">IFERROR(__xludf.DUMMYFUNCTION("""COMPUTED_VALUE"""),"Febrero")</f>
        <v>Febrero</v>
      </c>
      <c r="J707" s="81" t="str">
        <f ca="1">IFERROR(__xludf.DUMMYFUNCTION("""COMPUTED_VALUE"""),"NOS")</f>
        <v>NOS</v>
      </c>
      <c r="K707" s="80">
        <f ca="1">IFERROR(__xludf.DUMMYFUNCTION("""COMPUTED_VALUE"""),3)</f>
        <v>3</v>
      </c>
      <c r="L707" s="81" t="str">
        <f ca="1">IFERROR(__xludf.DUMMYFUNCTION("""COMPUTED_VALUE"""),"TRIMESTRE 1")</f>
        <v>TRIMESTRE 1</v>
      </c>
      <c r="M707" s="81" t="str">
        <f ca="1">IFERROR(__xludf.DUMMYFUNCTION("""COMPUTED_VALUE"""),"NIÑOS")</f>
        <v>NIÑOS</v>
      </c>
      <c r="N707" s="81"/>
      <c r="O707" s="81"/>
      <c r="P707" s="81"/>
      <c r="Q707" s="81"/>
      <c r="R707" s="81"/>
      <c r="S707" s="81"/>
      <c r="T707" s="81"/>
      <c r="U707" s="81"/>
      <c r="V707" s="81"/>
      <c r="W707" s="81"/>
      <c r="X707" s="81"/>
      <c r="Y707" s="81"/>
      <c r="Z707" s="81"/>
    </row>
    <row r="708" spans="1:26">
      <c r="A708" s="81" t="str">
        <f ca="1">IFERROR(__xludf.DUMMYFUNCTION("""COMPUTED_VALUE"""),"6.1.5.1")</f>
        <v>6.1.5.1</v>
      </c>
      <c r="B708" s="81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08" s="81" t="str">
        <f ca="1">IFERROR(__xludf.DUMMYFUNCTION("""COMPUTED_VALUE"""),"5. Inclusión")</f>
        <v>5. Inclusión</v>
      </c>
      <c r="D708" s="81" t="str">
        <f ca="1">IFERROR(__xludf.DUMMYFUNCTION("""COMPUTED_VALUE"""),"Guadalajara sin Barreras")</f>
        <v>Guadalajara sin Barreras</v>
      </c>
      <c r="E708" s="81" t="str">
        <f ca="1">IFERROR(__xludf.DUMMYFUNCTION("""COMPUTED_VALUE"""),"Atención Integral para Personas con Discapacidad")</f>
        <v>Atención Integral para Personas con Discapacidad</v>
      </c>
      <c r="F708" s="81" t="str">
        <f ca="1">IFERROR(__xludf.DUMMYFUNCTION("""COMPUTED_VALUE"""),"A1C5. Sesiones de terapia física brindadas en el Centro CAIPED en 2024")</f>
        <v>A1C5. Sesiones de terapia física brindadas en el Centro CAIPED en 2024</v>
      </c>
      <c r="G708" s="81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08" s="81" t="str">
        <f ca="1">IFERROR(__xludf.DUMMYFUNCTION("""COMPUTED_VALUE"""),"AM FEBRERO")</f>
        <v>AM FEBRERO</v>
      </c>
      <c r="I708" s="81" t="str">
        <f ca="1">IFERROR(__xludf.DUMMYFUNCTION("""COMPUTED_VALUE"""),"Febrero")</f>
        <v>Febrero</v>
      </c>
      <c r="J708" s="81" t="str">
        <f ca="1">IFERROR(__xludf.DUMMYFUNCTION("""COMPUTED_VALUE"""),"AM")</f>
        <v>AM</v>
      </c>
      <c r="K708" s="80">
        <f ca="1">IFERROR(__xludf.DUMMYFUNCTION("""COMPUTED_VALUE"""),0)</f>
        <v>0</v>
      </c>
      <c r="L708" s="81" t="str">
        <f ca="1">IFERROR(__xludf.DUMMYFUNCTION("""COMPUTED_VALUE"""),"TRIMESTRE 1")</f>
        <v>TRIMESTRE 1</v>
      </c>
      <c r="M708" s="81" t="str">
        <f ca="1">IFERROR(__xludf.DUMMYFUNCTION("""COMPUTED_VALUE"""),"ADOLESCENTES MUJERES")</f>
        <v>ADOLESCENTES MUJERES</v>
      </c>
      <c r="N708" s="81"/>
      <c r="O708" s="81"/>
      <c r="P708" s="81"/>
      <c r="Q708" s="81"/>
      <c r="R708" s="81"/>
      <c r="S708" s="81"/>
      <c r="T708" s="81"/>
      <c r="U708" s="81"/>
      <c r="V708" s="81"/>
      <c r="W708" s="81"/>
      <c r="X708" s="81"/>
      <c r="Y708" s="81"/>
      <c r="Z708" s="81"/>
    </row>
    <row r="709" spans="1:26">
      <c r="A709" s="81" t="str">
        <f ca="1">IFERROR(__xludf.DUMMYFUNCTION("""COMPUTED_VALUE"""),"6.1.5.1")</f>
        <v>6.1.5.1</v>
      </c>
      <c r="B709" s="81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09" s="81" t="str">
        <f ca="1">IFERROR(__xludf.DUMMYFUNCTION("""COMPUTED_VALUE"""),"5. Inclusión")</f>
        <v>5. Inclusión</v>
      </c>
      <c r="D709" s="81" t="str">
        <f ca="1">IFERROR(__xludf.DUMMYFUNCTION("""COMPUTED_VALUE"""),"Guadalajara sin Barreras")</f>
        <v>Guadalajara sin Barreras</v>
      </c>
      <c r="E709" s="81" t="str">
        <f ca="1">IFERROR(__xludf.DUMMYFUNCTION("""COMPUTED_VALUE"""),"Atención Integral para Personas con Discapacidad")</f>
        <v>Atención Integral para Personas con Discapacidad</v>
      </c>
      <c r="F709" s="81" t="str">
        <f ca="1">IFERROR(__xludf.DUMMYFUNCTION("""COMPUTED_VALUE"""),"A1C5. Sesiones de terapia física brindadas en el Centro CAIPED en 2024")</f>
        <v>A1C5. Sesiones de terapia física brindadas en el Centro CAIPED en 2024</v>
      </c>
      <c r="G709" s="81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09" s="81" t="str">
        <f ca="1">IFERROR(__xludf.DUMMYFUNCTION("""COMPUTED_VALUE"""),"AH FEBRERO")</f>
        <v>AH FEBRERO</v>
      </c>
      <c r="I709" s="81" t="str">
        <f ca="1">IFERROR(__xludf.DUMMYFUNCTION("""COMPUTED_VALUE"""),"Febrero")</f>
        <v>Febrero</v>
      </c>
      <c r="J709" s="81" t="str">
        <f ca="1">IFERROR(__xludf.DUMMYFUNCTION("""COMPUTED_VALUE"""),"AH")</f>
        <v>AH</v>
      </c>
      <c r="K709" s="80">
        <f ca="1">IFERROR(__xludf.DUMMYFUNCTION("""COMPUTED_VALUE"""),3)</f>
        <v>3</v>
      </c>
      <c r="L709" s="81" t="str">
        <f ca="1">IFERROR(__xludf.DUMMYFUNCTION("""COMPUTED_VALUE"""),"TRIMESTRE 1")</f>
        <v>TRIMESTRE 1</v>
      </c>
      <c r="M709" s="81" t="str">
        <f ca="1">IFERROR(__xludf.DUMMYFUNCTION("""COMPUTED_VALUE"""),"ADOLESCENTES HOMBRES")</f>
        <v>ADOLESCENTES HOMBRES</v>
      </c>
      <c r="N709" s="81"/>
      <c r="O709" s="81"/>
      <c r="P709" s="81"/>
      <c r="Q709" s="81"/>
      <c r="R709" s="81"/>
      <c r="S709" s="81"/>
      <c r="T709" s="81"/>
      <c r="U709" s="81"/>
      <c r="V709" s="81"/>
      <c r="W709" s="81"/>
      <c r="X709" s="81"/>
      <c r="Y709" s="81"/>
      <c r="Z709" s="81"/>
    </row>
    <row r="710" spans="1:26">
      <c r="A710" s="81" t="str">
        <f ca="1">IFERROR(__xludf.DUMMYFUNCTION("""COMPUTED_VALUE"""),"6.1.5.1")</f>
        <v>6.1.5.1</v>
      </c>
      <c r="B710" s="81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0" s="81" t="str">
        <f ca="1">IFERROR(__xludf.DUMMYFUNCTION("""COMPUTED_VALUE"""),"5. Inclusión")</f>
        <v>5. Inclusión</v>
      </c>
      <c r="D710" s="81" t="str">
        <f ca="1">IFERROR(__xludf.DUMMYFUNCTION("""COMPUTED_VALUE"""),"Guadalajara sin Barreras")</f>
        <v>Guadalajara sin Barreras</v>
      </c>
      <c r="E710" s="81" t="str">
        <f ca="1">IFERROR(__xludf.DUMMYFUNCTION("""COMPUTED_VALUE"""),"Atención Integral para Personas con Discapacidad")</f>
        <v>Atención Integral para Personas con Discapacidad</v>
      </c>
      <c r="F710" s="81" t="str">
        <f ca="1">IFERROR(__xludf.DUMMYFUNCTION("""COMPUTED_VALUE"""),"A1C5. Sesiones de terapia física brindadas en el Centro CAIPED en 2024")</f>
        <v>A1C5. Sesiones de terapia física brindadas en el Centro CAIPED en 2024</v>
      </c>
      <c r="G710" s="81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10" s="81" t="str">
        <f ca="1">IFERROR(__xludf.DUMMYFUNCTION("""COMPUTED_VALUE"""),"MUJ Febrero")</f>
        <v>MUJ Febrero</v>
      </c>
      <c r="I710" s="81" t="str">
        <f ca="1">IFERROR(__xludf.DUMMYFUNCTION("""COMPUTED_VALUE"""),"Febrero")</f>
        <v>Febrero</v>
      </c>
      <c r="J710" s="81" t="str">
        <f ca="1">IFERROR(__xludf.DUMMYFUNCTION("""COMPUTED_VALUE"""),"MUJ")</f>
        <v>MUJ</v>
      </c>
      <c r="K710" s="80">
        <f ca="1">IFERROR(__xludf.DUMMYFUNCTION("""COMPUTED_VALUE"""),107)</f>
        <v>107</v>
      </c>
      <c r="L710" s="81" t="str">
        <f ca="1">IFERROR(__xludf.DUMMYFUNCTION("""COMPUTED_VALUE"""),"TRIMESTRE 1")</f>
        <v>TRIMESTRE 1</v>
      </c>
      <c r="M710" s="81" t="str">
        <f ca="1">IFERROR(__xludf.DUMMYFUNCTION("""COMPUTED_VALUE"""),"MUJERES ADULTAS")</f>
        <v>MUJERES ADULTAS</v>
      </c>
      <c r="N710" s="81"/>
      <c r="O710" s="81"/>
      <c r="P710" s="81"/>
      <c r="Q710" s="81"/>
      <c r="R710" s="81"/>
      <c r="S710" s="81"/>
      <c r="T710" s="81"/>
      <c r="U710" s="81"/>
      <c r="V710" s="81"/>
      <c r="W710" s="81"/>
      <c r="X710" s="81"/>
      <c r="Y710" s="81"/>
      <c r="Z710" s="81"/>
    </row>
    <row r="711" spans="1:26">
      <c r="A711" s="81" t="str">
        <f ca="1">IFERROR(__xludf.DUMMYFUNCTION("""COMPUTED_VALUE"""),"6.1.5.1")</f>
        <v>6.1.5.1</v>
      </c>
      <c r="B711" s="81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1" s="81" t="str">
        <f ca="1">IFERROR(__xludf.DUMMYFUNCTION("""COMPUTED_VALUE"""),"5. Inclusión")</f>
        <v>5. Inclusión</v>
      </c>
      <c r="D711" s="81" t="str">
        <f ca="1">IFERROR(__xludf.DUMMYFUNCTION("""COMPUTED_VALUE"""),"Guadalajara sin Barreras")</f>
        <v>Guadalajara sin Barreras</v>
      </c>
      <c r="E711" s="81" t="str">
        <f ca="1">IFERROR(__xludf.DUMMYFUNCTION("""COMPUTED_VALUE"""),"Atención Integral para Personas con Discapacidad")</f>
        <v>Atención Integral para Personas con Discapacidad</v>
      </c>
      <c r="F711" s="81" t="str">
        <f ca="1">IFERROR(__xludf.DUMMYFUNCTION("""COMPUTED_VALUE"""),"A1C5. Sesiones de terapia física brindadas en el Centro CAIPED en 2024")</f>
        <v>A1C5. Sesiones de terapia física brindadas en el Centro CAIPED en 2024</v>
      </c>
      <c r="G711" s="81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11" s="81" t="str">
        <f ca="1">IFERROR(__xludf.DUMMYFUNCTION("""COMPUTED_VALUE"""),"HOM Febrero")</f>
        <v>HOM Febrero</v>
      </c>
      <c r="I711" s="81" t="str">
        <f ca="1">IFERROR(__xludf.DUMMYFUNCTION("""COMPUTED_VALUE"""),"Febrero")</f>
        <v>Febrero</v>
      </c>
      <c r="J711" s="81" t="str">
        <f ca="1">IFERROR(__xludf.DUMMYFUNCTION("""COMPUTED_VALUE"""),"HOM")</f>
        <v>HOM</v>
      </c>
      <c r="K711" s="80">
        <f ca="1">IFERROR(__xludf.DUMMYFUNCTION("""COMPUTED_VALUE"""),48)</f>
        <v>48</v>
      </c>
      <c r="L711" s="81" t="str">
        <f ca="1">IFERROR(__xludf.DUMMYFUNCTION("""COMPUTED_VALUE"""),"TRIMESTRE 1")</f>
        <v>TRIMESTRE 1</v>
      </c>
      <c r="M711" s="81" t="str">
        <f ca="1">IFERROR(__xludf.DUMMYFUNCTION("""COMPUTED_VALUE"""),"HOMBRES ADULTOS")</f>
        <v>HOMBRES ADULTOS</v>
      </c>
      <c r="N711" s="81"/>
      <c r="O711" s="81"/>
      <c r="P711" s="81"/>
      <c r="Q711" s="81"/>
      <c r="R711" s="81"/>
      <c r="S711" s="81"/>
      <c r="T711" s="81"/>
      <c r="U711" s="81"/>
      <c r="V711" s="81"/>
      <c r="W711" s="81"/>
      <c r="X711" s="81"/>
      <c r="Y711" s="81"/>
      <c r="Z711" s="81"/>
    </row>
    <row r="712" spans="1:26">
      <c r="A712" s="81" t="str">
        <f ca="1">IFERROR(__xludf.DUMMYFUNCTION("""COMPUTED_VALUE"""),"6.1.5.1")</f>
        <v>6.1.5.1</v>
      </c>
      <c r="B712" s="81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2" s="81" t="str">
        <f ca="1">IFERROR(__xludf.DUMMYFUNCTION("""COMPUTED_VALUE"""),"5. Inclusión")</f>
        <v>5. Inclusión</v>
      </c>
      <c r="D712" s="81" t="str">
        <f ca="1">IFERROR(__xludf.DUMMYFUNCTION("""COMPUTED_VALUE"""),"Guadalajara sin Barreras")</f>
        <v>Guadalajara sin Barreras</v>
      </c>
      <c r="E712" s="81" t="str">
        <f ca="1">IFERROR(__xludf.DUMMYFUNCTION("""COMPUTED_VALUE"""),"Atención Integral para Personas con Discapacidad")</f>
        <v>Atención Integral para Personas con Discapacidad</v>
      </c>
      <c r="F712" s="81" t="str">
        <f ca="1">IFERROR(__xludf.DUMMYFUNCTION("""COMPUTED_VALUE"""),"A1C5. Sesiones de terapia física brindadas en el Centro CAIPED en 2024")</f>
        <v>A1C5. Sesiones de terapia física brindadas en el Centro CAIPED en 2024</v>
      </c>
      <c r="G712" s="81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12" s="81" t="str">
        <f ca="1">IFERROR(__xludf.DUMMYFUNCTION("""COMPUTED_VALUE"""),"AMM Febrero")</f>
        <v>AMM Febrero</v>
      </c>
      <c r="I712" s="81" t="str">
        <f ca="1">IFERROR(__xludf.DUMMYFUNCTION("""COMPUTED_VALUE"""),"Febrero")</f>
        <v>Febrero</v>
      </c>
      <c r="J712" s="81" t="str">
        <f ca="1">IFERROR(__xludf.DUMMYFUNCTION("""COMPUTED_VALUE"""),"AMM")</f>
        <v>AMM</v>
      </c>
      <c r="K712" s="80">
        <f ca="1">IFERROR(__xludf.DUMMYFUNCTION("""COMPUTED_VALUE"""),268)</f>
        <v>268</v>
      </c>
      <c r="L712" s="81" t="str">
        <f ca="1">IFERROR(__xludf.DUMMYFUNCTION("""COMPUTED_VALUE"""),"TRIMESTRE 1")</f>
        <v>TRIMESTRE 1</v>
      </c>
      <c r="M712" s="81" t="str">
        <f ca="1">IFERROR(__xludf.DUMMYFUNCTION("""COMPUTED_VALUE"""),"ADULTA MAYOR MUJER")</f>
        <v>ADULTA MAYOR MUJER</v>
      </c>
      <c r="N712" s="81"/>
      <c r="O712" s="81"/>
      <c r="P712" s="81"/>
      <c r="Q712" s="81"/>
      <c r="R712" s="81"/>
      <c r="S712" s="81"/>
      <c r="T712" s="81"/>
      <c r="U712" s="81"/>
      <c r="V712" s="81"/>
      <c r="W712" s="81"/>
      <c r="X712" s="81"/>
      <c r="Y712" s="81"/>
      <c r="Z712" s="81"/>
    </row>
    <row r="713" spans="1:26">
      <c r="A713" s="81" t="str">
        <f ca="1">IFERROR(__xludf.DUMMYFUNCTION("""COMPUTED_VALUE"""),"6.1.5.1")</f>
        <v>6.1.5.1</v>
      </c>
      <c r="B713" s="81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3" s="81" t="str">
        <f ca="1">IFERROR(__xludf.DUMMYFUNCTION("""COMPUTED_VALUE"""),"5. Inclusión")</f>
        <v>5. Inclusión</v>
      </c>
      <c r="D713" s="81" t="str">
        <f ca="1">IFERROR(__xludf.DUMMYFUNCTION("""COMPUTED_VALUE"""),"Guadalajara sin Barreras")</f>
        <v>Guadalajara sin Barreras</v>
      </c>
      <c r="E713" s="81" t="str">
        <f ca="1">IFERROR(__xludf.DUMMYFUNCTION("""COMPUTED_VALUE"""),"Atención Integral para Personas con Discapacidad")</f>
        <v>Atención Integral para Personas con Discapacidad</v>
      </c>
      <c r="F713" s="81" t="str">
        <f ca="1">IFERROR(__xludf.DUMMYFUNCTION("""COMPUTED_VALUE"""),"A1C5. Sesiones de terapia física brindadas en el Centro CAIPED en 2024")</f>
        <v>A1C5. Sesiones de terapia física brindadas en el Centro CAIPED en 2024</v>
      </c>
      <c r="G713" s="81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13" s="81" t="str">
        <f ca="1">IFERROR(__xludf.DUMMYFUNCTION("""COMPUTED_VALUE"""),"AMH Febrero")</f>
        <v>AMH Febrero</v>
      </c>
      <c r="I713" s="81" t="str">
        <f ca="1">IFERROR(__xludf.DUMMYFUNCTION("""COMPUTED_VALUE"""),"Febrero")</f>
        <v>Febrero</v>
      </c>
      <c r="J713" s="81" t="str">
        <f ca="1">IFERROR(__xludf.DUMMYFUNCTION("""COMPUTED_VALUE"""),"AMH")</f>
        <v>AMH</v>
      </c>
      <c r="K713" s="80">
        <f ca="1">IFERROR(__xludf.DUMMYFUNCTION("""COMPUTED_VALUE"""),45)</f>
        <v>45</v>
      </c>
      <c r="L713" s="81" t="str">
        <f ca="1">IFERROR(__xludf.DUMMYFUNCTION("""COMPUTED_VALUE"""),"TRIMESTRE 1")</f>
        <v>TRIMESTRE 1</v>
      </c>
      <c r="M713" s="81" t="str">
        <f ca="1">IFERROR(__xludf.DUMMYFUNCTION("""COMPUTED_VALUE"""),"ADULTO MAYOR HOMBRE")</f>
        <v>ADULTO MAYOR HOMBRE</v>
      </c>
      <c r="N713" s="81"/>
      <c r="O713" s="81"/>
      <c r="P713" s="81"/>
      <c r="Q713" s="81"/>
      <c r="R713" s="81"/>
      <c r="S713" s="81"/>
      <c r="T713" s="81"/>
      <c r="U713" s="81"/>
      <c r="V713" s="81"/>
      <c r="W713" s="81"/>
      <c r="X713" s="81"/>
      <c r="Y713" s="81"/>
      <c r="Z713" s="81"/>
    </row>
    <row r="714" spans="1:26">
      <c r="A714" s="79" t="str">
        <f ca="1">IFERROR(__xludf.DUMMYFUNCTION("""COMPUTED_VALUE"""),"6.1.5.2")</f>
        <v>6.1.5.2</v>
      </c>
      <c r="B714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4" s="79" t="str">
        <f ca="1">IFERROR(__xludf.DUMMYFUNCTION("""COMPUTED_VALUE"""),"5. Inclusión")</f>
        <v>5. Inclusión</v>
      </c>
      <c r="D714" s="79" t="str">
        <f ca="1">IFERROR(__xludf.DUMMYFUNCTION("""COMPUTED_VALUE"""),"Guadalajara sin Barreras")</f>
        <v>Guadalajara sin Barreras</v>
      </c>
      <c r="E714" s="79" t="str">
        <f ca="1">IFERROR(__xludf.DUMMYFUNCTION("""COMPUTED_VALUE"""),"Atención Integral para Personas con Discapacidad")</f>
        <v>Atención Integral para Personas con Discapacidad</v>
      </c>
      <c r="F714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14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14" s="79" t="str">
        <f ca="1">IFERROR(__xludf.DUMMYFUNCTION("""COMPUTED_VALUE"""),"NAS Febrero")</f>
        <v>NAS Febrero</v>
      </c>
      <c r="I714" s="79" t="str">
        <f ca="1">IFERROR(__xludf.DUMMYFUNCTION("""COMPUTED_VALUE"""),"Febrero")</f>
        <v>Febrero</v>
      </c>
      <c r="J714" s="79" t="str">
        <f ca="1">IFERROR(__xludf.DUMMYFUNCTION("""COMPUTED_VALUE"""),"NAS")</f>
        <v>NAS</v>
      </c>
      <c r="K714" s="80">
        <f ca="1">IFERROR(__xludf.DUMMYFUNCTION("""COMPUTED_VALUE"""),2)</f>
        <v>2</v>
      </c>
      <c r="L714" s="79" t="str">
        <f ca="1">IFERROR(__xludf.DUMMYFUNCTION("""COMPUTED_VALUE"""),"TRIMESTRE 1")</f>
        <v>TRIMESTRE 1</v>
      </c>
      <c r="M714" s="79" t="str">
        <f ca="1">IFERROR(__xludf.DUMMYFUNCTION("""COMPUTED_VALUE"""),"NIÑAS")</f>
        <v>NIÑAS</v>
      </c>
    </row>
    <row r="715" spans="1:26">
      <c r="A715" s="79" t="str">
        <f ca="1">IFERROR(__xludf.DUMMYFUNCTION("""COMPUTED_VALUE"""),"6.1.5.2")</f>
        <v>6.1.5.2</v>
      </c>
      <c r="B715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5" s="79" t="str">
        <f ca="1">IFERROR(__xludf.DUMMYFUNCTION("""COMPUTED_VALUE"""),"5. Inclusión")</f>
        <v>5. Inclusión</v>
      </c>
      <c r="D715" s="79" t="str">
        <f ca="1">IFERROR(__xludf.DUMMYFUNCTION("""COMPUTED_VALUE"""),"Guadalajara sin Barreras")</f>
        <v>Guadalajara sin Barreras</v>
      </c>
      <c r="E715" s="79" t="str">
        <f ca="1">IFERROR(__xludf.DUMMYFUNCTION("""COMPUTED_VALUE"""),"Atención Integral para Personas con Discapacidad")</f>
        <v>Atención Integral para Personas con Discapacidad</v>
      </c>
      <c r="F715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15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15" s="79" t="str">
        <f ca="1">IFERROR(__xludf.DUMMYFUNCTION("""COMPUTED_VALUE"""),"NOS Febrero")</f>
        <v>NOS Febrero</v>
      </c>
      <c r="I715" s="79" t="str">
        <f ca="1">IFERROR(__xludf.DUMMYFUNCTION("""COMPUTED_VALUE"""),"Febrero")</f>
        <v>Febrero</v>
      </c>
      <c r="J715" s="79" t="str">
        <f ca="1">IFERROR(__xludf.DUMMYFUNCTION("""COMPUTED_VALUE"""),"NOS")</f>
        <v>NOS</v>
      </c>
      <c r="K715" s="80">
        <f ca="1">IFERROR(__xludf.DUMMYFUNCTION("""COMPUTED_VALUE"""),14)</f>
        <v>14</v>
      </c>
      <c r="L715" s="79" t="str">
        <f ca="1">IFERROR(__xludf.DUMMYFUNCTION("""COMPUTED_VALUE"""),"TRIMESTRE 1")</f>
        <v>TRIMESTRE 1</v>
      </c>
      <c r="M715" s="79" t="str">
        <f ca="1">IFERROR(__xludf.DUMMYFUNCTION("""COMPUTED_VALUE"""),"NIÑOS")</f>
        <v>NIÑOS</v>
      </c>
    </row>
    <row r="716" spans="1:26">
      <c r="A716" s="79" t="str">
        <f ca="1">IFERROR(__xludf.DUMMYFUNCTION("""COMPUTED_VALUE"""),"6.1.5.2")</f>
        <v>6.1.5.2</v>
      </c>
      <c r="B716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6" s="79" t="str">
        <f ca="1">IFERROR(__xludf.DUMMYFUNCTION("""COMPUTED_VALUE"""),"5. Inclusión")</f>
        <v>5. Inclusión</v>
      </c>
      <c r="D716" s="79" t="str">
        <f ca="1">IFERROR(__xludf.DUMMYFUNCTION("""COMPUTED_VALUE"""),"Guadalajara sin Barreras")</f>
        <v>Guadalajara sin Barreras</v>
      </c>
      <c r="E716" s="79" t="str">
        <f ca="1">IFERROR(__xludf.DUMMYFUNCTION("""COMPUTED_VALUE"""),"Atención Integral para Personas con Discapacidad")</f>
        <v>Atención Integral para Personas con Discapacidad</v>
      </c>
      <c r="F716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16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16" s="79" t="str">
        <f ca="1">IFERROR(__xludf.DUMMYFUNCTION("""COMPUTED_VALUE"""),"AM FEBRERO")</f>
        <v>AM FEBRERO</v>
      </c>
      <c r="I716" s="79" t="str">
        <f ca="1">IFERROR(__xludf.DUMMYFUNCTION("""COMPUTED_VALUE"""),"Febrero")</f>
        <v>Febrero</v>
      </c>
      <c r="J716" s="79" t="str">
        <f ca="1">IFERROR(__xludf.DUMMYFUNCTION("""COMPUTED_VALUE"""),"AM")</f>
        <v>AM</v>
      </c>
      <c r="K716" s="80">
        <f ca="1">IFERROR(__xludf.DUMMYFUNCTION("""COMPUTED_VALUE"""),1)</f>
        <v>1</v>
      </c>
      <c r="L716" s="79" t="str">
        <f ca="1">IFERROR(__xludf.DUMMYFUNCTION("""COMPUTED_VALUE"""),"TRIMESTRE 1")</f>
        <v>TRIMESTRE 1</v>
      </c>
      <c r="M716" s="79" t="str">
        <f ca="1">IFERROR(__xludf.DUMMYFUNCTION("""COMPUTED_VALUE"""),"ADOLESCENTES MUJERES")</f>
        <v>ADOLESCENTES MUJERES</v>
      </c>
    </row>
    <row r="717" spans="1:26">
      <c r="A717" s="79" t="str">
        <f ca="1">IFERROR(__xludf.DUMMYFUNCTION("""COMPUTED_VALUE"""),"6.1.5.2")</f>
        <v>6.1.5.2</v>
      </c>
      <c r="B717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7" s="79" t="str">
        <f ca="1">IFERROR(__xludf.DUMMYFUNCTION("""COMPUTED_VALUE"""),"5. Inclusión")</f>
        <v>5. Inclusión</v>
      </c>
      <c r="D717" s="79" t="str">
        <f ca="1">IFERROR(__xludf.DUMMYFUNCTION("""COMPUTED_VALUE"""),"Guadalajara sin Barreras")</f>
        <v>Guadalajara sin Barreras</v>
      </c>
      <c r="E717" s="79" t="str">
        <f ca="1">IFERROR(__xludf.DUMMYFUNCTION("""COMPUTED_VALUE"""),"Atención Integral para Personas con Discapacidad")</f>
        <v>Atención Integral para Personas con Discapacidad</v>
      </c>
      <c r="F717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17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17" s="79" t="str">
        <f ca="1">IFERROR(__xludf.DUMMYFUNCTION("""COMPUTED_VALUE"""),"AH FEBRERO")</f>
        <v>AH FEBRERO</v>
      </c>
      <c r="I717" s="79" t="str">
        <f ca="1">IFERROR(__xludf.DUMMYFUNCTION("""COMPUTED_VALUE"""),"Febrero")</f>
        <v>Febrero</v>
      </c>
      <c r="J717" s="79" t="str">
        <f ca="1">IFERROR(__xludf.DUMMYFUNCTION("""COMPUTED_VALUE"""),"AH")</f>
        <v>AH</v>
      </c>
      <c r="K717" s="80">
        <f ca="1">IFERROR(__xludf.DUMMYFUNCTION("""COMPUTED_VALUE"""),4)</f>
        <v>4</v>
      </c>
      <c r="L717" s="79" t="str">
        <f ca="1">IFERROR(__xludf.DUMMYFUNCTION("""COMPUTED_VALUE"""),"TRIMESTRE 1")</f>
        <v>TRIMESTRE 1</v>
      </c>
      <c r="M717" s="79" t="str">
        <f ca="1">IFERROR(__xludf.DUMMYFUNCTION("""COMPUTED_VALUE"""),"ADOLESCENTES HOMBRES")</f>
        <v>ADOLESCENTES HOMBRES</v>
      </c>
    </row>
    <row r="718" spans="1:26">
      <c r="A718" s="79" t="str">
        <f ca="1">IFERROR(__xludf.DUMMYFUNCTION("""COMPUTED_VALUE"""),"6.1.5.2")</f>
        <v>6.1.5.2</v>
      </c>
      <c r="B718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8" s="79" t="str">
        <f ca="1">IFERROR(__xludf.DUMMYFUNCTION("""COMPUTED_VALUE"""),"5. Inclusión")</f>
        <v>5. Inclusión</v>
      </c>
      <c r="D718" s="79" t="str">
        <f ca="1">IFERROR(__xludf.DUMMYFUNCTION("""COMPUTED_VALUE"""),"Guadalajara sin Barreras")</f>
        <v>Guadalajara sin Barreras</v>
      </c>
      <c r="E718" s="79" t="str">
        <f ca="1">IFERROR(__xludf.DUMMYFUNCTION("""COMPUTED_VALUE"""),"Atención Integral para Personas con Discapacidad")</f>
        <v>Atención Integral para Personas con Discapacidad</v>
      </c>
      <c r="F718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18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18" s="79" t="str">
        <f ca="1">IFERROR(__xludf.DUMMYFUNCTION("""COMPUTED_VALUE"""),"MUJ Febrero")</f>
        <v>MUJ Febrero</v>
      </c>
      <c r="I718" s="79" t="str">
        <f ca="1">IFERROR(__xludf.DUMMYFUNCTION("""COMPUTED_VALUE"""),"Febrero")</f>
        <v>Febrero</v>
      </c>
      <c r="J718" s="79" t="str">
        <f ca="1">IFERROR(__xludf.DUMMYFUNCTION("""COMPUTED_VALUE"""),"MUJ")</f>
        <v>MUJ</v>
      </c>
      <c r="K718" s="80">
        <f ca="1">IFERROR(__xludf.DUMMYFUNCTION("""COMPUTED_VALUE"""),15)</f>
        <v>15</v>
      </c>
      <c r="L718" s="79" t="str">
        <f ca="1">IFERROR(__xludf.DUMMYFUNCTION("""COMPUTED_VALUE"""),"TRIMESTRE 1")</f>
        <v>TRIMESTRE 1</v>
      </c>
      <c r="M718" s="79" t="str">
        <f ca="1">IFERROR(__xludf.DUMMYFUNCTION("""COMPUTED_VALUE"""),"MUJERES ADULTAS")</f>
        <v>MUJERES ADULTAS</v>
      </c>
    </row>
    <row r="719" spans="1:26">
      <c r="A719" s="79" t="str">
        <f ca="1">IFERROR(__xludf.DUMMYFUNCTION("""COMPUTED_VALUE"""),"6.1.5.2")</f>
        <v>6.1.5.2</v>
      </c>
      <c r="B719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19" s="79" t="str">
        <f ca="1">IFERROR(__xludf.DUMMYFUNCTION("""COMPUTED_VALUE"""),"5. Inclusión")</f>
        <v>5. Inclusión</v>
      </c>
      <c r="D719" s="79" t="str">
        <f ca="1">IFERROR(__xludf.DUMMYFUNCTION("""COMPUTED_VALUE"""),"Guadalajara sin Barreras")</f>
        <v>Guadalajara sin Barreras</v>
      </c>
      <c r="E719" s="79" t="str">
        <f ca="1">IFERROR(__xludf.DUMMYFUNCTION("""COMPUTED_VALUE"""),"Atención Integral para Personas con Discapacidad")</f>
        <v>Atención Integral para Personas con Discapacidad</v>
      </c>
      <c r="F719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19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19" s="79" t="str">
        <f ca="1">IFERROR(__xludf.DUMMYFUNCTION("""COMPUTED_VALUE"""),"HOM Febrero")</f>
        <v>HOM Febrero</v>
      </c>
      <c r="I719" s="79" t="str">
        <f ca="1">IFERROR(__xludf.DUMMYFUNCTION("""COMPUTED_VALUE"""),"Febrero")</f>
        <v>Febrero</v>
      </c>
      <c r="J719" s="79" t="str">
        <f ca="1">IFERROR(__xludf.DUMMYFUNCTION("""COMPUTED_VALUE"""),"HOM")</f>
        <v>HOM</v>
      </c>
      <c r="K719" s="80">
        <f ca="1">IFERROR(__xludf.DUMMYFUNCTION("""COMPUTED_VALUE"""),14)</f>
        <v>14</v>
      </c>
      <c r="L719" s="79" t="str">
        <f ca="1">IFERROR(__xludf.DUMMYFUNCTION("""COMPUTED_VALUE"""),"TRIMESTRE 1")</f>
        <v>TRIMESTRE 1</v>
      </c>
      <c r="M719" s="79" t="str">
        <f ca="1">IFERROR(__xludf.DUMMYFUNCTION("""COMPUTED_VALUE"""),"HOMBRES ADULTOS")</f>
        <v>HOMBRES ADULTOS</v>
      </c>
    </row>
    <row r="720" spans="1:26">
      <c r="A720" s="79" t="str">
        <f ca="1">IFERROR(__xludf.DUMMYFUNCTION("""COMPUTED_VALUE"""),"6.1.5.2")</f>
        <v>6.1.5.2</v>
      </c>
      <c r="B720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20" s="79" t="str">
        <f ca="1">IFERROR(__xludf.DUMMYFUNCTION("""COMPUTED_VALUE"""),"5. Inclusión")</f>
        <v>5. Inclusión</v>
      </c>
      <c r="D720" s="79" t="str">
        <f ca="1">IFERROR(__xludf.DUMMYFUNCTION("""COMPUTED_VALUE"""),"Guadalajara sin Barreras")</f>
        <v>Guadalajara sin Barreras</v>
      </c>
      <c r="E720" s="79" t="str">
        <f ca="1">IFERROR(__xludf.DUMMYFUNCTION("""COMPUTED_VALUE"""),"Atención Integral para Personas con Discapacidad")</f>
        <v>Atención Integral para Personas con Discapacidad</v>
      </c>
      <c r="F720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20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20" s="79" t="str">
        <f ca="1">IFERROR(__xludf.DUMMYFUNCTION("""COMPUTED_VALUE"""),"AMM Febrero")</f>
        <v>AMM Febrero</v>
      </c>
      <c r="I720" s="79" t="str">
        <f ca="1">IFERROR(__xludf.DUMMYFUNCTION("""COMPUTED_VALUE"""),"Febrero")</f>
        <v>Febrero</v>
      </c>
      <c r="J720" s="79" t="str">
        <f ca="1">IFERROR(__xludf.DUMMYFUNCTION("""COMPUTED_VALUE"""),"AMM")</f>
        <v>AMM</v>
      </c>
      <c r="K720" s="80">
        <f ca="1">IFERROR(__xludf.DUMMYFUNCTION("""COMPUTED_VALUE"""),54)</f>
        <v>54</v>
      </c>
      <c r="L720" s="79" t="str">
        <f ca="1">IFERROR(__xludf.DUMMYFUNCTION("""COMPUTED_VALUE"""),"TRIMESTRE 1")</f>
        <v>TRIMESTRE 1</v>
      </c>
      <c r="M720" s="79" t="str">
        <f ca="1">IFERROR(__xludf.DUMMYFUNCTION("""COMPUTED_VALUE"""),"ADULTA MAYOR MUJER")</f>
        <v>ADULTA MAYOR MUJER</v>
      </c>
    </row>
    <row r="721" spans="1:13">
      <c r="A721" s="79" t="str">
        <f ca="1">IFERROR(__xludf.DUMMYFUNCTION("""COMPUTED_VALUE"""),"6.1.5.2")</f>
        <v>6.1.5.2</v>
      </c>
      <c r="B721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21" s="79" t="str">
        <f ca="1">IFERROR(__xludf.DUMMYFUNCTION("""COMPUTED_VALUE"""),"5. Inclusión")</f>
        <v>5. Inclusión</v>
      </c>
      <c r="D721" s="79" t="str">
        <f ca="1">IFERROR(__xludf.DUMMYFUNCTION("""COMPUTED_VALUE"""),"Guadalajara sin Barreras")</f>
        <v>Guadalajara sin Barreras</v>
      </c>
      <c r="E721" s="79" t="str">
        <f ca="1">IFERROR(__xludf.DUMMYFUNCTION("""COMPUTED_VALUE"""),"Atención Integral para Personas con Discapacidad")</f>
        <v>Atención Integral para Personas con Discapacidad</v>
      </c>
      <c r="F721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21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21" s="79" t="str">
        <f ca="1">IFERROR(__xludf.DUMMYFUNCTION("""COMPUTED_VALUE"""),"AMH Febrero")</f>
        <v>AMH Febrero</v>
      </c>
      <c r="I721" s="79" t="str">
        <f ca="1">IFERROR(__xludf.DUMMYFUNCTION("""COMPUTED_VALUE"""),"Febrero")</f>
        <v>Febrero</v>
      </c>
      <c r="J721" s="79" t="str">
        <f ca="1">IFERROR(__xludf.DUMMYFUNCTION("""COMPUTED_VALUE"""),"AMH")</f>
        <v>AMH</v>
      </c>
      <c r="K721" s="80">
        <f ca="1">IFERROR(__xludf.DUMMYFUNCTION("""COMPUTED_VALUE"""),19)</f>
        <v>19</v>
      </c>
      <c r="L721" s="79" t="str">
        <f ca="1">IFERROR(__xludf.DUMMYFUNCTION("""COMPUTED_VALUE"""),"TRIMESTRE 1")</f>
        <v>TRIMESTRE 1</v>
      </c>
      <c r="M721" s="79" t="str">
        <f ca="1">IFERROR(__xludf.DUMMYFUNCTION("""COMPUTED_VALUE"""),"ADULTO MAYOR HOMBRE")</f>
        <v>ADULTO MAYOR HOMBRE</v>
      </c>
    </row>
    <row r="722" spans="1:13">
      <c r="A722" s="79" t="str">
        <f ca="1">IFERROR(__xludf.DUMMYFUNCTION("""COMPUTED_VALUE"""),"6.1.5.0")</f>
        <v>6.1.5.0</v>
      </c>
      <c r="B722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2" s="79" t="str">
        <f ca="1">IFERROR(__xludf.DUMMYFUNCTION("""COMPUTED_VALUE"""),"5. Inclusión")</f>
        <v>5. Inclusión</v>
      </c>
      <c r="D722" s="79" t="str">
        <f ca="1">IFERROR(__xludf.DUMMYFUNCTION("""COMPUTED_VALUE"""),"Guadalajara sin Barreras")</f>
        <v>Guadalajara sin Barreras</v>
      </c>
      <c r="E722" s="79" t="str">
        <f ca="1">IFERROR(__xludf.DUMMYFUNCTION("""COMPUTED_VALUE"""),"Atención Integral para Personas con Discapacidad")</f>
        <v>Atención Integral para Personas con Discapacidad</v>
      </c>
      <c r="F722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2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2" s="79" t="str">
        <f ca="1">IFERROR(__xludf.DUMMYFUNCTION("""COMPUTED_VALUE"""),"NAS Marzo")</f>
        <v>NAS Marzo</v>
      </c>
      <c r="I722" s="79" t="str">
        <f ca="1">IFERROR(__xludf.DUMMYFUNCTION("""COMPUTED_VALUE"""),"Marzo")</f>
        <v>Marzo</v>
      </c>
      <c r="J722" s="79" t="str">
        <f ca="1">IFERROR(__xludf.DUMMYFUNCTION("""COMPUTED_VALUE"""),"NAS")</f>
        <v>NAS</v>
      </c>
      <c r="K722" s="80">
        <f ca="1">IFERROR(__xludf.DUMMYFUNCTION("""COMPUTED_VALUE"""),3)</f>
        <v>3</v>
      </c>
      <c r="L722" s="79" t="str">
        <f ca="1">IFERROR(__xludf.DUMMYFUNCTION("""COMPUTED_VALUE"""),"TRIMESTRE 1")</f>
        <v>TRIMESTRE 1</v>
      </c>
      <c r="M722" s="79" t="str">
        <f ca="1">IFERROR(__xludf.DUMMYFUNCTION("""COMPUTED_VALUE"""),"NIÑAS")</f>
        <v>NIÑAS</v>
      </c>
    </row>
    <row r="723" spans="1:13">
      <c r="A723" s="79" t="str">
        <f ca="1">IFERROR(__xludf.DUMMYFUNCTION("""COMPUTED_VALUE"""),"6.1.5.0")</f>
        <v>6.1.5.0</v>
      </c>
      <c r="B723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3" s="79" t="str">
        <f ca="1">IFERROR(__xludf.DUMMYFUNCTION("""COMPUTED_VALUE"""),"5. Inclusión")</f>
        <v>5. Inclusión</v>
      </c>
      <c r="D723" s="79" t="str">
        <f ca="1">IFERROR(__xludf.DUMMYFUNCTION("""COMPUTED_VALUE"""),"Guadalajara sin Barreras")</f>
        <v>Guadalajara sin Barreras</v>
      </c>
      <c r="E723" s="79" t="str">
        <f ca="1">IFERROR(__xludf.DUMMYFUNCTION("""COMPUTED_VALUE"""),"Atención Integral para Personas con Discapacidad")</f>
        <v>Atención Integral para Personas con Discapacidad</v>
      </c>
      <c r="F723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3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3" s="79" t="str">
        <f ca="1">IFERROR(__xludf.DUMMYFUNCTION("""COMPUTED_VALUE"""),"NOS Marzo")</f>
        <v>NOS Marzo</v>
      </c>
      <c r="I723" s="79" t="str">
        <f ca="1">IFERROR(__xludf.DUMMYFUNCTION("""COMPUTED_VALUE"""),"Marzo")</f>
        <v>Marzo</v>
      </c>
      <c r="J723" s="79" t="str">
        <f ca="1">IFERROR(__xludf.DUMMYFUNCTION("""COMPUTED_VALUE"""),"NOS")</f>
        <v>NOS</v>
      </c>
      <c r="K723" s="80">
        <f ca="1">IFERROR(__xludf.DUMMYFUNCTION("""COMPUTED_VALUE"""),7)</f>
        <v>7</v>
      </c>
      <c r="L723" s="79" t="str">
        <f ca="1">IFERROR(__xludf.DUMMYFUNCTION("""COMPUTED_VALUE"""),"TRIMESTRE 1")</f>
        <v>TRIMESTRE 1</v>
      </c>
      <c r="M723" s="79" t="str">
        <f ca="1">IFERROR(__xludf.DUMMYFUNCTION("""COMPUTED_VALUE"""),"NIÑOS")</f>
        <v>NIÑOS</v>
      </c>
    </row>
    <row r="724" spans="1:13">
      <c r="A724" s="79" t="str">
        <f ca="1">IFERROR(__xludf.DUMMYFUNCTION("""COMPUTED_VALUE"""),"6.1.5.0")</f>
        <v>6.1.5.0</v>
      </c>
      <c r="B724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4" s="79" t="str">
        <f ca="1">IFERROR(__xludf.DUMMYFUNCTION("""COMPUTED_VALUE"""),"5. Inclusión")</f>
        <v>5. Inclusión</v>
      </c>
      <c r="D724" s="79" t="str">
        <f ca="1">IFERROR(__xludf.DUMMYFUNCTION("""COMPUTED_VALUE"""),"Guadalajara sin Barreras")</f>
        <v>Guadalajara sin Barreras</v>
      </c>
      <c r="E724" s="79" t="str">
        <f ca="1">IFERROR(__xludf.DUMMYFUNCTION("""COMPUTED_VALUE"""),"Atención Integral para Personas con Discapacidad")</f>
        <v>Atención Integral para Personas con Discapacidad</v>
      </c>
      <c r="F724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4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4" s="79" t="str">
        <f ca="1">IFERROR(__xludf.DUMMYFUNCTION("""COMPUTED_VALUE"""),"AM MARZO")</f>
        <v>AM MARZO</v>
      </c>
      <c r="I724" s="79" t="str">
        <f ca="1">IFERROR(__xludf.DUMMYFUNCTION("""COMPUTED_VALUE"""),"Marzo")</f>
        <v>Marzo</v>
      </c>
      <c r="J724" s="79" t="str">
        <f ca="1">IFERROR(__xludf.DUMMYFUNCTION("""COMPUTED_VALUE"""),"AM")</f>
        <v>AM</v>
      </c>
      <c r="K724" s="80">
        <f ca="1">IFERROR(__xludf.DUMMYFUNCTION("""COMPUTED_VALUE"""),2)</f>
        <v>2</v>
      </c>
      <c r="L724" s="79" t="str">
        <f ca="1">IFERROR(__xludf.DUMMYFUNCTION("""COMPUTED_VALUE"""),"TRIMESTRE 1")</f>
        <v>TRIMESTRE 1</v>
      </c>
      <c r="M724" s="79" t="str">
        <f ca="1">IFERROR(__xludf.DUMMYFUNCTION("""COMPUTED_VALUE"""),"ADOLESCENTES MUJERES")</f>
        <v>ADOLESCENTES MUJERES</v>
      </c>
    </row>
    <row r="725" spans="1:13">
      <c r="A725" s="79" t="str">
        <f ca="1">IFERROR(__xludf.DUMMYFUNCTION("""COMPUTED_VALUE"""),"6.1.5.0")</f>
        <v>6.1.5.0</v>
      </c>
      <c r="B725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5" s="79" t="str">
        <f ca="1">IFERROR(__xludf.DUMMYFUNCTION("""COMPUTED_VALUE"""),"5. Inclusión")</f>
        <v>5. Inclusión</v>
      </c>
      <c r="D725" s="79" t="str">
        <f ca="1">IFERROR(__xludf.DUMMYFUNCTION("""COMPUTED_VALUE"""),"Guadalajara sin Barreras")</f>
        <v>Guadalajara sin Barreras</v>
      </c>
      <c r="E725" s="79" t="str">
        <f ca="1">IFERROR(__xludf.DUMMYFUNCTION("""COMPUTED_VALUE"""),"Atención Integral para Personas con Discapacidad")</f>
        <v>Atención Integral para Personas con Discapacidad</v>
      </c>
      <c r="F725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5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5" s="79" t="str">
        <f ca="1">IFERROR(__xludf.DUMMYFUNCTION("""COMPUTED_VALUE"""),"AH MARZO")</f>
        <v>AH MARZO</v>
      </c>
      <c r="I725" s="79" t="str">
        <f ca="1">IFERROR(__xludf.DUMMYFUNCTION("""COMPUTED_VALUE"""),"Marzo")</f>
        <v>Marzo</v>
      </c>
      <c r="J725" s="79" t="str">
        <f ca="1">IFERROR(__xludf.DUMMYFUNCTION("""COMPUTED_VALUE"""),"AH")</f>
        <v>AH</v>
      </c>
      <c r="K725" s="80">
        <f ca="1">IFERROR(__xludf.DUMMYFUNCTION("""COMPUTED_VALUE"""),16)</f>
        <v>16</v>
      </c>
      <c r="L725" s="79" t="str">
        <f ca="1">IFERROR(__xludf.DUMMYFUNCTION("""COMPUTED_VALUE"""),"TRIMESTRE 1")</f>
        <v>TRIMESTRE 1</v>
      </c>
      <c r="M725" s="79" t="str">
        <f ca="1">IFERROR(__xludf.DUMMYFUNCTION("""COMPUTED_VALUE"""),"ADOLESCENTES HOMBRES")</f>
        <v>ADOLESCENTES HOMBRES</v>
      </c>
    </row>
    <row r="726" spans="1:13">
      <c r="A726" s="79" t="str">
        <f ca="1">IFERROR(__xludf.DUMMYFUNCTION("""COMPUTED_VALUE"""),"6.1.5.0")</f>
        <v>6.1.5.0</v>
      </c>
      <c r="B726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6" s="79" t="str">
        <f ca="1">IFERROR(__xludf.DUMMYFUNCTION("""COMPUTED_VALUE"""),"5. Inclusión")</f>
        <v>5. Inclusión</v>
      </c>
      <c r="D726" s="79" t="str">
        <f ca="1">IFERROR(__xludf.DUMMYFUNCTION("""COMPUTED_VALUE"""),"Guadalajara sin Barreras")</f>
        <v>Guadalajara sin Barreras</v>
      </c>
      <c r="E726" s="79" t="str">
        <f ca="1">IFERROR(__xludf.DUMMYFUNCTION("""COMPUTED_VALUE"""),"Atención Integral para Personas con Discapacidad")</f>
        <v>Atención Integral para Personas con Discapacidad</v>
      </c>
      <c r="F726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6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6" s="79" t="str">
        <f ca="1">IFERROR(__xludf.DUMMYFUNCTION("""COMPUTED_VALUE"""),"MUJ Marzo")</f>
        <v>MUJ Marzo</v>
      </c>
      <c r="I726" s="79" t="str">
        <f ca="1">IFERROR(__xludf.DUMMYFUNCTION("""COMPUTED_VALUE"""),"Marzo")</f>
        <v>Marzo</v>
      </c>
      <c r="J726" s="79" t="str">
        <f ca="1">IFERROR(__xludf.DUMMYFUNCTION("""COMPUTED_VALUE"""),"MUJ")</f>
        <v>MUJ</v>
      </c>
      <c r="K726" s="80">
        <f ca="1">IFERROR(__xludf.DUMMYFUNCTION("""COMPUTED_VALUE"""),143)</f>
        <v>143</v>
      </c>
      <c r="L726" s="79" t="str">
        <f ca="1">IFERROR(__xludf.DUMMYFUNCTION("""COMPUTED_VALUE"""),"TRIMESTRE 1")</f>
        <v>TRIMESTRE 1</v>
      </c>
      <c r="M726" s="79" t="str">
        <f ca="1">IFERROR(__xludf.DUMMYFUNCTION("""COMPUTED_VALUE"""),"MUJERES ADULTAS")</f>
        <v>MUJERES ADULTAS</v>
      </c>
    </row>
    <row r="727" spans="1:13">
      <c r="A727" s="79" t="str">
        <f ca="1">IFERROR(__xludf.DUMMYFUNCTION("""COMPUTED_VALUE"""),"6.1.5.0")</f>
        <v>6.1.5.0</v>
      </c>
      <c r="B727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7" s="79" t="str">
        <f ca="1">IFERROR(__xludf.DUMMYFUNCTION("""COMPUTED_VALUE"""),"5. Inclusión")</f>
        <v>5. Inclusión</v>
      </c>
      <c r="D727" s="79" t="str">
        <f ca="1">IFERROR(__xludf.DUMMYFUNCTION("""COMPUTED_VALUE"""),"Guadalajara sin Barreras")</f>
        <v>Guadalajara sin Barreras</v>
      </c>
      <c r="E727" s="79" t="str">
        <f ca="1">IFERROR(__xludf.DUMMYFUNCTION("""COMPUTED_VALUE"""),"Atención Integral para Personas con Discapacidad")</f>
        <v>Atención Integral para Personas con Discapacidad</v>
      </c>
      <c r="F727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7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7" s="79" t="str">
        <f ca="1">IFERROR(__xludf.DUMMYFUNCTION("""COMPUTED_VALUE"""),"HOM Marzo")</f>
        <v>HOM Marzo</v>
      </c>
      <c r="I727" s="79" t="str">
        <f ca="1">IFERROR(__xludf.DUMMYFUNCTION("""COMPUTED_VALUE"""),"Marzo")</f>
        <v>Marzo</v>
      </c>
      <c r="J727" s="79" t="str">
        <f ca="1">IFERROR(__xludf.DUMMYFUNCTION("""COMPUTED_VALUE"""),"HOM")</f>
        <v>HOM</v>
      </c>
      <c r="K727" s="80">
        <f ca="1">IFERROR(__xludf.DUMMYFUNCTION("""COMPUTED_VALUE"""),80)</f>
        <v>80</v>
      </c>
      <c r="L727" s="79" t="str">
        <f ca="1">IFERROR(__xludf.DUMMYFUNCTION("""COMPUTED_VALUE"""),"TRIMESTRE 1")</f>
        <v>TRIMESTRE 1</v>
      </c>
      <c r="M727" s="79" t="str">
        <f ca="1">IFERROR(__xludf.DUMMYFUNCTION("""COMPUTED_VALUE"""),"HOMBRES ADULTOS")</f>
        <v>HOMBRES ADULTOS</v>
      </c>
    </row>
    <row r="728" spans="1:13">
      <c r="A728" s="79" t="str">
        <f ca="1">IFERROR(__xludf.DUMMYFUNCTION("""COMPUTED_VALUE"""),"6.1.5.0")</f>
        <v>6.1.5.0</v>
      </c>
      <c r="B728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8" s="79" t="str">
        <f ca="1">IFERROR(__xludf.DUMMYFUNCTION("""COMPUTED_VALUE"""),"5. Inclusión")</f>
        <v>5. Inclusión</v>
      </c>
      <c r="D728" s="79" t="str">
        <f ca="1">IFERROR(__xludf.DUMMYFUNCTION("""COMPUTED_VALUE"""),"Guadalajara sin Barreras")</f>
        <v>Guadalajara sin Barreras</v>
      </c>
      <c r="E728" s="79" t="str">
        <f ca="1">IFERROR(__xludf.DUMMYFUNCTION("""COMPUTED_VALUE"""),"Atención Integral para Personas con Discapacidad")</f>
        <v>Atención Integral para Personas con Discapacidad</v>
      </c>
      <c r="F728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8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8" s="79" t="str">
        <f ca="1">IFERROR(__xludf.DUMMYFUNCTION("""COMPUTED_VALUE"""),"AMM Marzo")</f>
        <v>AMM Marzo</v>
      </c>
      <c r="I728" s="79" t="str">
        <f ca="1">IFERROR(__xludf.DUMMYFUNCTION("""COMPUTED_VALUE"""),"Marzo")</f>
        <v>Marzo</v>
      </c>
      <c r="J728" s="79" t="str">
        <f ca="1">IFERROR(__xludf.DUMMYFUNCTION("""COMPUTED_VALUE"""),"AMM")</f>
        <v>AMM</v>
      </c>
      <c r="K728" s="80">
        <f ca="1">IFERROR(__xludf.DUMMYFUNCTION("""COMPUTED_VALUE"""),356)</f>
        <v>356</v>
      </c>
      <c r="L728" s="79" t="str">
        <f ca="1">IFERROR(__xludf.DUMMYFUNCTION("""COMPUTED_VALUE"""),"TRIMESTRE 1")</f>
        <v>TRIMESTRE 1</v>
      </c>
      <c r="M728" s="79" t="str">
        <f ca="1">IFERROR(__xludf.DUMMYFUNCTION("""COMPUTED_VALUE"""),"ADULTA MAYOR MUJER")</f>
        <v>ADULTA MAYOR MUJER</v>
      </c>
    </row>
    <row r="729" spans="1:13">
      <c r="A729" s="79" t="str">
        <f ca="1">IFERROR(__xludf.DUMMYFUNCTION("""COMPUTED_VALUE"""),"6.1.5.0")</f>
        <v>6.1.5.0</v>
      </c>
      <c r="B729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29" s="79" t="str">
        <f ca="1">IFERROR(__xludf.DUMMYFUNCTION("""COMPUTED_VALUE"""),"5. Inclusión")</f>
        <v>5. Inclusión</v>
      </c>
      <c r="D729" s="79" t="str">
        <f ca="1">IFERROR(__xludf.DUMMYFUNCTION("""COMPUTED_VALUE"""),"Guadalajara sin Barreras")</f>
        <v>Guadalajara sin Barreras</v>
      </c>
      <c r="E729" s="79" t="str">
        <f ca="1">IFERROR(__xludf.DUMMYFUNCTION("""COMPUTED_VALUE"""),"Atención Integral para Personas con Discapacidad")</f>
        <v>Atención Integral para Personas con Discapacidad</v>
      </c>
      <c r="F729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29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29" s="79" t="str">
        <f ca="1">IFERROR(__xludf.DUMMYFUNCTION("""COMPUTED_VALUE"""),"AMH Marzo")</f>
        <v>AMH Marzo</v>
      </c>
      <c r="I729" s="79" t="str">
        <f ca="1">IFERROR(__xludf.DUMMYFUNCTION("""COMPUTED_VALUE"""),"Marzo")</f>
        <v>Marzo</v>
      </c>
      <c r="J729" s="79" t="str">
        <f ca="1">IFERROR(__xludf.DUMMYFUNCTION("""COMPUTED_VALUE"""),"AMH")</f>
        <v>AMH</v>
      </c>
      <c r="K729" s="80">
        <f ca="1">IFERROR(__xludf.DUMMYFUNCTION("""COMPUTED_VALUE"""),55)</f>
        <v>55</v>
      </c>
      <c r="L729" s="79" t="str">
        <f ca="1">IFERROR(__xludf.DUMMYFUNCTION("""COMPUTED_VALUE"""),"TRIMESTRE 1")</f>
        <v>TRIMESTRE 1</v>
      </c>
      <c r="M729" s="79" t="str">
        <f ca="1">IFERROR(__xludf.DUMMYFUNCTION("""COMPUTED_VALUE"""),"ADULTO MAYOR HOMBRE")</f>
        <v>ADULTO MAYOR HOMBRE</v>
      </c>
    </row>
    <row r="730" spans="1:13">
      <c r="A730" s="79" t="str">
        <f ca="1">IFERROR(__xludf.DUMMYFUNCTION("""COMPUTED_VALUE"""),"6.1.5.1")</f>
        <v>6.1.5.1</v>
      </c>
      <c r="B730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0" s="79" t="str">
        <f ca="1">IFERROR(__xludf.DUMMYFUNCTION("""COMPUTED_VALUE"""),"5. Inclusión")</f>
        <v>5. Inclusión</v>
      </c>
      <c r="D730" s="79" t="str">
        <f ca="1">IFERROR(__xludf.DUMMYFUNCTION("""COMPUTED_VALUE"""),"Guadalajara sin Barreras")</f>
        <v>Guadalajara sin Barreras</v>
      </c>
      <c r="E730" s="79" t="str">
        <f ca="1">IFERROR(__xludf.DUMMYFUNCTION("""COMPUTED_VALUE"""),"Atención Integral para Personas con Discapacidad")</f>
        <v>Atención Integral para Personas con Discapacidad</v>
      </c>
      <c r="F730" s="79" t="str">
        <f ca="1">IFERROR(__xludf.DUMMYFUNCTION("""COMPUTED_VALUE"""),"A1C5. Sesiones de terapia física brindadas en el Centro CAIPED en 2024")</f>
        <v>A1C5. Sesiones de terapia física brindadas en el Centro CAIPED en 2024</v>
      </c>
      <c r="G730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0" s="79" t="str">
        <f ca="1">IFERROR(__xludf.DUMMYFUNCTION("""COMPUTED_VALUE"""),"NAS Marzo")</f>
        <v>NAS Marzo</v>
      </c>
      <c r="I730" s="79" t="str">
        <f ca="1">IFERROR(__xludf.DUMMYFUNCTION("""COMPUTED_VALUE"""),"Marzo")</f>
        <v>Marzo</v>
      </c>
      <c r="J730" s="79" t="str">
        <f ca="1">IFERROR(__xludf.DUMMYFUNCTION("""COMPUTED_VALUE"""),"NAS")</f>
        <v>NAS</v>
      </c>
      <c r="K730" s="80">
        <f ca="1">IFERROR(__xludf.DUMMYFUNCTION("""COMPUTED_VALUE"""),1)</f>
        <v>1</v>
      </c>
      <c r="L730" s="79" t="str">
        <f ca="1">IFERROR(__xludf.DUMMYFUNCTION("""COMPUTED_VALUE"""),"TRIMESTRE 1")</f>
        <v>TRIMESTRE 1</v>
      </c>
      <c r="M730" s="79" t="str">
        <f ca="1">IFERROR(__xludf.DUMMYFUNCTION("""COMPUTED_VALUE"""),"NIÑAS")</f>
        <v>NIÑAS</v>
      </c>
    </row>
    <row r="731" spans="1:13">
      <c r="A731" s="79" t="str">
        <f ca="1">IFERROR(__xludf.DUMMYFUNCTION("""COMPUTED_VALUE"""),"6.1.5.1")</f>
        <v>6.1.5.1</v>
      </c>
      <c r="B731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1" s="79" t="str">
        <f ca="1">IFERROR(__xludf.DUMMYFUNCTION("""COMPUTED_VALUE"""),"5. Inclusión")</f>
        <v>5. Inclusión</v>
      </c>
      <c r="D731" s="79" t="str">
        <f ca="1">IFERROR(__xludf.DUMMYFUNCTION("""COMPUTED_VALUE"""),"Guadalajara sin Barreras")</f>
        <v>Guadalajara sin Barreras</v>
      </c>
      <c r="E731" s="79" t="str">
        <f ca="1">IFERROR(__xludf.DUMMYFUNCTION("""COMPUTED_VALUE"""),"Atención Integral para Personas con Discapacidad")</f>
        <v>Atención Integral para Personas con Discapacidad</v>
      </c>
      <c r="F731" s="79" t="str">
        <f ca="1">IFERROR(__xludf.DUMMYFUNCTION("""COMPUTED_VALUE"""),"A1C5. Sesiones de terapia física brindadas en el Centro CAIPED en 2024")</f>
        <v>A1C5. Sesiones de terapia física brindadas en el Centro CAIPED en 2024</v>
      </c>
      <c r="G731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1" s="79" t="str">
        <f ca="1">IFERROR(__xludf.DUMMYFUNCTION("""COMPUTED_VALUE"""),"NOS Marzo")</f>
        <v>NOS Marzo</v>
      </c>
      <c r="I731" s="79" t="str">
        <f ca="1">IFERROR(__xludf.DUMMYFUNCTION("""COMPUTED_VALUE"""),"Marzo")</f>
        <v>Marzo</v>
      </c>
      <c r="J731" s="79" t="str">
        <f ca="1">IFERROR(__xludf.DUMMYFUNCTION("""COMPUTED_VALUE"""),"NOS")</f>
        <v>NOS</v>
      </c>
      <c r="K731" s="80">
        <f ca="1">IFERROR(__xludf.DUMMYFUNCTION("""COMPUTED_VALUE"""),3)</f>
        <v>3</v>
      </c>
      <c r="L731" s="79" t="str">
        <f ca="1">IFERROR(__xludf.DUMMYFUNCTION("""COMPUTED_VALUE"""),"TRIMESTRE 1")</f>
        <v>TRIMESTRE 1</v>
      </c>
      <c r="M731" s="79" t="str">
        <f ca="1">IFERROR(__xludf.DUMMYFUNCTION("""COMPUTED_VALUE"""),"NIÑOS")</f>
        <v>NIÑOS</v>
      </c>
    </row>
    <row r="732" spans="1:13">
      <c r="A732" s="79" t="str">
        <f ca="1">IFERROR(__xludf.DUMMYFUNCTION("""COMPUTED_VALUE"""),"6.1.5.1")</f>
        <v>6.1.5.1</v>
      </c>
      <c r="B732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2" s="79" t="str">
        <f ca="1">IFERROR(__xludf.DUMMYFUNCTION("""COMPUTED_VALUE"""),"5. Inclusión")</f>
        <v>5. Inclusión</v>
      </c>
      <c r="D732" s="79" t="str">
        <f ca="1">IFERROR(__xludf.DUMMYFUNCTION("""COMPUTED_VALUE"""),"Guadalajara sin Barreras")</f>
        <v>Guadalajara sin Barreras</v>
      </c>
      <c r="E732" s="79" t="str">
        <f ca="1">IFERROR(__xludf.DUMMYFUNCTION("""COMPUTED_VALUE"""),"Atención Integral para Personas con Discapacidad")</f>
        <v>Atención Integral para Personas con Discapacidad</v>
      </c>
      <c r="F732" s="79" t="str">
        <f ca="1">IFERROR(__xludf.DUMMYFUNCTION("""COMPUTED_VALUE"""),"A1C5. Sesiones de terapia física brindadas en el Centro CAIPED en 2024")</f>
        <v>A1C5. Sesiones de terapia física brindadas en el Centro CAIPED en 2024</v>
      </c>
      <c r="G732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2" s="79" t="str">
        <f ca="1">IFERROR(__xludf.DUMMYFUNCTION("""COMPUTED_VALUE"""),"AM MARZO")</f>
        <v>AM MARZO</v>
      </c>
      <c r="I732" s="79" t="str">
        <f ca="1">IFERROR(__xludf.DUMMYFUNCTION("""COMPUTED_VALUE"""),"Marzo")</f>
        <v>Marzo</v>
      </c>
      <c r="J732" s="79" t="str">
        <f ca="1">IFERROR(__xludf.DUMMYFUNCTION("""COMPUTED_VALUE"""),"AM")</f>
        <v>AM</v>
      </c>
      <c r="K732" s="80">
        <f ca="1">IFERROR(__xludf.DUMMYFUNCTION("""COMPUTED_VALUE"""),0)</f>
        <v>0</v>
      </c>
      <c r="L732" s="79" t="str">
        <f ca="1">IFERROR(__xludf.DUMMYFUNCTION("""COMPUTED_VALUE"""),"TRIMESTRE 1")</f>
        <v>TRIMESTRE 1</v>
      </c>
      <c r="M732" s="79" t="str">
        <f ca="1">IFERROR(__xludf.DUMMYFUNCTION("""COMPUTED_VALUE"""),"ADOLESCENTES MUJERES")</f>
        <v>ADOLESCENTES MUJERES</v>
      </c>
    </row>
    <row r="733" spans="1:13">
      <c r="A733" s="79" t="str">
        <f ca="1">IFERROR(__xludf.DUMMYFUNCTION("""COMPUTED_VALUE"""),"6.1.5.1")</f>
        <v>6.1.5.1</v>
      </c>
      <c r="B733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3" s="79" t="str">
        <f ca="1">IFERROR(__xludf.DUMMYFUNCTION("""COMPUTED_VALUE"""),"5. Inclusión")</f>
        <v>5. Inclusión</v>
      </c>
      <c r="D733" s="79" t="str">
        <f ca="1">IFERROR(__xludf.DUMMYFUNCTION("""COMPUTED_VALUE"""),"Guadalajara sin Barreras")</f>
        <v>Guadalajara sin Barreras</v>
      </c>
      <c r="E733" s="79" t="str">
        <f ca="1">IFERROR(__xludf.DUMMYFUNCTION("""COMPUTED_VALUE"""),"Atención Integral para Personas con Discapacidad")</f>
        <v>Atención Integral para Personas con Discapacidad</v>
      </c>
      <c r="F733" s="79" t="str">
        <f ca="1">IFERROR(__xludf.DUMMYFUNCTION("""COMPUTED_VALUE"""),"A1C5. Sesiones de terapia física brindadas en el Centro CAIPED en 2024")</f>
        <v>A1C5. Sesiones de terapia física brindadas en el Centro CAIPED en 2024</v>
      </c>
      <c r="G733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3" s="79" t="str">
        <f ca="1">IFERROR(__xludf.DUMMYFUNCTION("""COMPUTED_VALUE"""),"AH MARZO")</f>
        <v>AH MARZO</v>
      </c>
      <c r="I733" s="79" t="str">
        <f ca="1">IFERROR(__xludf.DUMMYFUNCTION("""COMPUTED_VALUE"""),"Marzo")</f>
        <v>Marzo</v>
      </c>
      <c r="J733" s="79" t="str">
        <f ca="1">IFERROR(__xludf.DUMMYFUNCTION("""COMPUTED_VALUE"""),"AH")</f>
        <v>AH</v>
      </c>
      <c r="K733" s="80">
        <f ca="1">IFERROR(__xludf.DUMMYFUNCTION("""COMPUTED_VALUE"""),5)</f>
        <v>5</v>
      </c>
      <c r="L733" s="79" t="str">
        <f ca="1">IFERROR(__xludf.DUMMYFUNCTION("""COMPUTED_VALUE"""),"TRIMESTRE 1")</f>
        <v>TRIMESTRE 1</v>
      </c>
      <c r="M733" s="79" t="str">
        <f ca="1">IFERROR(__xludf.DUMMYFUNCTION("""COMPUTED_VALUE"""),"ADOLESCENTES HOMBRES")</f>
        <v>ADOLESCENTES HOMBRES</v>
      </c>
    </row>
    <row r="734" spans="1:13">
      <c r="A734" s="79" t="str">
        <f ca="1">IFERROR(__xludf.DUMMYFUNCTION("""COMPUTED_VALUE"""),"6.1.5.1")</f>
        <v>6.1.5.1</v>
      </c>
      <c r="B734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4" s="79" t="str">
        <f ca="1">IFERROR(__xludf.DUMMYFUNCTION("""COMPUTED_VALUE"""),"5. Inclusión")</f>
        <v>5. Inclusión</v>
      </c>
      <c r="D734" s="79" t="str">
        <f ca="1">IFERROR(__xludf.DUMMYFUNCTION("""COMPUTED_VALUE"""),"Guadalajara sin Barreras")</f>
        <v>Guadalajara sin Barreras</v>
      </c>
      <c r="E734" s="79" t="str">
        <f ca="1">IFERROR(__xludf.DUMMYFUNCTION("""COMPUTED_VALUE"""),"Atención Integral para Personas con Discapacidad")</f>
        <v>Atención Integral para Personas con Discapacidad</v>
      </c>
      <c r="F734" s="79" t="str">
        <f ca="1">IFERROR(__xludf.DUMMYFUNCTION("""COMPUTED_VALUE"""),"A1C5. Sesiones de terapia física brindadas en el Centro CAIPED en 2024")</f>
        <v>A1C5. Sesiones de terapia física brindadas en el Centro CAIPED en 2024</v>
      </c>
      <c r="G734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4" s="79" t="str">
        <f ca="1">IFERROR(__xludf.DUMMYFUNCTION("""COMPUTED_VALUE"""),"MUJ Marzo")</f>
        <v>MUJ Marzo</v>
      </c>
      <c r="I734" s="79" t="str">
        <f ca="1">IFERROR(__xludf.DUMMYFUNCTION("""COMPUTED_VALUE"""),"Marzo")</f>
        <v>Marzo</v>
      </c>
      <c r="J734" s="79" t="str">
        <f ca="1">IFERROR(__xludf.DUMMYFUNCTION("""COMPUTED_VALUE"""),"MUJ")</f>
        <v>MUJ</v>
      </c>
      <c r="K734" s="80">
        <f ca="1">IFERROR(__xludf.DUMMYFUNCTION("""COMPUTED_VALUE"""),122)</f>
        <v>122</v>
      </c>
      <c r="L734" s="79" t="str">
        <f ca="1">IFERROR(__xludf.DUMMYFUNCTION("""COMPUTED_VALUE"""),"TRIMESTRE 1")</f>
        <v>TRIMESTRE 1</v>
      </c>
      <c r="M734" s="79" t="str">
        <f ca="1">IFERROR(__xludf.DUMMYFUNCTION("""COMPUTED_VALUE"""),"MUJERES ADULTAS")</f>
        <v>MUJERES ADULTAS</v>
      </c>
    </row>
    <row r="735" spans="1:13">
      <c r="A735" s="79" t="str">
        <f ca="1">IFERROR(__xludf.DUMMYFUNCTION("""COMPUTED_VALUE"""),"6.1.5.1")</f>
        <v>6.1.5.1</v>
      </c>
      <c r="B735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5" s="79" t="str">
        <f ca="1">IFERROR(__xludf.DUMMYFUNCTION("""COMPUTED_VALUE"""),"5. Inclusión")</f>
        <v>5. Inclusión</v>
      </c>
      <c r="D735" s="79" t="str">
        <f ca="1">IFERROR(__xludf.DUMMYFUNCTION("""COMPUTED_VALUE"""),"Guadalajara sin Barreras")</f>
        <v>Guadalajara sin Barreras</v>
      </c>
      <c r="E735" s="79" t="str">
        <f ca="1">IFERROR(__xludf.DUMMYFUNCTION("""COMPUTED_VALUE"""),"Atención Integral para Personas con Discapacidad")</f>
        <v>Atención Integral para Personas con Discapacidad</v>
      </c>
      <c r="F735" s="79" t="str">
        <f ca="1">IFERROR(__xludf.DUMMYFUNCTION("""COMPUTED_VALUE"""),"A1C5. Sesiones de terapia física brindadas en el Centro CAIPED en 2024")</f>
        <v>A1C5. Sesiones de terapia física brindadas en el Centro CAIPED en 2024</v>
      </c>
      <c r="G735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5" s="79" t="str">
        <f ca="1">IFERROR(__xludf.DUMMYFUNCTION("""COMPUTED_VALUE"""),"HOM Marzo")</f>
        <v>HOM Marzo</v>
      </c>
      <c r="I735" s="79" t="str">
        <f ca="1">IFERROR(__xludf.DUMMYFUNCTION("""COMPUTED_VALUE"""),"Marzo")</f>
        <v>Marzo</v>
      </c>
      <c r="J735" s="79" t="str">
        <f ca="1">IFERROR(__xludf.DUMMYFUNCTION("""COMPUTED_VALUE"""),"HOM")</f>
        <v>HOM</v>
      </c>
      <c r="K735" s="80">
        <f ca="1">IFERROR(__xludf.DUMMYFUNCTION("""COMPUTED_VALUE"""),67)</f>
        <v>67</v>
      </c>
      <c r="L735" s="79" t="str">
        <f ca="1">IFERROR(__xludf.DUMMYFUNCTION("""COMPUTED_VALUE"""),"TRIMESTRE 1")</f>
        <v>TRIMESTRE 1</v>
      </c>
      <c r="M735" s="79" t="str">
        <f ca="1">IFERROR(__xludf.DUMMYFUNCTION("""COMPUTED_VALUE"""),"HOMBRES ADULTOS")</f>
        <v>HOMBRES ADULTOS</v>
      </c>
    </row>
    <row r="736" spans="1:13">
      <c r="A736" s="79" t="str">
        <f ca="1">IFERROR(__xludf.DUMMYFUNCTION("""COMPUTED_VALUE"""),"6.1.5.1")</f>
        <v>6.1.5.1</v>
      </c>
      <c r="B736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6" s="79" t="str">
        <f ca="1">IFERROR(__xludf.DUMMYFUNCTION("""COMPUTED_VALUE"""),"5. Inclusión")</f>
        <v>5. Inclusión</v>
      </c>
      <c r="D736" s="79" t="str">
        <f ca="1">IFERROR(__xludf.DUMMYFUNCTION("""COMPUTED_VALUE"""),"Guadalajara sin Barreras")</f>
        <v>Guadalajara sin Barreras</v>
      </c>
      <c r="E736" s="79" t="str">
        <f ca="1">IFERROR(__xludf.DUMMYFUNCTION("""COMPUTED_VALUE"""),"Atención Integral para Personas con Discapacidad")</f>
        <v>Atención Integral para Personas con Discapacidad</v>
      </c>
      <c r="F736" s="79" t="str">
        <f ca="1">IFERROR(__xludf.DUMMYFUNCTION("""COMPUTED_VALUE"""),"A1C5. Sesiones de terapia física brindadas en el Centro CAIPED en 2024")</f>
        <v>A1C5. Sesiones de terapia física brindadas en el Centro CAIPED en 2024</v>
      </c>
      <c r="G736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6" s="79" t="str">
        <f ca="1">IFERROR(__xludf.DUMMYFUNCTION("""COMPUTED_VALUE"""),"AMM Marzo")</f>
        <v>AMM Marzo</v>
      </c>
      <c r="I736" s="79" t="str">
        <f ca="1">IFERROR(__xludf.DUMMYFUNCTION("""COMPUTED_VALUE"""),"Marzo")</f>
        <v>Marzo</v>
      </c>
      <c r="J736" s="79" t="str">
        <f ca="1">IFERROR(__xludf.DUMMYFUNCTION("""COMPUTED_VALUE"""),"AMM")</f>
        <v>AMM</v>
      </c>
      <c r="K736" s="80">
        <f ca="1">IFERROR(__xludf.DUMMYFUNCTION("""COMPUTED_VALUE"""),320)</f>
        <v>320</v>
      </c>
      <c r="L736" s="79" t="str">
        <f ca="1">IFERROR(__xludf.DUMMYFUNCTION("""COMPUTED_VALUE"""),"TRIMESTRE 1")</f>
        <v>TRIMESTRE 1</v>
      </c>
      <c r="M736" s="79" t="str">
        <f ca="1">IFERROR(__xludf.DUMMYFUNCTION("""COMPUTED_VALUE"""),"ADULTA MAYOR MUJER")</f>
        <v>ADULTA MAYOR MUJER</v>
      </c>
    </row>
    <row r="737" spans="1:26">
      <c r="A737" s="79" t="str">
        <f ca="1">IFERROR(__xludf.DUMMYFUNCTION("""COMPUTED_VALUE"""),"6.1.5.1")</f>
        <v>6.1.5.1</v>
      </c>
      <c r="B737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7" s="79" t="str">
        <f ca="1">IFERROR(__xludf.DUMMYFUNCTION("""COMPUTED_VALUE"""),"5. Inclusión")</f>
        <v>5. Inclusión</v>
      </c>
      <c r="D737" s="79" t="str">
        <f ca="1">IFERROR(__xludf.DUMMYFUNCTION("""COMPUTED_VALUE"""),"Guadalajara sin Barreras")</f>
        <v>Guadalajara sin Barreras</v>
      </c>
      <c r="E737" s="79" t="str">
        <f ca="1">IFERROR(__xludf.DUMMYFUNCTION("""COMPUTED_VALUE"""),"Atención Integral para Personas con Discapacidad")</f>
        <v>Atención Integral para Personas con Discapacidad</v>
      </c>
      <c r="F737" s="79" t="str">
        <f ca="1">IFERROR(__xludf.DUMMYFUNCTION("""COMPUTED_VALUE"""),"A1C5. Sesiones de terapia física brindadas en el Centro CAIPED en 2024")</f>
        <v>A1C5. Sesiones de terapia física brindadas en el Centro CAIPED en 2024</v>
      </c>
      <c r="G737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37" s="79" t="str">
        <f ca="1">IFERROR(__xludf.DUMMYFUNCTION("""COMPUTED_VALUE"""),"AMH Marzo")</f>
        <v>AMH Marzo</v>
      </c>
      <c r="I737" s="79" t="str">
        <f ca="1">IFERROR(__xludf.DUMMYFUNCTION("""COMPUTED_VALUE"""),"Marzo")</f>
        <v>Marzo</v>
      </c>
      <c r="J737" s="79" t="str">
        <f ca="1">IFERROR(__xludf.DUMMYFUNCTION("""COMPUTED_VALUE"""),"AMH")</f>
        <v>AMH</v>
      </c>
      <c r="K737" s="80">
        <f ca="1">IFERROR(__xludf.DUMMYFUNCTION("""COMPUTED_VALUE"""),45)</f>
        <v>45</v>
      </c>
      <c r="L737" s="79" t="str">
        <f ca="1">IFERROR(__xludf.DUMMYFUNCTION("""COMPUTED_VALUE"""),"TRIMESTRE 1")</f>
        <v>TRIMESTRE 1</v>
      </c>
      <c r="M737" s="79" t="str">
        <f ca="1">IFERROR(__xludf.DUMMYFUNCTION("""COMPUTED_VALUE"""),"ADULTO MAYOR HOMBRE")</f>
        <v>ADULTO MAYOR HOMBRE</v>
      </c>
    </row>
    <row r="738" spans="1:26">
      <c r="A738" s="81" t="str">
        <f ca="1">IFERROR(__xludf.DUMMYFUNCTION("""COMPUTED_VALUE"""),"6.1.5.2")</f>
        <v>6.1.5.2</v>
      </c>
      <c r="B738" s="81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8" s="81" t="str">
        <f ca="1">IFERROR(__xludf.DUMMYFUNCTION("""COMPUTED_VALUE"""),"5. Inclusión")</f>
        <v>5. Inclusión</v>
      </c>
      <c r="D738" s="81" t="str">
        <f ca="1">IFERROR(__xludf.DUMMYFUNCTION("""COMPUTED_VALUE"""),"Guadalajara sin Barreras")</f>
        <v>Guadalajara sin Barreras</v>
      </c>
      <c r="E738" s="81" t="str">
        <f ca="1">IFERROR(__xludf.DUMMYFUNCTION("""COMPUTED_VALUE"""),"Atención Integral para Personas con Discapacidad")</f>
        <v>Atención Integral para Personas con Discapacidad</v>
      </c>
      <c r="F738" s="81" t="str">
        <f ca="1">IFERROR(__xludf.DUMMYFUNCTION("""COMPUTED_VALUE"""),"A2C5. Sesiones de consulta médica brindadas en el Centro CAIPED en 2024")</f>
        <v>A2C5. Sesiones de consulta médica brindadas en el Centro CAIPED en 2024</v>
      </c>
      <c r="G738" s="81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38" s="81" t="str">
        <f ca="1">IFERROR(__xludf.DUMMYFUNCTION("""COMPUTED_VALUE"""),"NAS Marzo")</f>
        <v>NAS Marzo</v>
      </c>
      <c r="I738" s="81" t="str">
        <f ca="1">IFERROR(__xludf.DUMMYFUNCTION("""COMPUTED_VALUE"""),"Marzo")</f>
        <v>Marzo</v>
      </c>
      <c r="J738" s="81" t="str">
        <f ca="1">IFERROR(__xludf.DUMMYFUNCTION("""COMPUTED_VALUE"""),"NAS")</f>
        <v>NAS</v>
      </c>
      <c r="K738" s="80">
        <f ca="1">IFERROR(__xludf.DUMMYFUNCTION("""COMPUTED_VALUE"""),2)</f>
        <v>2</v>
      </c>
      <c r="L738" s="81" t="str">
        <f ca="1">IFERROR(__xludf.DUMMYFUNCTION("""COMPUTED_VALUE"""),"TRIMESTRE 1")</f>
        <v>TRIMESTRE 1</v>
      </c>
      <c r="M738" s="81" t="str">
        <f ca="1">IFERROR(__xludf.DUMMYFUNCTION("""COMPUTED_VALUE"""),"NIÑAS")</f>
        <v>NIÑAS</v>
      </c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X738" s="81"/>
      <c r="Y738" s="81"/>
      <c r="Z738" s="81"/>
    </row>
    <row r="739" spans="1:26">
      <c r="A739" s="81" t="str">
        <f ca="1">IFERROR(__xludf.DUMMYFUNCTION("""COMPUTED_VALUE"""),"6.1.5.2")</f>
        <v>6.1.5.2</v>
      </c>
      <c r="B739" s="81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39" s="81" t="str">
        <f ca="1">IFERROR(__xludf.DUMMYFUNCTION("""COMPUTED_VALUE"""),"5. Inclusión")</f>
        <v>5. Inclusión</v>
      </c>
      <c r="D739" s="81" t="str">
        <f ca="1">IFERROR(__xludf.DUMMYFUNCTION("""COMPUTED_VALUE"""),"Guadalajara sin Barreras")</f>
        <v>Guadalajara sin Barreras</v>
      </c>
      <c r="E739" s="81" t="str">
        <f ca="1">IFERROR(__xludf.DUMMYFUNCTION("""COMPUTED_VALUE"""),"Atención Integral para Personas con Discapacidad")</f>
        <v>Atención Integral para Personas con Discapacidad</v>
      </c>
      <c r="F739" s="81" t="str">
        <f ca="1">IFERROR(__xludf.DUMMYFUNCTION("""COMPUTED_VALUE"""),"A2C5. Sesiones de consulta médica brindadas en el Centro CAIPED en 2024")</f>
        <v>A2C5. Sesiones de consulta médica brindadas en el Centro CAIPED en 2024</v>
      </c>
      <c r="G739" s="81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39" s="81" t="str">
        <f ca="1">IFERROR(__xludf.DUMMYFUNCTION("""COMPUTED_VALUE"""),"NOS Marzo")</f>
        <v>NOS Marzo</v>
      </c>
      <c r="I739" s="81" t="str">
        <f ca="1">IFERROR(__xludf.DUMMYFUNCTION("""COMPUTED_VALUE"""),"Marzo")</f>
        <v>Marzo</v>
      </c>
      <c r="J739" s="81" t="str">
        <f ca="1">IFERROR(__xludf.DUMMYFUNCTION("""COMPUTED_VALUE"""),"NOS")</f>
        <v>NOS</v>
      </c>
      <c r="K739" s="80">
        <f ca="1">IFERROR(__xludf.DUMMYFUNCTION("""COMPUTED_VALUE"""),4)</f>
        <v>4</v>
      </c>
      <c r="L739" s="81" t="str">
        <f ca="1">IFERROR(__xludf.DUMMYFUNCTION("""COMPUTED_VALUE"""),"TRIMESTRE 1")</f>
        <v>TRIMESTRE 1</v>
      </c>
      <c r="M739" s="81" t="str">
        <f ca="1">IFERROR(__xludf.DUMMYFUNCTION("""COMPUTED_VALUE"""),"NIÑOS")</f>
        <v>NIÑOS</v>
      </c>
      <c r="N739" s="81"/>
      <c r="O739" s="81"/>
      <c r="P739" s="81"/>
      <c r="Q739" s="81"/>
      <c r="R739" s="81"/>
      <c r="S739" s="81"/>
      <c r="T739" s="81"/>
      <c r="U739" s="81"/>
      <c r="V739" s="81"/>
      <c r="W739" s="81"/>
      <c r="X739" s="81"/>
      <c r="Y739" s="81"/>
      <c r="Z739" s="81"/>
    </row>
    <row r="740" spans="1:26">
      <c r="A740" s="81" t="str">
        <f ca="1">IFERROR(__xludf.DUMMYFUNCTION("""COMPUTED_VALUE"""),"6.1.5.2")</f>
        <v>6.1.5.2</v>
      </c>
      <c r="B740" s="81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40" s="81" t="str">
        <f ca="1">IFERROR(__xludf.DUMMYFUNCTION("""COMPUTED_VALUE"""),"5. Inclusión")</f>
        <v>5. Inclusión</v>
      </c>
      <c r="D740" s="81" t="str">
        <f ca="1">IFERROR(__xludf.DUMMYFUNCTION("""COMPUTED_VALUE"""),"Guadalajara sin Barreras")</f>
        <v>Guadalajara sin Barreras</v>
      </c>
      <c r="E740" s="81" t="str">
        <f ca="1">IFERROR(__xludf.DUMMYFUNCTION("""COMPUTED_VALUE"""),"Atención Integral para Personas con Discapacidad")</f>
        <v>Atención Integral para Personas con Discapacidad</v>
      </c>
      <c r="F740" s="81" t="str">
        <f ca="1">IFERROR(__xludf.DUMMYFUNCTION("""COMPUTED_VALUE"""),"A2C5. Sesiones de consulta médica brindadas en el Centro CAIPED en 2024")</f>
        <v>A2C5. Sesiones de consulta médica brindadas en el Centro CAIPED en 2024</v>
      </c>
      <c r="G740" s="81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40" s="81" t="str">
        <f ca="1">IFERROR(__xludf.DUMMYFUNCTION("""COMPUTED_VALUE"""),"AM MARZO")</f>
        <v>AM MARZO</v>
      </c>
      <c r="I740" s="81" t="str">
        <f ca="1">IFERROR(__xludf.DUMMYFUNCTION("""COMPUTED_VALUE"""),"Marzo")</f>
        <v>Marzo</v>
      </c>
      <c r="J740" s="81" t="str">
        <f ca="1">IFERROR(__xludf.DUMMYFUNCTION("""COMPUTED_VALUE"""),"AM")</f>
        <v>AM</v>
      </c>
      <c r="K740" s="80">
        <f ca="1">IFERROR(__xludf.DUMMYFUNCTION("""COMPUTED_VALUE"""),2)</f>
        <v>2</v>
      </c>
      <c r="L740" s="81" t="str">
        <f ca="1">IFERROR(__xludf.DUMMYFUNCTION("""COMPUTED_VALUE"""),"TRIMESTRE 1")</f>
        <v>TRIMESTRE 1</v>
      </c>
      <c r="M740" s="81" t="str">
        <f ca="1">IFERROR(__xludf.DUMMYFUNCTION("""COMPUTED_VALUE"""),"ADOLESCENTES MUJERES")</f>
        <v>ADOLESCENTES MUJERES</v>
      </c>
      <c r="N740" s="81"/>
      <c r="O740" s="81"/>
      <c r="P740" s="81"/>
      <c r="Q740" s="81"/>
      <c r="R740" s="81"/>
      <c r="S740" s="81"/>
      <c r="T740" s="81"/>
      <c r="U740" s="81"/>
      <c r="V740" s="81"/>
      <c r="W740" s="81"/>
      <c r="X740" s="81"/>
      <c r="Y740" s="81"/>
      <c r="Z740" s="81"/>
    </row>
    <row r="741" spans="1:26">
      <c r="A741" s="81" t="str">
        <f ca="1">IFERROR(__xludf.DUMMYFUNCTION("""COMPUTED_VALUE"""),"6.1.5.2")</f>
        <v>6.1.5.2</v>
      </c>
      <c r="B741" s="81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41" s="81" t="str">
        <f ca="1">IFERROR(__xludf.DUMMYFUNCTION("""COMPUTED_VALUE"""),"5. Inclusión")</f>
        <v>5. Inclusión</v>
      </c>
      <c r="D741" s="81" t="str">
        <f ca="1">IFERROR(__xludf.DUMMYFUNCTION("""COMPUTED_VALUE"""),"Guadalajara sin Barreras")</f>
        <v>Guadalajara sin Barreras</v>
      </c>
      <c r="E741" s="81" t="str">
        <f ca="1">IFERROR(__xludf.DUMMYFUNCTION("""COMPUTED_VALUE"""),"Atención Integral para Personas con Discapacidad")</f>
        <v>Atención Integral para Personas con Discapacidad</v>
      </c>
      <c r="F741" s="81" t="str">
        <f ca="1">IFERROR(__xludf.DUMMYFUNCTION("""COMPUTED_VALUE"""),"A2C5. Sesiones de consulta médica brindadas en el Centro CAIPED en 2024")</f>
        <v>A2C5. Sesiones de consulta médica brindadas en el Centro CAIPED en 2024</v>
      </c>
      <c r="G741" s="81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41" s="81" t="str">
        <f ca="1">IFERROR(__xludf.DUMMYFUNCTION("""COMPUTED_VALUE"""),"AH MARZO")</f>
        <v>AH MARZO</v>
      </c>
      <c r="I741" s="81" t="str">
        <f ca="1">IFERROR(__xludf.DUMMYFUNCTION("""COMPUTED_VALUE"""),"Marzo")</f>
        <v>Marzo</v>
      </c>
      <c r="J741" s="81" t="str">
        <f ca="1">IFERROR(__xludf.DUMMYFUNCTION("""COMPUTED_VALUE"""),"AH")</f>
        <v>AH</v>
      </c>
      <c r="K741" s="80">
        <f ca="1">IFERROR(__xludf.DUMMYFUNCTION("""COMPUTED_VALUE"""),11)</f>
        <v>11</v>
      </c>
      <c r="L741" s="81" t="str">
        <f ca="1">IFERROR(__xludf.DUMMYFUNCTION("""COMPUTED_VALUE"""),"TRIMESTRE 1")</f>
        <v>TRIMESTRE 1</v>
      </c>
      <c r="M741" s="81" t="str">
        <f ca="1">IFERROR(__xludf.DUMMYFUNCTION("""COMPUTED_VALUE"""),"ADOLESCENTES HOMBRES")</f>
        <v>ADOLESCENTES HOMBRES</v>
      </c>
      <c r="N741" s="81"/>
      <c r="O741" s="81"/>
      <c r="P741" s="81"/>
      <c r="Q741" s="81"/>
      <c r="R741" s="81"/>
      <c r="S741" s="81"/>
      <c r="T741" s="81"/>
      <c r="U741" s="81"/>
      <c r="V741" s="81"/>
      <c r="W741" s="81"/>
      <c r="X741" s="81"/>
      <c r="Y741" s="81"/>
      <c r="Z741" s="81"/>
    </row>
    <row r="742" spans="1:26">
      <c r="A742" s="81" t="str">
        <f ca="1">IFERROR(__xludf.DUMMYFUNCTION("""COMPUTED_VALUE"""),"6.1.5.2")</f>
        <v>6.1.5.2</v>
      </c>
      <c r="B742" s="81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42" s="81" t="str">
        <f ca="1">IFERROR(__xludf.DUMMYFUNCTION("""COMPUTED_VALUE"""),"5. Inclusión")</f>
        <v>5. Inclusión</v>
      </c>
      <c r="D742" s="81" t="str">
        <f ca="1">IFERROR(__xludf.DUMMYFUNCTION("""COMPUTED_VALUE"""),"Guadalajara sin Barreras")</f>
        <v>Guadalajara sin Barreras</v>
      </c>
      <c r="E742" s="81" t="str">
        <f ca="1">IFERROR(__xludf.DUMMYFUNCTION("""COMPUTED_VALUE"""),"Atención Integral para Personas con Discapacidad")</f>
        <v>Atención Integral para Personas con Discapacidad</v>
      </c>
      <c r="F742" s="81" t="str">
        <f ca="1">IFERROR(__xludf.DUMMYFUNCTION("""COMPUTED_VALUE"""),"A2C5. Sesiones de consulta médica brindadas en el Centro CAIPED en 2024")</f>
        <v>A2C5. Sesiones de consulta médica brindadas en el Centro CAIPED en 2024</v>
      </c>
      <c r="G742" s="81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42" s="81" t="str">
        <f ca="1">IFERROR(__xludf.DUMMYFUNCTION("""COMPUTED_VALUE"""),"MUJ Marzo")</f>
        <v>MUJ Marzo</v>
      </c>
      <c r="I742" s="81" t="str">
        <f ca="1">IFERROR(__xludf.DUMMYFUNCTION("""COMPUTED_VALUE"""),"Marzo")</f>
        <v>Marzo</v>
      </c>
      <c r="J742" s="81" t="str">
        <f ca="1">IFERROR(__xludf.DUMMYFUNCTION("""COMPUTED_VALUE"""),"MUJ")</f>
        <v>MUJ</v>
      </c>
      <c r="K742" s="80">
        <f ca="1">IFERROR(__xludf.DUMMYFUNCTION("""COMPUTED_VALUE"""),21)</f>
        <v>21</v>
      </c>
      <c r="L742" s="81" t="str">
        <f ca="1">IFERROR(__xludf.DUMMYFUNCTION("""COMPUTED_VALUE"""),"TRIMESTRE 1")</f>
        <v>TRIMESTRE 1</v>
      </c>
      <c r="M742" s="81" t="str">
        <f ca="1">IFERROR(__xludf.DUMMYFUNCTION("""COMPUTED_VALUE"""),"MUJERES ADULTAS")</f>
        <v>MUJERES ADULTAS</v>
      </c>
      <c r="N742" s="81"/>
      <c r="O742" s="81"/>
      <c r="P742" s="81"/>
      <c r="Q742" s="81"/>
      <c r="R742" s="81"/>
      <c r="S742" s="81"/>
      <c r="T742" s="81"/>
      <c r="U742" s="81"/>
      <c r="V742" s="81"/>
      <c r="W742" s="81"/>
      <c r="X742" s="81"/>
      <c r="Y742" s="81"/>
      <c r="Z742" s="81"/>
    </row>
    <row r="743" spans="1:26">
      <c r="A743" s="81" t="str">
        <f ca="1">IFERROR(__xludf.DUMMYFUNCTION("""COMPUTED_VALUE"""),"6.1.5.2")</f>
        <v>6.1.5.2</v>
      </c>
      <c r="B743" s="81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43" s="81" t="str">
        <f ca="1">IFERROR(__xludf.DUMMYFUNCTION("""COMPUTED_VALUE"""),"5. Inclusión")</f>
        <v>5. Inclusión</v>
      </c>
      <c r="D743" s="81" t="str">
        <f ca="1">IFERROR(__xludf.DUMMYFUNCTION("""COMPUTED_VALUE"""),"Guadalajara sin Barreras")</f>
        <v>Guadalajara sin Barreras</v>
      </c>
      <c r="E743" s="81" t="str">
        <f ca="1">IFERROR(__xludf.DUMMYFUNCTION("""COMPUTED_VALUE"""),"Atención Integral para Personas con Discapacidad")</f>
        <v>Atención Integral para Personas con Discapacidad</v>
      </c>
      <c r="F743" s="81" t="str">
        <f ca="1">IFERROR(__xludf.DUMMYFUNCTION("""COMPUTED_VALUE"""),"A2C5. Sesiones de consulta médica brindadas en el Centro CAIPED en 2024")</f>
        <v>A2C5. Sesiones de consulta médica brindadas en el Centro CAIPED en 2024</v>
      </c>
      <c r="G743" s="81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43" s="81" t="str">
        <f ca="1">IFERROR(__xludf.DUMMYFUNCTION("""COMPUTED_VALUE"""),"HOM Marzo")</f>
        <v>HOM Marzo</v>
      </c>
      <c r="I743" s="81" t="str">
        <f ca="1">IFERROR(__xludf.DUMMYFUNCTION("""COMPUTED_VALUE"""),"Marzo")</f>
        <v>Marzo</v>
      </c>
      <c r="J743" s="81" t="str">
        <f ca="1">IFERROR(__xludf.DUMMYFUNCTION("""COMPUTED_VALUE"""),"HOM")</f>
        <v>HOM</v>
      </c>
      <c r="K743" s="80">
        <f ca="1">IFERROR(__xludf.DUMMYFUNCTION("""COMPUTED_VALUE"""),13)</f>
        <v>13</v>
      </c>
      <c r="L743" s="81" t="str">
        <f ca="1">IFERROR(__xludf.DUMMYFUNCTION("""COMPUTED_VALUE"""),"TRIMESTRE 1")</f>
        <v>TRIMESTRE 1</v>
      </c>
      <c r="M743" s="81" t="str">
        <f ca="1">IFERROR(__xludf.DUMMYFUNCTION("""COMPUTED_VALUE"""),"HOMBRES ADULTOS")</f>
        <v>HOMBRES ADULTOS</v>
      </c>
      <c r="N743" s="81"/>
      <c r="O743" s="81"/>
      <c r="P743" s="81"/>
      <c r="Q743" s="81"/>
      <c r="R743" s="81"/>
      <c r="S743" s="81"/>
      <c r="T743" s="81"/>
      <c r="U743" s="81"/>
      <c r="V743" s="81"/>
      <c r="W743" s="81"/>
      <c r="X743" s="81"/>
      <c r="Y743" s="81"/>
      <c r="Z743" s="81"/>
    </row>
    <row r="744" spans="1:26">
      <c r="A744" s="81" t="str">
        <f ca="1">IFERROR(__xludf.DUMMYFUNCTION("""COMPUTED_VALUE"""),"6.1.5.2")</f>
        <v>6.1.5.2</v>
      </c>
      <c r="B744" s="81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44" s="81" t="str">
        <f ca="1">IFERROR(__xludf.DUMMYFUNCTION("""COMPUTED_VALUE"""),"5. Inclusión")</f>
        <v>5. Inclusión</v>
      </c>
      <c r="D744" s="81" t="str">
        <f ca="1">IFERROR(__xludf.DUMMYFUNCTION("""COMPUTED_VALUE"""),"Guadalajara sin Barreras")</f>
        <v>Guadalajara sin Barreras</v>
      </c>
      <c r="E744" s="81" t="str">
        <f ca="1">IFERROR(__xludf.DUMMYFUNCTION("""COMPUTED_VALUE"""),"Atención Integral para Personas con Discapacidad")</f>
        <v>Atención Integral para Personas con Discapacidad</v>
      </c>
      <c r="F744" s="81" t="str">
        <f ca="1">IFERROR(__xludf.DUMMYFUNCTION("""COMPUTED_VALUE"""),"A2C5. Sesiones de consulta médica brindadas en el Centro CAIPED en 2024")</f>
        <v>A2C5. Sesiones de consulta médica brindadas en el Centro CAIPED en 2024</v>
      </c>
      <c r="G744" s="81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44" s="81" t="str">
        <f ca="1">IFERROR(__xludf.DUMMYFUNCTION("""COMPUTED_VALUE"""),"AMM Marzo")</f>
        <v>AMM Marzo</v>
      </c>
      <c r="I744" s="81" t="str">
        <f ca="1">IFERROR(__xludf.DUMMYFUNCTION("""COMPUTED_VALUE"""),"Marzo")</f>
        <v>Marzo</v>
      </c>
      <c r="J744" s="81" t="str">
        <f ca="1">IFERROR(__xludf.DUMMYFUNCTION("""COMPUTED_VALUE"""),"AMM")</f>
        <v>AMM</v>
      </c>
      <c r="K744" s="80">
        <f ca="1">IFERROR(__xludf.DUMMYFUNCTION("""COMPUTED_VALUE"""),36)</f>
        <v>36</v>
      </c>
      <c r="L744" s="81" t="str">
        <f ca="1">IFERROR(__xludf.DUMMYFUNCTION("""COMPUTED_VALUE"""),"TRIMESTRE 1")</f>
        <v>TRIMESTRE 1</v>
      </c>
      <c r="M744" s="81" t="str">
        <f ca="1">IFERROR(__xludf.DUMMYFUNCTION("""COMPUTED_VALUE"""),"ADULTA MAYOR MUJER")</f>
        <v>ADULTA MAYOR MUJER</v>
      </c>
      <c r="N744" s="81"/>
      <c r="O744" s="81"/>
      <c r="P744" s="81"/>
      <c r="Q744" s="81"/>
      <c r="R744" s="81"/>
      <c r="S744" s="81"/>
      <c r="T744" s="81"/>
      <c r="U744" s="81"/>
      <c r="V744" s="81"/>
      <c r="W744" s="81"/>
      <c r="X744" s="81"/>
      <c r="Y744" s="81"/>
      <c r="Z744" s="81"/>
    </row>
    <row r="745" spans="1:26">
      <c r="A745" s="81" t="str">
        <f ca="1">IFERROR(__xludf.DUMMYFUNCTION("""COMPUTED_VALUE"""),"6.1.5.2")</f>
        <v>6.1.5.2</v>
      </c>
      <c r="B745" s="81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45" s="81" t="str">
        <f ca="1">IFERROR(__xludf.DUMMYFUNCTION("""COMPUTED_VALUE"""),"5. Inclusión")</f>
        <v>5. Inclusión</v>
      </c>
      <c r="D745" s="81" t="str">
        <f ca="1">IFERROR(__xludf.DUMMYFUNCTION("""COMPUTED_VALUE"""),"Guadalajara sin Barreras")</f>
        <v>Guadalajara sin Barreras</v>
      </c>
      <c r="E745" s="81" t="str">
        <f ca="1">IFERROR(__xludf.DUMMYFUNCTION("""COMPUTED_VALUE"""),"Atención Integral para Personas con Discapacidad")</f>
        <v>Atención Integral para Personas con Discapacidad</v>
      </c>
      <c r="F745" s="81" t="str">
        <f ca="1">IFERROR(__xludf.DUMMYFUNCTION("""COMPUTED_VALUE"""),"A2C5. Sesiones de consulta médica brindadas en el Centro CAIPED en 2024")</f>
        <v>A2C5. Sesiones de consulta médica brindadas en el Centro CAIPED en 2024</v>
      </c>
      <c r="G745" s="81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45" s="81" t="str">
        <f ca="1">IFERROR(__xludf.DUMMYFUNCTION("""COMPUTED_VALUE"""),"AMH Marzo")</f>
        <v>AMH Marzo</v>
      </c>
      <c r="I745" s="81" t="str">
        <f ca="1">IFERROR(__xludf.DUMMYFUNCTION("""COMPUTED_VALUE"""),"Marzo")</f>
        <v>Marzo</v>
      </c>
      <c r="J745" s="81" t="str">
        <f ca="1">IFERROR(__xludf.DUMMYFUNCTION("""COMPUTED_VALUE"""),"AMH")</f>
        <v>AMH</v>
      </c>
      <c r="K745" s="80">
        <f ca="1">IFERROR(__xludf.DUMMYFUNCTION("""COMPUTED_VALUE"""),10)</f>
        <v>10</v>
      </c>
      <c r="L745" s="81" t="str">
        <f ca="1">IFERROR(__xludf.DUMMYFUNCTION("""COMPUTED_VALUE"""),"TRIMESTRE 1")</f>
        <v>TRIMESTRE 1</v>
      </c>
      <c r="M745" s="81" t="str">
        <f ca="1">IFERROR(__xludf.DUMMYFUNCTION("""COMPUTED_VALUE"""),"ADULTO MAYOR HOMBRE")</f>
        <v>ADULTO MAYOR HOMBRE</v>
      </c>
      <c r="N745" s="81"/>
      <c r="O745" s="81"/>
      <c r="P745" s="81"/>
      <c r="Q745" s="81"/>
      <c r="R745" s="81"/>
      <c r="S745" s="81"/>
      <c r="T745" s="81"/>
      <c r="U745" s="81"/>
      <c r="V745" s="81"/>
      <c r="W745" s="81"/>
      <c r="X745" s="81"/>
      <c r="Y745" s="81"/>
      <c r="Z745" s="81"/>
    </row>
    <row r="746" spans="1:26">
      <c r="A746" s="79" t="str">
        <f ca="1">IFERROR(__xludf.DUMMYFUNCTION("""COMPUTED_VALUE"""),"6.1.5.0")</f>
        <v>6.1.5.0</v>
      </c>
      <c r="B746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46" s="79" t="str">
        <f ca="1">IFERROR(__xludf.DUMMYFUNCTION("""COMPUTED_VALUE"""),"5. Inclusión")</f>
        <v>5. Inclusión</v>
      </c>
      <c r="D746" s="79" t="str">
        <f ca="1">IFERROR(__xludf.DUMMYFUNCTION("""COMPUTED_VALUE"""),"Guadalajara sin Barreras")</f>
        <v>Guadalajara sin Barreras</v>
      </c>
      <c r="E746" s="79" t="str">
        <f ca="1">IFERROR(__xludf.DUMMYFUNCTION("""COMPUTED_VALUE"""),"Atención Integral para Personas con Discapacidad")</f>
        <v>Atención Integral para Personas con Discapacidad</v>
      </c>
      <c r="F746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46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46" s="79" t="str">
        <f ca="1">IFERROR(__xludf.DUMMYFUNCTION("""COMPUTED_VALUE"""),"NAS Abril")</f>
        <v>NAS Abril</v>
      </c>
      <c r="I746" s="79" t="str">
        <f ca="1">IFERROR(__xludf.DUMMYFUNCTION("""COMPUTED_VALUE"""),"Abril")</f>
        <v>Abril</v>
      </c>
      <c r="J746" s="79" t="str">
        <f ca="1">IFERROR(__xludf.DUMMYFUNCTION("""COMPUTED_VALUE"""),"NAS")</f>
        <v>NAS</v>
      </c>
      <c r="K746" s="80">
        <f ca="1">IFERROR(__xludf.DUMMYFUNCTION("""COMPUTED_VALUE"""),10)</f>
        <v>10</v>
      </c>
      <c r="L746" s="79" t="str">
        <f ca="1">IFERROR(__xludf.DUMMYFUNCTION("""COMPUTED_VALUE"""),"TRIMESTRE 2")</f>
        <v>TRIMESTRE 2</v>
      </c>
      <c r="M746" s="79" t="str">
        <f ca="1">IFERROR(__xludf.DUMMYFUNCTION("""COMPUTED_VALUE"""),"NIÑAS")</f>
        <v>NIÑAS</v>
      </c>
    </row>
    <row r="747" spans="1:26">
      <c r="A747" s="79" t="str">
        <f ca="1">IFERROR(__xludf.DUMMYFUNCTION("""COMPUTED_VALUE"""),"6.1.5.0")</f>
        <v>6.1.5.0</v>
      </c>
      <c r="B747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47" s="79" t="str">
        <f ca="1">IFERROR(__xludf.DUMMYFUNCTION("""COMPUTED_VALUE"""),"5. Inclusión")</f>
        <v>5. Inclusión</v>
      </c>
      <c r="D747" s="79" t="str">
        <f ca="1">IFERROR(__xludf.DUMMYFUNCTION("""COMPUTED_VALUE"""),"Guadalajara sin Barreras")</f>
        <v>Guadalajara sin Barreras</v>
      </c>
      <c r="E747" s="79" t="str">
        <f ca="1">IFERROR(__xludf.DUMMYFUNCTION("""COMPUTED_VALUE"""),"Atención Integral para Personas con Discapacidad")</f>
        <v>Atención Integral para Personas con Discapacidad</v>
      </c>
      <c r="F747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47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47" s="79" t="str">
        <f ca="1">IFERROR(__xludf.DUMMYFUNCTION("""COMPUTED_VALUE"""),"NOS Abril")</f>
        <v>NOS Abril</v>
      </c>
      <c r="I747" s="79" t="str">
        <f ca="1">IFERROR(__xludf.DUMMYFUNCTION("""COMPUTED_VALUE"""),"Abril")</f>
        <v>Abril</v>
      </c>
      <c r="J747" s="79" t="str">
        <f ca="1">IFERROR(__xludf.DUMMYFUNCTION("""COMPUTED_VALUE"""),"NOS")</f>
        <v>NOS</v>
      </c>
      <c r="K747" s="80">
        <f ca="1">IFERROR(__xludf.DUMMYFUNCTION("""COMPUTED_VALUE"""),9)</f>
        <v>9</v>
      </c>
      <c r="L747" s="79" t="str">
        <f ca="1">IFERROR(__xludf.DUMMYFUNCTION("""COMPUTED_VALUE"""),"TRIMESTRE 2")</f>
        <v>TRIMESTRE 2</v>
      </c>
      <c r="M747" s="79" t="str">
        <f ca="1">IFERROR(__xludf.DUMMYFUNCTION("""COMPUTED_VALUE"""),"NIÑOS")</f>
        <v>NIÑOS</v>
      </c>
    </row>
    <row r="748" spans="1:26">
      <c r="A748" s="79" t="str">
        <f ca="1">IFERROR(__xludf.DUMMYFUNCTION("""COMPUTED_VALUE"""),"6.1.5.0")</f>
        <v>6.1.5.0</v>
      </c>
      <c r="B748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48" s="79" t="str">
        <f ca="1">IFERROR(__xludf.DUMMYFUNCTION("""COMPUTED_VALUE"""),"5. Inclusión")</f>
        <v>5. Inclusión</v>
      </c>
      <c r="D748" s="79" t="str">
        <f ca="1">IFERROR(__xludf.DUMMYFUNCTION("""COMPUTED_VALUE"""),"Guadalajara sin Barreras")</f>
        <v>Guadalajara sin Barreras</v>
      </c>
      <c r="E748" s="79" t="str">
        <f ca="1">IFERROR(__xludf.DUMMYFUNCTION("""COMPUTED_VALUE"""),"Atención Integral para Personas con Discapacidad")</f>
        <v>Atención Integral para Personas con Discapacidad</v>
      </c>
      <c r="F748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48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48" s="79" t="str">
        <f ca="1">IFERROR(__xludf.DUMMYFUNCTION("""COMPUTED_VALUE"""),"AM ABRIL")</f>
        <v>AM ABRIL</v>
      </c>
      <c r="I748" s="79" t="str">
        <f ca="1">IFERROR(__xludf.DUMMYFUNCTION("""COMPUTED_VALUE"""),"Abril")</f>
        <v>Abril</v>
      </c>
      <c r="J748" s="79" t="str">
        <f ca="1">IFERROR(__xludf.DUMMYFUNCTION("""COMPUTED_VALUE"""),"AM")</f>
        <v>AM</v>
      </c>
      <c r="K748" s="80">
        <f ca="1">IFERROR(__xludf.DUMMYFUNCTION("""COMPUTED_VALUE"""),2)</f>
        <v>2</v>
      </c>
      <c r="L748" s="79" t="str">
        <f ca="1">IFERROR(__xludf.DUMMYFUNCTION("""COMPUTED_VALUE"""),"TRIMESTRE 2")</f>
        <v>TRIMESTRE 2</v>
      </c>
      <c r="M748" s="79" t="str">
        <f ca="1">IFERROR(__xludf.DUMMYFUNCTION("""COMPUTED_VALUE"""),"ADOLESCENTES MUJERES")</f>
        <v>ADOLESCENTES MUJERES</v>
      </c>
    </row>
    <row r="749" spans="1:26">
      <c r="A749" s="79" t="str">
        <f ca="1">IFERROR(__xludf.DUMMYFUNCTION("""COMPUTED_VALUE"""),"6.1.5.0")</f>
        <v>6.1.5.0</v>
      </c>
      <c r="B749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49" s="79" t="str">
        <f ca="1">IFERROR(__xludf.DUMMYFUNCTION("""COMPUTED_VALUE"""),"5. Inclusión")</f>
        <v>5. Inclusión</v>
      </c>
      <c r="D749" s="79" t="str">
        <f ca="1">IFERROR(__xludf.DUMMYFUNCTION("""COMPUTED_VALUE"""),"Guadalajara sin Barreras")</f>
        <v>Guadalajara sin Barreras</v>
      </c>
      <c r="E749" s="79" t="str">
        <f ca="1">IFERROR(__xludf.DUMMYFUNCTION("""COMPUTED_VALUE"""),"Atención Integral para Personas con Discapacidad")</f>
        <v>Atención Integral para Personas con Discapacidad</v>
      </c>
      <c r="F749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49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49" s="79" t="str">
        <f ca="1">IFERROR(__xludf.DUMMYFUNCTION("""COMPUTED_VALUE"""),"AH ABRIL")</f>
        <v>AH ABRIL</v>
      </c>
      <c r="I749" s="79" t="str">
        <f ca="1">IFERROR(__xludf.DUMMYFUNCTION("""COMPUTED_VALUE"""),"Abril")</f>
        <v>Abril</v>
      </c>
      <c r="J749" s="79" t="str">
        <f ca="1">IFERROR(__xludf.DUMMYFUNCTION("""COMPUTED_VALUE"""),"AH")</f>
        <v>AH</v>
      </c>
      <c r="K749" s="80">
        <f ca="1">IFERROR(__xludf.DUMMYFUNCTION("""COMPUTED_VALUE"""),12)</f>
        <v>12</v>
      </c>
      <c r="L749" s="79" t="str">
        <f ca="1">IFERROR(__xludf.DUMMYFUNCTION("""COMPUTED_VALUE"""),"TRIMESTRE 2")</f>
        <v>TRIMESTRE 2</v>
      </c>
      <c r="M749" s="79" t="str">
        <f ca="1">IFERROR(__xludf.DUMMYFUNCTION("""COMPUTED_VALUE"""),"ADOLESCENTES HOMBRES")</f>
        <v>ADOLESCENTES HOMBRES</v>
      </c>
    </row>
    <row r="750" spans="1:26">
      <c r="A750" s="79" t="str">
        <f ca="1">IFERROR(__xludf.DUMMYFUNCTION("""COMPUTED_VALUE"""),"6.1.5.0")</f>
        <v>6.1.5.0</v>
      </c>
      <c r="B750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50" s="79" t="str">
        <f ca="1">IFERROR(__xludf.DUMMYFUNCTION("""COMPUTED_VALUE"""),"5. Inclusión")</f>
        <v>5. Inclusión</v>
      </c>
      <c r="D750" s="79" t="str">
        <f ca="1">IFERROR(__xludf.DUMMYFUNCTION("""COMPUTED_VALUE"""),"Guadalajara sin Barreras")</f>
        <v>Guadalajara sin Barreras</v>
      </c>
      <c r="E750" s="79" t="str">
        <f ca="1">IFERROR(__xludf.DUMMYFUNCTION("""COMPUTED_VALUE"""),"Atención Integral para Personas con Discapacidad")</f>
        <v>Atención Integral para Personas con Discapacidad</v>
      </c>
      <c r="F750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50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50" s="79" t="str">
        <f ca="1">IFERROR(__xludf.DUMMYFUNCTION("""COMPUTED_VALUE"""),"MUJ Abril")</f>
        <v>MUJ Abril</v>
      </c>
      <c r="I750" s="79" t="str">
        <f ca="1">IFERROR(__xludf.DUMMYFUNCTION("""COMPUTED_VALUE"""),"Abril")</f>
        <v>Abril</v>
      </c>
      <c r="J750" s="79" t="str">
        <f ca="1">IFERROR(__xludf.DUMMYFUNCTION("""COMPUTED_VALUE"""),"MUJ")</f>
        <v>MUJ</v>
      </c>
      <c r="K750" s="80">
        <f ca="1">IFERROR(__xludf.DUMMYFUNCTION("""COMPUTED_VALUE"""),167)</f>
        <v>167</v>
      </c>
      <c r="L750" s="79" t="str">
        <f ca="1">IFERROR(__xludf.DUMMYFUNCTION("""COMPUTED_VALUE"""),"TRIMESTRE 2")</f>
        <v>TRIMESTRE 2</v>
      </c>
      <c r="M750" s="79" t="str">
        <f ca="1">IFERROR(__xludf.DUMMYFUNCTION("""COMPUTED_VALUE"""),"MUJERES ADULTAS")</f>
        <v>MUJERES ADULTAS</v>
      </c>
    </row>
    <row r="751" spans="1:26">
      <c r="A751" s="79" t="str">
        <f ca="1">IFERROR(__xludf.DUMMYFUNCTION("""COMPUTED_VALUE"""),"6.1.5.0")</f>
        <v>6.1.5.0</v>
      </c>
      <c r="B751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51" s="79" t="str">
        <f ca="1">IFERROR(__xludf.DUMMYFUNCTION("""COMPUTED_VALUE"""),"5. Inclusión")</f>
        <v>5. Inclusión</v>
      </c>
      <c r="D751" s="79" t="str">
        <f ca="1">IFERROR(__xludf.DUMMYFUNCTION("""COMPUTED_VALUE"""),"Guadalajara sin Barreras")</f>
        <v>Guadalajara sin Barreras</v>
      </c>
      <c r="E751" s="79" t="str">
        <f ca="1">IFERROR(__xludf.DUMMYFUNCTION("""COMPUTED_VALUE"""),"Atención Integral para Personas con Discapacidad")</f>
        <v>Atención Integral para Personas con Discapacidad</v>
      </c>
      <c r="F751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51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51" s="79" t="str">
        <f ca="1">IFERROR(__xludf.DUMMYFUNCTION("""COMPUTED_VALUE"""),"HOM Abril")</f>
        <v>HOM Abril</v>
      </c>
      <c r="I751" s="79" t="str">
        <f ca="1">IFERROR(__xludf.DUMMYFUNCTION("""COMPUTED_VALUE"""),"Abril")</f>
        <v>Abril</v>
      </c>
      <c r="J751" s="79" t="str">
        <f ca="1">IFERROR(__xludf.DUMMYFUNCTION("""COMPUTED_VALUE"""),"HOM")</f>
        <v>HOM</v>
      </c>
      <c r="K751" s="80">
        <f ca="1">IFERROR(__xludf.DUMMYFUNCTION("""COMPUTED_VALUE"""),76)</f>
        <v>76</v>
      </c>
      <c r="L751" s="79" t="str">
        <f ca="1">IFERROR(__xludf.DUMMYFUNCTION("""COMPUTED_VALUE"""),"TRIMESTRE 2")</f>
        <v>TRIMESTRE 2</v>
      </c>
      <c r="M751" s="79" t="str">
        <f ca="1">IFERROR(__xludf.DUMMYFUNCTION("""COMPUTED_VALUE"""),"HOMBRES ADULTOS")</f>
        <v>HOMBRES ADULTOS</v>
      </c>
    </row>
    <row r="752" spans="1:26">
      <c r="A752" s="79" t="str">
        <f ca="1">IFERROR(__xludf.DUMMYFUNCTION("""COMPUTED_VALUE"""),"6.1.5.0")</f>
        <v>6.1.5.0</v>
      </c>
      <c r="B752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52" s="79" t="str">
        <f ca="1">IFERROR(__xludf.DUMMYFUNCTION("""COMPUTED_VALUE"""),"5. Inclusión")</f>
        <v>5. Inclusión</v>
      </c>
      <c r="D752" s="79" t="str">
        <f ca="1">IFERROR(__xludf.DUMMYFUNCTION("""COMPUTED_VALUE"""),"Guadalajara sin Barreras")</f>
        <v>Guadalajara sin Barreras</v>
      </c>
      <c r="E752" s="79" t="str">
        <f ca="1">IFERROR(__xludf.DUMMYFUNCTION("""COMPUTED_VALUE"""),"Atención Integral para Personas con Discapacidad")</f>
        <v>Atención Integral para Personas con Discapacidad</v>
      </c>
      <c r="F752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52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52" s="79" t="str">
        <f ca="1">IFERROR(__xludf.DUMMYFUNCTION("""COMPUTED_VALUE"""),"AMM Abril")</f>
        <v>AMM Abril</v>
      </c>
      <c r="I752" s="79" t="str">
        <f ca="1">IFERROR(__xludf.DUMMYFUNCTION("""COMPUTED_VALUE"""),"Abril")</f>
        <v>Abril</v>
      </c>
      <c r="J752" s="79" t="str">
        <f ca="1">IFERROR(__xludf.DUMMYFUNCTION("""COMPUTED_VALUE"""),"AMM")</f>
        <v>AMM</v>
      </c>
      <c r="K752" s="80">
        <f ca="1">IFERROR(__xludf.DUMMYFUNCTION("""COMPUTED_VALUE"""),379)</f>
        <v>379</v>
      </c>
      <c r="L752" s="79" t="str">
        <f ca="1">IFERROR(__xludf.DUMMYFUNCTION("""COMPUTED_VALUE"""),"TRIMESTRE 2")</f>
        <v>TRIMESTRE 2</v>
      </c>
      <c r="M752" s="79" t="str">
        <f ca="1">IFERROR(__xludf.DUMMYFUNCTION("""COMPUTED_VALUE"""),"ADULTA MAYOR MUJER")</f>
        <v>ADULTA MAYOR MUJER</v>
      </c>
    </row>
    <row r="753" spans="1:13">
      <c r="A753" s="79" t="str">
        <f ca="1">IFERROR(__xludf.DUMMYFUNCTION("""COMPUTED_VALUE"""),"6.1.5.0")</f>
        <v>6.1.5.0</v>
      </c>
      <c r="B753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53" s="79" t="str">
        <f ca="1">IFERROR(__xludf.DUMMYFUNCTION("""COMPUTED_VALUE"""),"5. Inclusión")</f>
        <v>5. Inclusión</v>
      </c>
      <c r="D753" s="79" t="str">
        <f ca="1">IFERROR(__xludf.DUMMYFUNCTION("""COMPUTED_VALUE"""),"Guadalajara sin Barreras")</f>
        <v>Guadalajara sin Barreras</v>
      </c>
      <c r="E753" s="79" t="str">
        <f ca="1">IFERROR(__xludf.DUMMYFUNCTION("""COMPUTED_VALUE"""),"Atención Integral para Personas con Discapacidad")</f>
        <v>Atención Integral para Personas con Discapacidad</v>
      </c>
      <c r="F753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53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53" s="79" t="str">
        <f ca="1">IFERROR(__xludf.DUMMYFUNCTION("""COMPUTED_VALUE"""),"AMH Abril")</f>
        <v>AMH Abril</v>
      </c>
      <c r="I753" s="79" t="str">
        <f ca="1">IFERROR(__xludf.DUMMYFUNCTION("""COMPUTED_VALUE"""),"Abril")</f>
        <v>Abril</v>
      </c>
      <c r="J753" s="79" t="str">
        <f ca="1">IFERROR(__xludf.DUMMYFUNCTION("""COMPUTED_VALUE"""),"AMH")</f>
        <v>AMH</v>
      </c>
      <c r="K753" s="80">
        <f ca="1">IFERROR(__xludf.DUMMYFUNCTION("""COMPUTED_VALUE"""),69)</f>
        <v>69</v>
      </c>
      <c r="L753" s="79" t="str">
        <f ca="1">IFERROR(__xludf.DUMMYFUNCTION("""COMPUTED_VALUE"""),"TRIMESTRE 2")</f>
        <v>TRIMESTRE 2</v>
      </c>
      <c r="M753" s="79" t="str">
        <f ca="1">IFERROR(__xludf.DUMMYFUNCTION("""COMPUTED_VALUE"""),"ADULTO MAYOR HOMBRE")</f>
        <v>ADULTO MAYOR HOMBRE</v>
      </c>
    </row>
    <row r="754" spans="1:13">
      <c r="A754" s="79" t="str">
        <f ca="1">IFERROR(__xludf.DUMMYFUNCTION("""COMPUTED_VALUE"""),"6.1.5.1")</f>
        <v>6.1.5.1</v>
      </c>
      <c r="B754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54" s="79" t="str">
        <f ca="1">IFERROR(__xludf.DUMMYFUNCTION("""COMPUTED_VALUE"""),"5. Inclusión")</f>
        <v>5. Inclusión</v>
      </c>
      <c r="D754" s="79" t="str">
        <f ca="1">IFERROR(__xludf.DUMMYFUNCTION("""COMPUTED_VALUE"""),"Guadalajara sin Barreras")</f>
        <v>Guadalajara sin Barreras</v>
      </c>
      <c r="E754" s="79" t="str">
        <f ca="1">IFERROR(__xludf.DUMMYFUNCTION("""COMPUTED_VALUE"""),"Atención Integral para Personas con Discapacidad")</f>
        <v>Atención Integral para Personas con Discapacidad</v>
      </c>
      <c r="F754" s="79" t="str">
        <f ca="1">IFERROR(__xludf.DUMMYFUNCTION("""COMPUTED_VALUE"""),"A1C5. Sesiones de terapia física brindadas en el Centro CAIPED en 2024")</f>
        <v>A1C5. Sesiones de terapia física brindadas en el Centro CAIPED en 2024</v>
      </c>
      <c r="G754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54" s="79" t="str">
        <f ca="1">IFERROR(__xludf.DUMMYFUNCTION("""COMPUTED_VALUE"""),"NAS Abril")</f>
        <v>NAS Abril</v>
      </c>
      <c r="I754" s="79" t="str">
        <f ca="1">IFERROR(__xludf.DUMMYFUNCTION("""COMPUTED_VALUE"""),"Abril")</f>
        <v>Abril</v>
      </c>
      <c r="J754" s="79" t="str">
        <f ca="1">IFERROR(__xludf.DUMMYFUNCTION("""COMPUTED_VALUE"""),"NAS")</f>
        <v>NAS</v>
      </c>
      <c r="K754" s="80">
        <f ca="1">IFERROR(__xludf.DUMMYFUNCTION("""COMPUTED_VALUE"""),9)</f>
        <v>9</v>
      </c>
      <c r="L754" s="79" t="str">
        <f ca="1">IFERROR(__xludf.DUMMYFUNCTION("""COMPUTED_VALUE"""),"TRIMESTRE 2")</f>
        <v>TRIMESTRE 2</v>
      </c>
      <c r="M754" s="79" t="str">
        <f ca="1">IFERROR(__xludf.DUMMYFUNCTION("""COMPUTED_VALUE"""),"NIÑAS")</f>
        <v>NIÑAS</v>
      </c>
    </row>
    <row r="755" spans="1:13">
      <c r="A755" s="79" t="str">
        <f ca="1">IFERROR(__xludf.DUMMYFUNCTION("""COMPUTED_VALUE"""),"6.1.5.1")</f>
        <v>6.1.5.1</v>
      </c>
      <c r="B755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55" s="79" t="str">
        <f ca="1">IFERROR(__xludf.DUMMYFUNCTION("""COMPUTED_VALUE"""),"5. Inclusión")</f>
        <v>5. Inclusión</v>
      </c>
      <c r="D755" s="79" t="str">
        <f ca="1">IFERROR(__xludf.DUMMYFUNCTION("""COMPUTED_VALUE"""),"Guadalajara sin Barreras")</f>
        <v>Guadalajara sin Barreras</v>
      </c>
      <c r="E755" s="79" t="str">
        <f ca="1">IFERROR(__xludf.DUMMYFUNCTION("""COMPUTED_VALUE"""),"Atención Integral para Personas con Discapacidad")</f>
        <v>Atención Integral para Personas con Discapacidad</v>
      </c>
      <c r="F755" s="79" t="str">
        <f ca="1">IFERROR(__xludf.DUMMYFUNCTION("""COMPUTED_VALUE"""),"A1C5. Sesiones de terapia física brindadas en el Centro CAIPED en 2024")</f>
        <v>A1C5. Sesiones de terapia física brindadas en el Centro CAIPED en 2024</v>
      </c>
      <c r="G755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55" s="79" t="str">
        <f ca="1">IFERROR(__xludf.DUMMYFUNCTION("""COMPUTED_VALUE"""),"NOS Abril")</f>
        <v>NOS Abril</v>
      </c>
      <c r="I755" s="79" t="str">
        <f ca="1">IFERROR(__xludf.DUMMYFUNCTION("""COMPUTED_VALUE"""),"Abril")</f>
        <v>Abril</v>
      </c>
      <c r="J755" s="79" t="str">
        <f ca="1">IFERROR(__xludf.DUMMYFUNCTION("""COMPUTED_VALUE"""),"NOS")</f>
        <v>NOS</v>
      </c>
      <c r="K755" s="80">
        <f ca="1">IFERROR(__xludf.DUMMYFUNCTION("""COMPUTED_VALUE"""),2)</f>
        <v>2</v>
      </c>
      <c r="L755" s="79" t="str">
        <f ca="1">IFERROR(__xludf.DUMMYFUNCTION("""COMPUTED_VALUE"""),"TRIMESTRE 2")</f>
        <v>TRIMESTRE 2</v>
      </c>
      <c r="M755" s="79" t="str">
        <f ca="1">IFERROR(__xludf.DUMMYFUNCTION("""COMPUTED_VALUE"""),"NIÑOS")</f>
        <v>NIÑOS</v>
      </c>
    </row>
    <row r="756" spans="1:13">
      <c r="A756" s="79" t="str">
        <f ca="1">IFERROR(__xludf.DUMMYFUNCTION("""COMPUTED_VALUE"""),"6.1.5.1")</f>
        <v>6.1.5.1</v>
      </c>
      <c r="B756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56" s="79" t="str">
        <f ca="1">IFERROR(__xludf.DUMMYFUNCTION("""COMPUTED_VALUE"""),"5. Inclusión")</f>
        <v>5. Inclusión</v>
      </c>
      <c r="D756" s="79" t="str">
        <f ca="1">IFERROR(__xludf.DUMMYFUNCTION("""COMPUTED_VALUE"""),"Guadalajara sin Barreras")</f>
        <v>Guadalajara sin Barreras</v>
      </c>
      <c r="E756" s="79" t="str">
        <f ca="1">IFERROR(__xludf.DUMMYFUNCTION("""COMPUTED_VALUE"""),"Atención Integral para Personas con Discapacidad")</f>
        <v>Atención Integral para Personas con Discapacidad</v>
      </c>
      <c r="F756" s="79" t="str">
        <f ca="1">IFERROR(__xludf.DUMMYFUNCTION("""COMPUTED_VALUE"""),"A1C5. Sesiones de terapia física brindadas en el Centro CAIPED en 2024")</f>
        <v>A1C5. Sesiones de terapia física brindadas en el Centro CAIPED en 2024</v>
      </c>
      <c r="G756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56" s="79" t="str">
        <f ca="1">IFERROR(__xludf.DUMMYFUNCTION("""COMPUTED_VALUE"""),"AM ABRIL")</f>
        <v>AM ABRIL</v>
      </c>
      <c r="I756" s="79" t="str">
        <f ca="1">IFERROR(__xludf.DUMMYFUNCTION("""COMPUTED_VALUE"""),"Abril")</f>
        <v>Abril</v>
      </c>
      <c r="J756" s="79" t="str">
        <f ca="1">IFERROR(__xludf.DUMMYFUNCTION("""COMPUTED_VALUE"""),"AM")</f>
        <v>AM</v>
      </c>
      <c r="K756" s="80">
        <f ca="1">IFERROR(__xludf.DUMMYFUNCTION("""COMPUTED_VALUE"""),0)</f>
        <v>0</v>
      </c>
      <c r="L756" s="79" t="str">
        <f ca="1">IFERROR(__xludf.DUMMYFUNCTION("""COMPUTED_VALUE"""),"TRIMESTRE 2")</f>
        <v>TRIMESTRE 2</v>
      </c>
      <c r="M756" s="79" t="str">
        <f ca="1">IFERROR(__xludf.DUMMYFUNCTION("""COMPUTED_VALUE"""),"ADOLESCENTES MUJERES")</f>
        <v>ADOLESCENTES MUJERES</v>
      </c>
    </row>
    <row r="757" spans="1:13">
      <c r="A757" s="79" t="str">
        <f ca="1">IFERROR(__xludf.DUMMYFUNCTION("""COMPUTED_VALUE"""),"6.1.5.1")</f>
        <v>6.1.5.1</v>
      </c>
      <c r="B757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57" s="79" t="str">
        <f ca="1">IFERROR(__xludf.DUMMYFUNCTION("""COMPUTED_VALUE"""),"5. Inclusión")</f>
        <v>5. Inclusión</v>
      </c>
      <c r="D757" s="79" t="str">
        <f ca="1">IFERROR(__xludf.DUMMYFUNCTION("""COMPUTED_VALUE"""),"Guadalajara sin Barreras")</f>
        <v>Guadalajara sin Barreras</v>
      </c>
      <c r="E757" s="79" t="str">
        <f ca="1">IFERROR(__xludf.DUMMYFUNCTION("""COMPUTED_VALUE"""),"Atención Integral para Personas con Discapacidad")</f>
        <v>Atención Integral para Personas con Discapacidad</v>
      </c>
      <c r="F757" s="79" t="str">
        <f ca="1">IFERROR(__xludf.DUMMYFUNCTION("""COMPUTED_VALUE"""),"A1C5. Sesiones de terapia física brindadas en el Centro CAIPED en 2024")</f>
        <v>A1C5. Sesiones de terapia física brindadas en el Centro CAIPED en 2024</v>
      </c>
      <c r="G757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57" s="79" t="str">
        <f ca="1">IFERROR(__xludf.DUMMYFUNCTION("""COMPUTED_VALUE"""),"AH ABRIL")</f>
        <v>AH ABRIL</v>
      </c>
      <c r="I757" s="79" t="str">
        <f ca="1">IFERROR(__xludf.DUMMYFUNCTION("""COMPUTED_VALUE"""),"Abril")</f>
        <v>Abril</v>
      </c>
      <c r="J757" s="79" t="str">
        <f ca="1">IFERROR(__xludf.DUMMYFUNCTION("""COMPUTED_VALUE"""),"AH")</f>
        <v>AH</v>
      </c>
      <c r="K757" s="80">
        <f ca="1">IFERROR(__xludf.DUMMYFUNCTION("""COMPUTED_VALUE"""),7)</f>
        <v>7</v>
      </c>
      <c r="L757" s="79" t="str">
        <f ca="1">IFERROR(__xludf.DUMMYFUNCTION("""COMPUTED_VALUE"""),"TRIMESTRE 2")</f>
        <v>TRIMESTRE 2</v>
      </c>
      <c r="M757" s="79" t="str">
        <f ca="1">IFERROR(__xludf.DUMMYFUNCTION("""COMPUTED_VALUE"""),"ADOLESCENTES HOMBRES")</f>
        <v>ADOLESCENTES HOMBRES</v>
      </c>
    </row>
    <row r="758" spans="1:13">
      <c r="A758" s="79" t="str">
        <f ca="1">IFERROR(__xludf.DUMMYFUNCTION("""COMPUTED_VALUE"""),"6.1.5.1")</f>
        <v>6.1.5.1</v>
      </c>
      <c r="B758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58" s="79" t="str">
        <f ca="1">IFERROR(__xludf.DUMMYFUNCTION("""COMPUTED_VALUE"""),"5. Inclusión")</f>
        <v>5. Inclusión</v>
      </c>
      <c r="D758" s="79" t="str">
        <f ca="1">IFERROR(__xludf.DUMMYFUNCTION("""COMPUTED_VALUE"""),"Guadalajara sin Barreras")</f>
        <v>Guadalajara sin Barreras</v>
      </c>
      <c r="E758" s="79" t="str">
        <f ca="1">IFERROR(__xludf.DUMMYFUNCTION("""COMPUTED_VALUE"""),"Atención Integral para Personas con Discapacidad")</f>
        <v>Atención Integral para Personas con Discapacidad</v>
      </c>
      <c r="F758" s="79" t="str">
        <f ca="1">IFERROR(__xludf.DUMMYFUNCTION("""COMPUTED_VALUE"""),"A1C5. Sesiones de terapia física brindadas en el Centro CAIPED en 2024")</f>
        <v>A1C5. Sesiones de terapia física brindadas en el Centro CAIPED en 2024</v>
      </c>
      <c r="G758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58" s="79" t="str">
        <f ca="1">IFERROR(__xludf.DUMMYFUNCTION("""COMPUTED_VALUE"""),"MUJ Abril")</f>
        <v>MUJ Abril</v>
      </c>
      <c r="I758" s="79" t="str">
        <f ca="1">IFERROR(__xludf.DUMMYFUNCTION("""COMPUTED_VALUE"""),"Abril")</f>
        <v>Abril</v>
      </c>
      <c r="J758" s="79" t="str">
        <f ca="1">IFERROR(__xludf.DUMMYFUNCTION("""COMPUTED_VALUE"""),"MUJ")</f>
        <v>MUJ</v>
      </c>
      <c r="K758" s="80">
        <f ca="1">IFERROR(__xludf.DUMMYFUNCTION("""COMPUTED_VALUE"""),137)</f>
        <v>137</v>
      </c>
      <c r="L758" s="79" t="str">
        <f ca="1">IFERROR(__xludf.DUMMYFUNCTION("""COMPUTED_VALUE"""),"TRIMESTRE 2")</f>
        <v>TRIMESTRE 2</v>
      </c>
      <c r="M758" s="79" t="str">
        <f ca="1">IFERROR(__xludf.DUMMYFUNCTION("""COMPUTED_VALUE"""),"MUJERES ADULTAS")</f>
        <v>MUJERES ADULTAS</v>
      </c>
    </row>
    <row r="759" spans="1:13">
      <c r="A759" s="79" t="str">
        <f ca="1">IFERROR(__xludf.DUMMYFUNCTION("""COMPUTED_VALUE"""),"6.1.5.1")</f>
        <v>6.1.5.1</v>
      </c>
      <c r="B759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59" s="79" t="str">
        <f ca="1">IFERROR(__xludf.DUMMYFUNCTION("""COMPUTED_VALUE"""),"5. Inclusión")</f>
        <v>5. Inclusión</v>
      </c>
      <c r="D759" s="79" t="str">
        <f ca="1">IFERROR(__xludf.DUMMYFUNCTION("""COMPUTED_VALUE"""),"Guadalajara sin Barreras")</f>
        <v>Guadalajara sin Barreras</v>
      </c>
      <c r="E759" s="79" t="str">
        <f ca="1">IFERROR(__xludf.DUMMYFUNCTION("""COMPUTED_VALUE"""),"Atención Integral para Personas con Discapacidad")</f>
        <v>Atención Integral para Personas con Discapacidad</v>
      </c>
      <c r="F759" s="79" t="str">
        <f ca="1">IFERROR(__xludf.DUMMYFUNCTION("""COMPUTED_VALUE"""),"A1C5. Sesiones de terapia física brindadas en el Centro CAIPED en 2024")</f>
        <v>A1C5. Sesiones de terapia física brindadas en el Centro CAIPED en 2024</v>
      </c>
      <c r="G759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59" s="79" t="str">
        <f ca="1">IFERROR(__xludf.DUMMYFUNCTION("""COMPUTED_VALUE"""),"HOM Abril")</f>
        <v>HOM Abril</v>
      </c>
      <c r="I759" s="79" t="str">
        <f ca="1">IFERROR(__xludf.DUMMYFUNCTION("""COMPUTED_VALUE"""),"Abril")</f>
        <v>Abril</v>
      </c>
      <c r="J759" s="79" t="str">
        <f ca="1">IFERROR(__xludf.DUMMYFUNCTION("""COMPUTED_VALUE"""),"HOM")</f>
        <v>HOM</v>
      </c>
      <c r="K759" s="80">
        <f ca="1">IFERROR(__xludf.DUMMYFUNCTION("""COMPUTED_VALUE"""),62)</f>
        <v>62</v>
      </c>
      <c r="L759" s="79" t="str">
        <f ca="1">IFERROR(__xludf.DUMMYFUNCTION("""COMPUTED_VALUE"""),"TRIMESTRE 2")</f>
        <v>TRIMESTRE 2</v>
      </c>
      <c r="M759" s="79" t="str">
        <f ca="1">IFERROR(__xludf.DUMMYFUNCTION("""COMPUTED_VALUE"""),"HOMBRES ADULTOS")</f>
        <v>HOMBRES ADULTOS</v>
      </c>
    </row>
    <row r="760" spans="1:13">
      <c r="A760" s="79" t="str">
        <f ca="1">IFERROR(__xludf.DUMMYFUNCTION("""COMPUTED_VALUE"""),"6.1.5.1")</f>
        <v>6.1.5.1</v>
      </c>
      <c r="B760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0" s="79" t="str">
        <f ca="1">IFERROR(__xludf.DUMMYFUNCTION("""COMPUTED_VALUE"""),"5. Inclusión")</f>
        <v>5. Inclusión</v>
      </c>
      <c r="D760" s="79" t="str">
        <f ca="1">IFERROR(__xludf.DUMMYFUNCTION("""COMPUTED_VALUE"""),"Guadalajara sin Barreras")</f>
        <v>Guadalajara sin Barreras</v>
      </c>
      <c r="E760" s="79" t="str">
        <f ca="1">IFERROR(__xludf.DUMMYFUNCTION("""COMPUTED_VALUE"""),"Atención Integral para Personas con Discapacidad")</f>
        <v>Atención Integral para Personas con Discapacidad</v>
      </c>
      <c r="F760" s="79" t="str">
        <f ca="1">IFERROR(__xludf.DUMMYFUNCTION("""COMPUTED_VALUE"""),"A1C5. Sesiones de terapia física brindadas en el Centro CAIPED en 2024")</f>
        <v>A1C5. Sesiones de terapia física brindadas en el Centro CAIPED en 2024</v>
      </c>
      <c r="G760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60" s="79" t="str">
        <f ca="1">IFERROR(__xludf.DUMMYFUNCTION("""COMPUTED_VALUE"""),"AMM Abril")</f>
        <v>AMM Abril</v>
      </c>
      <c r="I760" s="79" t="str">
        <f ca="1">IFERROR(__xludf.DUMMYFUNCTION("""COMPUTED_VALUE"""),"Abril")</f>
        <v>Abril</v>
      </c>
      <c r="J760" s="79" t="str">
        <f ca="1">IFERROR(__xludf.DUMMYFUNCTION("""COMPUTED_VALUE"""),"AMM")</f>
        <v>AMM</v>
      </c>
      <c r="K760" s="80">
        <f ca="1">IFERROR(__xludf.DUMMYFUNCTION("""COMPUTED_VALUE"""),311)</f>
        <v>311</v>
      </c>
      <c r="L760" s="79" t="str">
        <f ca="1">IFERROR(__xludf.DUMMYFUNCTION("""COMPUTED_VALUE"""),"TRIMESTRE 2")</f>
        <v>TRIMESTRE 2</v>
      </c>
      <c r="M760" s="79" t="str">
        <f ca="1">IFERROR(__xludf.DUMMYFUNCTION("""COMPUTED_VALUE"""),"ADULTA MAYOR MUJER")</f>
        <v>ADULTA MAYOR MUJER</v>
      </c>
    </row>
    <row r="761" spans="1:13">
      <c r="A761" s="79" t="str">
        <f ca="1">IFERROR(__xludf.DUMMYFUNCTION("""COMPUTED_VALUE"""),"6.1.5.1")</f>
        <v>6.1.5.1</v>
      </c>
      <c r="B761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1" s="79" t="str">
        <f ca="1">IFERROR(__xludf.DUMMYFUNCTION("""COMPUTED_VALUE"""),"5. Inclusión")</f>
        <v>5. Inclusión</v>
      </c>
      <c r="D761" s="79" t="str">
        <f ca="1">IFERROR(__xludf.DUMMYFUNCTION("""COMPUTED_VALUE"""),"Guadalajara sin Barreras")</f>
        <v>Guadalajara sin Barreras</v>
      </c>
      <c r="E761" s="79" t="str">
        <f ca="1">IFERROR(__xludf.DUMMYFUNCTION("""COMPUTED_VALUE"""),"Atención Integral para Personas con Discapacidad")</f>
        <v>Atención Integral para Personas con Discapacidad</v>
      </c>
      <c r="F761" s="79" t="str">
        <f ca="1">IFERROR(__xludf.DUMMYFUNCTION("""COMPUTED_VALUE"""),"A1C5. Sesiones de terapia física brindadas en el Centro CAIPED en 2024")</f>
        <v>A1C5. Sesiones de terapia física brindadas en el Centro CAIPED en 2024</v>
      </c>
      <c r="G761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61" s="79" t="str">
        <f ca="1">IFERROR(__xludf.DUMMYFUNCTION("""COMPUTED_VALUE"""),"AMH Abril")</f>
        <v>AMH Abril</v>
      </c>
      <c r="I761" s="79" t="str">
        <f ca="1">IFERROR(__xludf.DUMMYFUNCTION("""COMPUTED_VALUE"""),"Abril")</f>
        <v>Abril</v>
      </c>
      <c r="J761" s="79" t="str">
        <f ca="1">IFERROR(__xludf.DUMMYFUNCTION("""COMPUTED_VALUE"""),"AMH")</f>
        <v>AMH</v>
      </c>
      <c r="K761" s="80">
        <f ca="1">IFERROR(__xludf.DUMMYFUNCTION("""COMPUTED_VALUE"""),53)</f>
        <v>53</v>
      </c>
      <c r="L761" s="79" t="str">
        <f ca="1">IFERROR(__xludf.DUMMYFUNCTION("""COMPUTED_VALUE"""),"TRIMESTRE 2")</f>
        <v>TRIMESTRE 2</v>
      </c>
      <c r="M761" s="79" t="str">
        <f ca="1">IFERROR(__xludf.DUMMYFUNCTION("""COMPUTED_VALUE"""),"ADULTO MAYOR HOMBRE")</f>
        <v>ADULTO MAYOR HOMBRE</v>
      </c>
    </row>
    <row r="762" spans="1:13">
      <c r="A762" s="79" t="str">
        <f ca="1">IFERROR(__xludf.DUMMYFUNCTION("""COMPUTED_VALUE"""),"6.1.5.2")</f>
        <v>6.1.5.2</v>
      </c>
      <c r="B762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2" s="79" t="str">
        <f ca="1">IFERROR(__xludf.DUMMYFUNCTION("""COMPUTED_VALUE"""),"5. Inclusión")</f>
        <v>5. Inclusión</v>
      </c>
      <c r="D762" s="79" t="str">
        <f ca="1">IFERROR(__xludf.DUMMYFUNCTION("""COMPUTED_VALUE"""),"Guadalajara sin Barreras")</f>
        <v>Guadalajara sin Barreras</v>
      </c>
      <c r="E762" s="79" t="str">
        <f ca="1">IFERROR(__xludf.DUMMYFUNCTION("""COMPUTED_VALUE"""),"Atención Integral para Personas con Discapacidad")</f>
        <v>Atención Integral para Personas con Discapacidad</v>
      </c>
      <c r="F762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62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2" s="79" t="str">
        <f ca="1">IFERROR(__xludf.DUMMYFUNCTION("""COMPUTED_VALUE"""),"NAS Abril")</f>
        <v>NAS Abril</v>
      </c>
      <c r="I762" s="79" t="str">
        <f ca="1">IFERROR(__xludf.DUMMYFUNCTION("""COMPUTED_VALUE"""),"Abril")</f>
        <v>Abril</v>
      </c>
      <c r="J762" s="79" t="str">
        <f ca="1">IFERROR(__xludf.DUMMYFUNCTION("""COMPUTED_VALUE"""),"NAS")</f>
        <v>NAS</v>
      </c>
      <c r="K762" s="80">
        <f ca="1">IFERROR(__xludf.DUMMYFUNCTION("""COMPUTED_VALUE"""),1)</f>
        <v>1</v>
      </c>
      <c r="L762" s="79" t="str">
        <f ca="1">IFERROR(__xludf.DUMMYFUNCTION("""COMPUTED_VALUE"""),"TRIMESTRE 2")</f>
        <v>TRIMESTRE 2</v>
      </c>
      <c r="M762" s="79" t="str">
        <f ca="1">IFERROR(__xludf.DUMMYFUNCTION("""COMPUTED_VALUE"""),"NIÑAS")</f>
        <v>NIÑAS</v>
      </c>
    </row>
    <row r="763" spans="1:13">
      <c r="A763" s="79" t="str">
        <f ca="1">IFERROR(__xludf.DUMMYFUNCTION("""COMPUTED_VALUE"""),"6.1.5.2")</f>
        <v>6.1.5.2</v>
      </c>
      <c r="B763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3" s="79" t="str">
        <f ca="1">IFERROR(__xludf.DUMMYFUNCTION("""COMPUTED_VALUE"""),"5. Inclusión")</f>
        <v>5. Inclusión</v>
      </c>
      <c r="D763" s="79" t="str">
        <f ca="1">IFERROR(__xludf.DUMMYFUNCTION("""COMPUTED_VALUE"""),"Guadalajara sin Barreras")</f>
        <v>Guadalajara sin Barreras</v>
      </c>
      <c r="E763" s="79" t="str">
        <f ca="1">IFERROR(__xludf.DUMMYFUNCTION("""COMPUTED_VALUE"""),"Atención Integral para Personas con Discapacidad")</f>
        <v>Atención Integral para Personas con Discapacidad</v>
      </c>
      <c r="F763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63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3" s="79" t="str">
        <f ca="1">IFERROR(__xludf.DUMMYFUNCTION("""COMPUTED_VALUE"""),"NOS Abril")</f>
        <v>NOS Abril</v>
      </c>
      <c r="I763" s="79" t="str">
        <f ca="1">IFERROR(__xludf.DUMMYFUNCTION("""COMPUTED_VALUE"""),"Abril")</f>
        <v>Abril</v>
      </c>
      <c r="J763" s="79" t="str">
        <f ca="1">IFERROR(__xludf.DUMMYFUNCTION("""COMPUTED_VALUE"""),"NOS")</f>
        <v>NOS</v>
      </c>
      <c r="K763" s="80">
        <f ca="1">IFERROR(__xludf.DUMMYFUNCTION("""COMPUTED_VALUE"""),7)</f>
        <v>7</v>
      </c>
      <c r="L763" s="79" t="str">
        <f ca="1">IFERROR(__xludf.DUMMYFUNCTION("""COMPUTED_VALUE"""),"TRIMESTRE 2")</f>
        <v>TRIMESTRE 2</v>
      </c>
      <c r="M763" s="79" t="str">
        <f ca="1">IFERROR(__xludf.DUMMYFUNCTION("""COMPUTED_VALUE"""),"NIÑOS")</f>
        <v>NIÑOS</v>
      </c>
    </row>
    <row r="764" spans="1:13">
      <c r="A764" s="79" t="str">
        <f ca="1">IFERROR(__xludf.DUMMYFUNCTION("""COMPUTED_VALUE"""),"6.1.5.2")</f>
        <v>6.1.5.2</v>
      </c>
      <c r="B764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4" s="79" t="str">
        <f ca="1">IFERROR(__xludf.DUMMYFUNCTION("""COMPUTED_VALUE"""),"5. Inclusión")</f>
        <v>5. Inclusión</v>
      </c>
      <c r="D764" s="79" t="str">
        <f ca="1">IFERROR(__xludf.DUMMYFUNCTION("""COMPUTED_VALUE"""),"Guadalajara sin Barreras")</f>
        <v>Guadalajara sin Barreras</v>
      </c>
      <c r="E764" s="79" t="str">
        <f ca="1">IFERROR(__xludf.DUMMYFUNCTION("""COMPUTED_VALUE"""),"Atención Integral para Personas con Discapacidad")</f>
        <v>Atención Integral para Personas con Discapacidad</v>
      </c>
      <c r="F764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64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4" s="79" t="str">
        <f ca="1">IFERROR(__xludf.DUMMYFUNCTION("""COMPUTED_VALUE"""),"AM ABRIL")</f>
        <v>AM ABRIL</v>
      </c>
      <c r="I764" s="79" t="str">
        <f ca="1">IFERROR(__xludf.DUMMYFUNCTION("""COMPUTED_VALUE"""),"Abril")</f>
        <v>Abril</v>
      </c>
      <c r="J764" s="79" t="str">
        <f ca="1">IFERROR(__xludf.DUMMYFUNCTION("""COMPUTED_VALUE"""),"AM")</f>
        <v>AM</v>
      </c>
      <c r="K764" s="80">
        <f ca="1">IFERROR(__xludf.DUMMYFUNCTION("""COMPUTED_VALUE"""),2)</f>
        <v>2</v>
      </c>
      <c r="L764" s="79" t="str">
        <f ca="1">IFERROR(__xludf.DUMMYFUNCTION("""COMPUTED_VALUE"""),"TRIMESTRE 2")</f>
        <v>TRIMESTRE 2</v>
      </c>
      <c r="M764" s="79" t="str">
        <f ca="1">IFERROR(__xludf.DUMMYFUNCTION("""COMPUTED_VALUE"""),"ADOLESCENTES MUJERES")</f>
        <v>ADOLESCENTES MUJERES</v>
      </c>
    </row>
    <row r="765" spans="1:13">
      <c r="A765" s="79" t="str">
        <f ca="1">IFERROR(__xludf.DUMMYFUNCTION("""COMPUTED_VALUE"""),"6.1.5.2")</f>
        <v>6.1.5.2</v>
      </c>
      <c r="B765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5" s="79" t="str">
        <f ca="1">IFERROR(__xludf.DUMMYFUNCTION("""COMPUTED_VALUE"""),"5. Inclusión")</f>
        <v>5. Inclusión</v>
      </c>
      <c r="D765" s="79" t="str">
        <f ca="1">IFERROR(__xludf.DUMMYFUNCTION("""COMPUTED_VALUE"""),"Guadalajara sin Barreras")</f>
        <v>Guadalajara sin Barreras</v>
      </c>
      <c r="E765" s="79" t="str">
        <f ca="1">IFERROR(__xludf.DUMMYFUNCTION("""COMPUTED_VALUE"""),"Atención Integral para Personas con Discapacidad")</f>
        <v>Atención Integral para Personas con Discapacidad</v>
      </c>
      <c r="F765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65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5" s="79" t="str">
        <f ca="1">IFERROR(__xludf.DUMMYFUNCTION("""COMPUTED_VALUE"""),"AH ABRIL")</f>
        <v>AH ABRIL</v>
      </c>
      <c r="I765" s="79" t="str">
        <f ca="1">IFERROR(__xludf.DUMMYFUNCTION("""COMPUTED_VALUE"""),"Abril")</f>
        <v>Abril</v>
      </c>
      <c r="J765" s="79" t="str">
        <f ca="1">IFERROR(__xludf.DUMMYFUNCTION("""COMPUTED_VALUE"""),"AH")</f>
        <v>AH</v>
      </c>
      <c r="K765" s="80">
        <f ca="1">IFERROR(__xludf.DUMMYFUNCTION("""COMPUTED_VALUE"""),5)</f>
        <v>5</v>
      </c>
      <c r="L765" s="79" t="str">
        <f ca="1">IFERROR(__xludf.DUMMYFUNCTION("""COMPUTED_VALUE"""),"TRIMESTRE 2")</f>
        <v>TRIMESTRE 2</v>
      </c>
      <c r="M765" s="79" t="str">
        <f ca="1">IFERROR(__xludf.DUMMYFUNCTION("""COMPUTED_VALUE"""),"ADOLESCENTES HOMBRES")</f>
        <v>ADOLESCENTES HOMBRES</v>
      </c>
    </row>
    <row r="766" spans="1:13">
      <c r="A766" s="79" t="str">
        <f ca="1">IFERROR(__xludf.DUMMYFUNCTION("""COMPUTED_VALUE"""),"6.1.5.2")</f>
        <v>6.1.5.2</v>
      </c>
      <c r="B766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6" s="79" t="str">
        <f ca="1">IFERROR(__xludf.DUMMYFUNCTION("""COMPUTED_VALUE"""),"5. Inclusión")</f>
        <v>5. Inclusión</v>
      </c>
      <c r="D766" s="79" t="str">
        <f ca="1">IFERROR(__xludf.DUMMYFUNCTION("""COMPUTED_VALUE"""),"Guadalajara sin Barreras")</f>
        <v>Guadalajara sin Barreras</v>
      </c>
      <c r="E766" s="79" t="str">
        <f ca="1">IFERROR(__xludf.DUMMYFUNCTION("""COMPUTED_VALUE"""),"Atención Integral para Personas con Discapacidad")</f>
        <v>Atención Integral para Personas con Discapacidad</v>
      </c>
      <c r="F766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66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6" s="79" t="str">
        <f ca="1">IFERROR(__xludf.DUMMYFUNCTION("""COMPUTED_VALUE"""),"MUJ Abril")</f>
        <v>MUJ Abril</v>
      </c>
      <c r="I766" s="79" t="str">
        <f ca="1">IFERROR(__xludf.DUMMYFUNCTION("""COMPUTED_VALUE"""),"Abril")</f>
        <v>Abril</v>
      </c>
      <c r="J766" s="79" t="str">
        <f ca="1">IFERROR(__xludf.DUMMYFUNCTION("""COMPUTED_VALUE"""),"MUJ")</f>
        <v>MUJ</v>
      </c>
      <c r="K766" s="80">
        <f ca="1">IFERROR(__xludf.DUMMYFUNCTION("""COMPUTED_VALUE"""),30)</f>
        <v>30</v>
      </c>
      <c r="L766" s="79" t="str">
        <f ca="1">IFERROR(__xludf.DUMMYFUNCTION("""COMPUTED_VALUE"""),"TRIMESTRE 2")</f>
        <v>TRIMESTRE 2</v>
      </c>
      <c r="M766" s="79" t="str">
        <f ca="1">IFERROR(__xludf.DUMMYFUNCTION("""COMPUTED_VALUE"""),"MUJERES ADULTAS")</f>
        <v>MUJERES ADULTAS</v>
      </c>
    </row>
    <row r="767" spans="1:13">
      <c r="A767" s="79" t="str">
        <f ca="1">IFERROR(__xludf.DUMMYFUNCTION("""COMPUTED_VALUE"""),"6.1.5.2")</f>
        <v>6.1.5.2</v>
      </c>
      <c r="B767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7" s="79" t="str">
        <f ca="1">IFERROR(__xludf.DUMMYFUNCTION("""COMPUTED_VALUE"""),"5. Inclusión")</f>
        <v>5. Inclusión</v>
      </c>
      <c r="D767" s="79" t="str">
        <f ca="1">IFERROR(__xludf.DUMMYFUNCTION("""COMPUTED_VALUE"""),"Guadalajara sin Barreras")</f>
        <v>Guadalajara sin Barreras</v>
      </c>
      <c r="E767" s="79" t="str">
        <f ca="1">IFERROR(__xludf.DUMMYFUNCTION("""COMPUTED_VALUE"""),"Atención Integral para Personas con Discapacidad")</f>
        <v>Atención Integral para Personas con Discapacidad</v>
      </c>
      <c r="F767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67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7" s="79" t="str">
        <f ca="1">IFERROR(__xludf.DUMMYFUNCTION("""COMPUTED_VALUE"""),"HOM Abril")</f>
        <v>HOM Abril</v>
      </c>
      <c r="I767" s="79" t="str">
        <f ca="1">IFERROR(__xludf.DUMMYFUNCTION("""COMPUTED_VALUE"""),"Abril")</f>
        <v>Abril</v>
      </c>
      <c r="J767" s="79" t="str">
        <f ca="1">IFERROR(__xludf.DUMMYFUNCTION("""COMPUTED_VALUE"""),"HOM")</f>
        <v>HOM</v>
      </c>
      <c r="K767" s="80">
        <f ca="1">IFERROR(__xludf.DUMMYFUNCTION("""COMPUTED_VALUE"""),14)</f>
        <v>14</v>
      </c>
      <c r="L767" s="79" t="str">
        <f ca="1">IFERROR(__xludf.DUMMYFUNCTION("""COMPUTED_VALUE"""),"TRIMESTRE 2")</f>
        <v>TRIMESTRE 2</v>
      </c>
      <c r="M767" s="79" t="str">
        <f ca="1">IFERROR(__xludf.DUMMYFUNCTION("""COMPUTED_VALUE"""),"HOMBRES ADULTOS")</f>
        <v>HOMBRES ADULTOS</v>
      </c>
    </row>
    <row r="768" spans="1:13">
      <c r="A768" s="79" t="str">
        <f ca="1">IFERROR(__xludf.DUMMYFUNCTION("""COMPUTED_VALUE"""),"6.1.5.2")</f>
        <v>6.1.5.2</v>
      </c>
      <c r="B768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8" s="79" t="str">
        <f ca="1">IFERROR(__xludf.DUMMYFUNCTION("""COMPUTED_VALUE"""),"5. Inclusión")</f>
        <v>5. Inclusión</v>
      </c>
      <c r="D768" s="79" t="str">
        <f ca="1">IFERROR(__xludf.DUMMYFUNCTION("""COMPUTED_VALUE"""),"Guadalajara sin Barreras")</f>
        <v>Guadalajara sin Barreras</v>
      </c>
      <c r="E768" s="79" t="str">
        <f ca="1">IFERROR(__xludf.DUMMYFUNCTION("""COMPUTED_VALUE"""),"Atención Integral para Personas con Discapacidad")</f>
        <v>Atención Integral para Personas con Discapacidad</v>
      </c>
      <c r="F768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68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8" s="79" t="str">
        <f ca="1">IFERROR(__xludf.DUMMYFUNCTION("""COMPUTED_VALUE"""),"AMM Abril")</f>
        <v>AMM Abril</v>
      </c>
      <c r="I768" s="79" t="str">
        <f ca="1">IFERROR(__xludf.DUMMYFUNCTION("""COMPUTED_VALUE"""),"Abril")</f>
        <v>Abril</v>
      </c>
      <c r="J768" s="79" t="str">
        <f ca="1">IFERROR(__xludf.DUMMYFUNCTION("""COMPUTED_VALUE"""),"AMM")</f>
        <v>AMM</v>
      </c>
      <c r="K768" s="80">
        <f ca="1">IFERROR(__xludf.DUMMYFUNCTION("""COMPUTED_VALUE"""),68)</f>
        <v>68</v>
      </c>
      <c r="L768" s="79" t="str">
        <f ca="1">IFERROR(__xludf.DUMMYFUNCTION("""COMPUTED_VALUE"""),"TRIMESTRE 2")</f>
        <v>TRIMESTRE 2</v>
      </c>
      <c r="M768" s="79" t="str">
        <f ca="1">IFERROR(__xludf.DUMMYFUNCTION("""COMPUTED_VALUE"""),"ADULTA MAYOR MUJER")</f>
        <v>ADULTA MAYOR MUJER</v>
      </c>
    </row>
    <row r="769" spans="1:13">
      <c r="A769" s="79" t="str">
        <f ca="1">IFERROR(__xludf.DUMMYFUNCTION("""COMPUTED_VALUE"""),"6.1.5.2")</f>
        <v>6.1.5.2</v>
      </c>
      <c r="B769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69" s="79" t="str">
        <f ca="1">IFERROR(__xludf.DUMMYFUNCTION("""COMPUTED_VALUE"""),"5. Inclusión")</f>
        <v>5. Inclusión</v>
      </c>
      <c r="D769" s="79" t="str">
        <f ca="1">IFERROR(__xludf.DUMMYFUNCTION("""COMPUTED_VALUE"""),"Guadalajara sin Barreras")</f>
        <v>Guadalajara sin Barreras</v>
      </c>
      <c r="E769" s="79" t="str">
        <f ca="1">IFERROR(__xludf.DUMMYFUNCTION("""COMPUTED_VALUE"""),"Atención Integral para Personas con Discapacidad")</f>
        <v>Atención Integral para Personas con Discapacidad</v>
      </c>
      <c r="F769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69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69" s="79" t="str">
        <f ca="1">IFERROR(__xludf.DUMMYFUNCTION("""COMPUTED_VALUE"""),"AMH Abril")</f>
        <v>AMH Abril</v>
      </c>
      <c r="I769" s="79" t="str">
        <f ca="1">IFERROR(__xludf.DUMMYFUNCTION("""COMPUTED_VALUE"""),"Abril")</f>
        <v>Abril</v>
      </c>
      <c r="J769" s="79" t="str">
        <f ca="1">IFERROR(__xludf.DUMMYFUNCTION("""COMPUTED_VALUE"""),"AMH")</f>
        <v>AMH</v>
      </c>
      <c r="K769" s="80">
        <f ca="1">IFERROR(__xludf.DUMMYFUNCTION("""COMPUTED_VALUE"""),16)</f>
        <v>16</v>
      </c>
      <c r="L769" s="79" t="str">
        <f ca="1">IFERROR(__xludf.DUMMYFUNCTION("""COMPUTED_VALUE"""),"TRIMESTRE 2")</f>
        <v>TRIMESTRE 2</v>
      </c>
      <c r="M769" s="79" t="str">
        <f ca="1">IFERROR(__xludf.DUMMYFUNCTION("""COMPUTED_VALUE"""),"ADULTO MAYOR HOMBRE")</f>
        <v>ADULTO MAYOR HOMBRE</v>
      </c>
    </row>
    <row r="770" spans="1:13">
      <c r="A770" s="79" t="str">
        <f ca="1">IFERROR(__xludf.DUMMYFUNCTION("""COMPUTED_VALUE"""),"6.1.5.0")</f>
        <v>6.1.5.0</v>
      </c>
      <c r="B770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0" s="79" t="str">
        <f ca="1">IFERROR(__xludf.DUMMYFUNCTION("""COMPUTED_VALUE"""),"5. Inclusión")</f>
        <v>5. Inclusión</v>
      </c>
      <c r="D770" s="79" t="str">
        <f ca="1">IFERROR(__xludf.DUMMYFUNCTION("""COMPUTED_VALUE"""),"Guadalajara sin Barreras")</f>
        <v>Guadalajara sin Barreras</v>
      </c>
      <c r="E770" s="79" t="str">
        <f ca="1">IFERROR(__xludf.DUMMYFUNCTION("""COMPUTED_VALUE"""),"Atención Integral para Personas con Discapacidad")</f>
        <v>Atención Integral para Personas con Discapacidad</v>
      </c>
      <c r="F770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0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0" s="79" t="str">
        <f ca="1">IFERROR(__xludf.DUMMYFUNCTION("""COMPUTED_VALUE"""),"NAS Mayo")</f>
        <v>NAS Mayo</v>
      </c>
      <c r="I770" s="79" t="str">
        <f ca="1">IFERROR(__xludf.DUMMYFUNCTION("""COMPUTED_VALUE"""),"Mayo")</f>
        <v>Mayo</v>
      </c>
      <c r="J770" s="79" t="str">
        <f ca="1">IFERROR(__xludf.DUMMYFUNCTION("""COMPUTED_VALUE"""),"NAS")</f>
        <v>NAS</v>
      </c>
      <c r="K770" s="80">
        <f ca="1">IFERROR(__xludf.DUMMYFUNCTION("""COMPUTED_VALUE"""),18)</f>
        <v>18</v>
      </c>
      <c r="L770" s="79" t="str">
        <f ca="1">IFERROR(__xludf.DUMMYFUNCTION("""COMPUTED_VALUE"""),"TRIMESTRE 2")</f>
        <v>TRIMESTRE 2</v>
      </c>
      <c r="M770" s="79" t="str">
        <f ca="1">IFERROR(__xludf.DUMMYFUNCTION("""COMPUTED_VALUE"""),"NIÑAS")</f>
        <v>NIÑAS</v>
      </c>
    </row>
    <row r="771" spans="1:13">
      <c r="A771" s="79" t="str">
        <f ca="1">IFERROR(__xludf.DUMMYFUNCTION("""COMPUTED_VALUE"""),"6.1.5.0")</f>
        <v>6.1.5.0</v>
      </c>
      <c r="B771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1" s="79" t="str">
        <f ca="1">IFERROR(__xludf.DUMMYFUNCTION("""COMPUTED_VALUE"""),"5. Inclusión")</f>
        <v>5. Inclusión</v>
      </c>
      <c r="D771" s="79" t="str">
        <f ca="1">IFERROR(__xludf.DUMMYFUNCTION("""COMPUTED_VALUE"""),"Guadalajara sin Barreras")</f>
        <v>Guadalajara sin Barreras</v>
      </c>
      <c r="E771" s="79" t="str">
        <f ca="1">IFERROR(__xludf.DUMMYFUNCTION("""COMPUTED_VALUE"""),"Atención Integral para Personas con Discapacidad")</f>
        <v>Atención Integral para Personas con Discapacidad</v>
      </c>
      <c r="F771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1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1" s="79" t="str">
        <f ca="1">IFERROR(__xludf.DUMMYFUNCTION("""COMPUTED_VALUE"""),"NOS Mayo")</f>
        <v>NOS Mayo</v>
      </c>
      <c r="I771" s="79" t="str">
        <f ca="1">IFERROR(__xludf.DUMMYFUNCTION("""COMPUTED_VALUE"""),"Mayo")</f>
        <v>Mayo</v>
      </c>
      <c r="J771" s="79" t="str">
        <f ca="1">IFERROR(__xludf.DUMMYFUNCTION("""COMPUTED_VALUE"""),"NOS")</f>
        <v>NOS</v>
      </c>
      <c r="K771" s="80">
        <f ca="1">IFERROR(__xludf.DUMMYFUNCTION("""COMPUTED_VALUE"""),10)</f>
        <v>10</v>
      </c>
      <c r="L771" s="79" t="str">
        <f ca="1">IFERROR(__xludf.DUMMYFUNCTION("""COMPUTED_VALUE"""),"TRIMESTRE 2")</f>
        <v>TRIMESTRE 2</v>
      </c>
      <c r="M771" s="79" t="str">
        <f ca="1">IFERROR(__xludf.DUMMYFUNCTION("""COMPUTED_VALUE"""),"NIÑOS")</f>
        <v>NIÑOS</v>
      </c>
    </row>
    <row r="772" spans="1:13">
      <c r="A772" s="79" t="str">
        <f ca="1">IFERROR(__xludf.DUMMYFUNCTION("""COMPUTED_VALUE"""),"6.1.5.0")</f>
        <v>6.1.5.0</v>
      </c>
      <c r="B772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2" s="79" t="str">
        <f ca="1">IFERROR(__xludf.DUMMYFUNCTION("""COMPUTED_VALUE"""),"5. Inclusión")</f>
        <v>5. Inclusión</v>
      </c>
      <c r="D772" s="79" t="str">
        <f ca="1">IFERROR(__xludf.DUMMYFUNCTION("""COMPUTED_VALUE"""),"Guadalajara sin Barreras")</f>
        <v>Guadalajara sin Barreras</v>
      </c>
      <c r="E772" s="79" t="str">
        <f ca="1">IFERROR(__xludf.DUMMYFUNCTION("""COMPUTED_VALUE"""),"Atención Integral para Personas con Discapacidad")</f>
        <v>Atención Integral para Personas con Discapacidad</v>
      </c>
      <c r="F772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2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2" s="79" t="str">
        <f ca="1">IFERROR(__xludf.DUMMYFUNCTION("""COMPUTED_VALUE"""),"AM MAYO")</f>
        <v>AM MAYO</v>
      </c>
      <c r="I772" s="79" t="str">
        <f ca="1">IFERROR(__xludf.DUMMYFUNCTION("""COMPUTED_VALUE"""),"Mayo")</f>
        <v>Mayo</v>
      </c>
      <c r="J772" s="79" t="str">
        <f ca="1">IFERROR(__xludf.DUMMYFUNCTION("""COMPUTED_VALUE"""),"AM")</f>
        <v>AM</v>
      </c>
      <c r="K772" s="80">
        <f ca="1">IFERROR(__xludf.DUMMYFUNCTION("""COMPUTED_VALUE"""),7)</f>
        <v>7</v>
      </c>
      <c r="L772" s="79" t="str">
        <f ca="1">IFERROR(__xludf.DUMMYFUNCTION("""COMPUTED_VALUE"""),"TRIMESTRE 2")</f>
        <v>TRIMESTRE 2</v>
      </c>
      <c r="M772" s="79" t="str">
        <f ca="1">IFERROR(__xludf.DUMMYFUNCTION("""COMPUTED_VALUE"""),"ADOLESCENTES MUJERES")</f>
        <v>ADOLESCENTES MUJERES</v>
      </c>
    </row>
    <row r="773" spans="1:13">
      <c r="A773" s="79" t="str">
        <f ca="1">IFERROR(__xludf.DUMMYFUNCTION("""COMPUTED_VALUE"""),"6.1.5.0")</f>
        <v>6.1.5.0</v>
      </c>
      <c r="B773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3" s="79" t="str">
        <f ca="1">IFERROR(__xludf.DUMMYFUNCTION("""COMPUTED_VALUE"""),"5. Inclusión")</f>
        <v>5. Inclusión</v>
      </c>
      <c r="D773" s="79" t="str">
        <f ca="1">IFERROR(__xludf.DUMMYFUNCTION("""COMPUTED_VALUE"""),"Guadalajara sin Barreras")</f>
        <v>Guadalajara sin Barreras</v>
      </c>
      <c r="E773" s="79" t="str">
        <f ca="1">IFERROR(__xludf.DUMMYFUNCTION("""COMPUTED_VALUE"""),"Atención Integral para Personas con Discapacidad")</f>
        <v>Atención Integral para Personas con Discapacidad</v>
      </c>
      <c r="F773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3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3" s="79" t="str">
        <f ca="1">IFERROR(__xludf.DUMMYFUNCTION("""COMPUTED_VALUE"""),"AH MAYO")</f>
        <v>AH MAYO</v>
      </c>
      <c r="I773" s="79" t="str">
        <f ca="1">IFERROR(__xludf.DUMMYFUNCTION("""COMPUTED_VALUE"""),"Mayo")</f>
        <v>Mayo</v>
      </c>
      <c r="J773" s="79" t="str">
        <f ca="1">IFERROR(__xludf.DUMMYFUNCTION("""COMPUTED_VALUE"""),"AH")</f>
        <v>AH</v>
      </c>
      <c r="K773" s="80">
        <f ca="1">IFERROR(__xludf.DUMMYFUNCTION("""COMPUTED_VALUE"""),21)</f>
        <v>21</v>
      </c>
      <c r="L773" s="79" t="str">
        <f ca="1">IFERROR(__xludf.DUMMYFUNCTION("""COMPUTED_VALUE"""),"TRIMESTRE 2")</f>
        <v>TRIMESTRE 2</v>
      </c>
      <c r="M773" s="79" t="str">
        <f ca="1">IFERROR(__xludf.DUMMYFUNCTION("""COMPUTED_VALUE"""),"ADOLESCENTES HOMBRES")</f>
        <v>ADOLESCENTES HOMBRES</v>
      </c>
    </row>
    <row r="774" spans="1:13">
      <c r="A774" s="79" t="str">
        <f ca="1">IFERROR(__xludf.DUMMYFUNCTION("""COMPUTED_VALUE"""),"6.1.5.0")</f>
        <v>6.1.5.0</v>
      </c>
      <c r="B774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4" s="79" t="str">
        <f ca="1">IFERROR(__xludf.DUMMYFUNCTION("""COMPUTED_VALUE"""),"5. Inclusión")</f>
        <v>5. Inclusión</v>
      </c>
      <c r="D774" s="79" t="str">
        <f ca="1">IFERROR(__xludf.DUMMYFUNCTION("""COMPUTED_VALUE"""),"Guadalajara sin Barreras")</f>
        <v>Guadalajara sin Barreras</v>
      </c>
      <c r="E774" s="79" t="str">
        <f ca="1">IFERROR(__xludf.DUMMYFUNCTION("""COMPUTED_VALUE"""),"Atención Integral para Personas con Discapacidad")</f>
        <v>Atención Integral para Personas con Discapacidad</v>
      </c>
      <c r="F774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4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4" s="79" t="str">
        <f ca="1">IFERROR(__xludf.DUMMYFUNCTION("""COMPUTED_VALUE"""),"MUJ Mayo")</f>
        <v>MUJ Mayo</v>
      </c>
      <c r="I774" s="79" t="str">
        <f ca="1">IFERROR(__xludf.DUMMYFUNCTION("""COMPUTED_VALUE"""),"Mayo")</f>
        <v>Mayo</v>
      </c>
      <c r="J774" s="79" t="str">
        <f ca="1">IFERROR(__xludf.DUMMYFUNCTION("""COMPUTED_VALUE"""),"MUJ")</f>
        <v>MUJ</v>
      </c>
      <c r="K774" s="80">
        <f ca="1">IFERROR(__xludf.DUMMYFUNCTION("""COMPUTED_VALUE"""),229)</f>
        <v>229</v>
      </c>
      <c r="L774" s="79" t="str">
        <f ca="1">IFERROR(__xludf.DUMMYFUNCTION("""COMPUTED_VALUE"""),"TRIMESTRE 2")</f>
        <v>TRIMESTRE 2</v>
      </c>
      <c r="M774" s="79" t="str">
        <f ca="1">IFERROR(__xludf.DUMMYFUNCTION("""COMPUTED_VALUE"""),"MUJERES ADULTAS")</f>
        <v>MUJERES ADULTAS</v>
      </c>
    </row>
    <row r="775" spans="1:13">
      <c r="A775" s="79" t="str">
        <f ca="1">IFERROR(__xludf.DUMMYFUNCTION("""COMPUTED_VALUE"""),"6.1.5.0")</f>
        <v>6.1.5.0</v>
      </c>
      <c r="B775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5" s="79" t="str">
        <f ca="1">IFERROR(__xludf.DUMMYFUNCTION("""COMPUTED_VALUE"""),"5. Inclusión")</f>
        <v>5. Inclusión</v>
      </c>
      <c r="D775" s="79" t="str">
        <f ca="1">IFERROR(__xludf.DUMMYFUNCTION("""COMPUTED_VALUE"""),"Guadalajara sin Barreras")</f>
        <v>Guadalajara sin Barreras</v>
      </c>
      <c r="E775" s="79" t="str">
        <f ca="1">IFERROR(__xludf.DUMMYFUNCTION("""COMPUTED_VALUE"""),"Atención Integral para Personas con Discapacidad")</f>
        <v>Atención Integral para Personas con Discapacidad</v>
      </c>
      <c r="F775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5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5" s="79" t="str">
        <f ca="1">IFERROR(__xludf.DUMMYFUNCTION("""COMPUTED_VALUE"""),"HOM Mayo")</f>
        <v>HOM Mayo</v>
      </c>
      <c r="I775" s="79" t="str">
        <f ca="1">IFERROR(__xludf.DUMMYFUNCTION("""COMPUTED_VALUE"""),"Mayo")</f>
        <v>Mayo</v>
      </c>
      <c r="J775" s="79" t="str">
        <f ca="1">IFERROR(__xludf.DUMMYFUNCTION("""COMPUTED_VALUE"""),"HOM")</f>
        <v>HOM</v>
      </c>
      <c r="K775" s="80">
        <f ca="1">IFERROR(__xludf.DUMMYFUNCTION("""COMPUTED_VALUE"""),180)</f>
        <v>180</v>
      </c>
      <c r="L775" s="79" t="str">
        <f ca="1">IFERROR(__xludf.DUMMYFUNCTION("""COMPUTED_VALUE"""),"TRIMESTRE 2")</f>
        <v>TRIMESTRE 2</v>
      </c>
      <c r="M775" s="79" t="str">
        <f ca="1">IFERROR(__xludf.DUMMYFUNCTION("""COMPUTED_VALUE"""),"HOMBRES ADULTOS")</f>
        <v>HOMBRES ADULTOS</v>
      </c>
    </row>
    <row r="776" spans="1:13">
      <c r="A776" s="79" t="str">
        <f ca="1">IFERROR(__xludf.DUMMYFUNCTION("""COMPUTED_VALUE"""),"6.1.5.0")</f>
        <v>6.1.5.0</v>
      </c>
      <c r="B776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6" s="79" t="str">
        <f ca="1">IFERROR(__xludf.DUMMYFUNCTION("""COMPUTED_VALUE"""),"5. Inclusión")</f>
        <v>5. Inclusión</v>
      </c>
      <c r="D776" s="79" t="str">
        <f ca="1">IFERROR(__xludf.DUMMYFUNCTION("""COMPUTED_VALUE"""),"Guadalajara sin Barreras")</f>
        <v>Guadalajara sin Barreras</v>
      </c>
      <c r="E776" s="79" t="str">
        <f ca="1">IFERROR(__xludf.DUMMYFUNCTION("""COMPUTED_VALUE"""),"Atención Integral para Personas con Discapacidad")</f>
        <v>Atención Integral para Personas con Discapacidad</v>
      </c>
      <c r="F776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6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6" s="79" t="str">
        <f ca="1">IFERROR(__xludf.DUMMYFUNCTION("""COMPUTED_VALUE"""),"AMM Mayo")</f>
        <v>AMM Mayo</v>
      </c>
      <c r="I776" s="79" t="str">
        <f ca="1">IFERROR(__xludf.DUMMYFUNCTION("""COMPUTED_VALUE"""),"Mayo")</f>
        <v>Mayo</v>
      </c>
      <c r="J776" s="79" t="str">
        <f ca="1">IFERROR(__xludf.DUMMYFUNCTION("""COMPUTED_VALUE"""),"AMM")</f>
        <v>AMM</v>
      </c>
      <c r="K776" s="80">
        <f ca="1">IFERROR(__xludf.DUMMYFUNCTION("""COMPUTED_VALUE"""),583)</f>
        <v>583</v>
      </c>
      <c r="L776" s="79" t="str">
        <f ca="1">IFERROR(__xludf.DUMMYFUNCTION("""COMPUTED_VALUE"""),"TRIMESTRE 2")</f>
        <v>TRIMESTRE 2</v>
      </c>
      <c r="M776" s="79" t="str">
        <f ca="1">IFERROR(__xludf.DUMMYFUNCTION("""COMPUTED_VALUE"""),"ADULTA MAYOR MUJER")</f>
        <v>ADULTA MAYOR MUJER</v>
      </c>
    </row>
    <row r="777" spans="1:13">
      <c r="A777" s="79" t="str">
        <f ca="1">IFERROR(__xludf.DUMMYFUNCTION("""COMPUTED_VALUE"""),"6.1.5.0")</f>
        <v>6.1.5.0</v>
      </c>
      <c r="B777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77" s="79" t="str">
        <f ca="1">IFERROR(__xludf.DUMMYFUNCTION("""COMPUTED_VALUE"""),"5. Inclusión")</f>
        <v>5. Inclusión</v>
      </c>
      <c r="D777" s="79" t="str">
        <f ca="1">IFERROR(__xludf.DUMMYFUNCTION("""COMPUTED_VALUE"""),"Guadalajara sin Barreras")</f>
        <v>Guadalajara sin Barreras</v>
      </c>
      <c r="E777" s="79" t="str">
        <f ca="1">IFERROR(__xludf.DUMMYFUNCTION("""COMPUTED_VALUE"""),"Atención Integral para Personas con Discapacidad")</f>
        <v>Atención Integral para Personas con Discapacidad</v>
      </c>
      <c r="F777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77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77" s="79" t="str">
        <f ca="1">IFERROR(__xludf.DUMMYFUNCTION("""COMPUTED_VALUE"""),"AMH Mayo")</f>
        <v>AMH Mayo</v>
      </c>
      <c r="I777" s="79" t="str">
        <f ca="1">IFERROR(__xludf.DUMMYFUNCTION("""COMPUTED_VALUE"""),"Mayo")</f>
        <v>Mayo</v>
      </c>
      <c r="J777" s="79" t="str">
        <f ca="1">IFERROR(__xludf.DUMMYFUNCTION("""COMPUTED_VALUE"""),"AMH")</f>
        <v>AMH</v>
      </c>
      <c r="K777" s="80">
        <f ca="1">IFERROR(__xludf.DUMMYFUNCTION("""COMPUTED_VALUE"""),113)</f>
        <v>113</v>
      </c>
      <c r="L777" s="79" t="str">
        <f ca="1">IFERROR(__xludf.DUMMYFUNCTION("""COMPUTED_VALUE"""),"TRIMESTRE 2")</f>
        <v>TRIMESTRE 2</v>
      </c>
      <c r="M777" s="79" t="str">
        <f ca="1">IFERROR(__xludf.DUMMYFUNCTION("""COMPUTED_VALUE"""),"ADULTO MAYOR HOMBRE")</f>
        <v>ADULTO MAYOR HOMBRE</v>
      </c>
    </row>
    <row r="778" spans="1:13">
      <c r="A778" s="79" t="str">
        <f ca="1">IFERROR(__xludf.DUMMYFUNCTION("""COMPUTED_VALUE"""),"6.1.5.1")</f>
        <v>6.1.5.1</v>
      </c>
      <c r="B778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78" s="79" t="str">
        <f ca="1">IFERROR(__xludf.DUMMYFUNCTION("""COMPUTED_VALUE"""),"5. Inclusión")</f>
        <v>5. Inclusión</v>
      </c>
      <c r="D778" s="79" t="str">
        <f ca="1">IFERROR(__xludf.DUMMYFUNCTION("""COMPUTED_VALUE"""),"Guadalajara sin Barreras")</f>
        <v>Guadalajara sin Barreras</v>
      </c>
      <c r="E778" s="79" t="str">
        <f ca="1">IFERROR(__xludf.DUMMYFUNCTION("""COMPUTED_VALUE"""),"Atención Integral para Personas con Discapacidad")</f>
        <v>Atención Integral para Personas con Discapacidad</v>
      </c>
      <c r="F778" s="79" t="str">
        <f ca="1">IFERROR(__xludf.DUMMYFUNCTION("""COMPUTED_VALUE"""),"A1C5. Sesiones de terapia física brindadas en el Centro CAIPED en 2024")</f>
        <v>A1C5. Sesiones de terapia física brindadas en el Centro CAIPED en 2024</v>
      </c>
      <c r="G778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78" s="79" t="str">
        <f ca="1">IFERROR(__xludf.DUMMYFUNCTION("""COMPUTED_VALUE"""),"NAS Mayo")</f>
        <v>NAS Mayo</v>
      </c>
      <c r="I778" s="79" t="str">
        <f ca="1">IFERROR(__xludf.DUMMYFUNCTION("""COMPUTED_VALUE"""),"Mayo")</f>
        <v>Mayo</v>
      </c>
      <c r="J778" s="79" t="str">
        <f ca="1">IFERROR(__xludf.DUMMYFUNCTION("""COMPUTED_VALUE"""),"NAS")</f>
        <v>NAS</v>
      </c>
      <c r="K778" s="80">
        <f ca="1">IFERROR(__xludf.DUMMYFUNCTION("""COMPUTED_VALUE"""),13)</f>
        <v>13</v>
      </c>
      <c r="L778" s="79" t="str">
        <f ca="1">IFERROR(__xludf.DUMMYFUNCTION("""COMPUTED_VALUE"""),"TRIMESTRE 2")</f>
        <v>TRIMESTRE 2</v>
      </c>
      <c r="M778" s="79" t="str">
        <f ca="1">IFERROR(__xludf.DUMMYFUNCTION("""COMPUTED_VALUE"""),"NIÑAS")</f>
        <v>NIÑAS</v>
      </c>
    </row>
    <row r="779" spans="1:13">
      <c r="A779" s="79" t="str">
        <f ca="1">IFERROR(__xludf.DUMMYFUNCTION("""COMPUTED_VALUE"""),"6.1.5.1")</f>
        <v>6.1.5.1</v>
      </c>
      <c r="B779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79" s="79" t="str">
        <f ca="1">IFERROR(__xludf.DUMMYFUNCTION("""COMPUTED_VALUE"""),"5. Inclusión")</f>
        <v>5. Inclusión</v>
      </c>
      <c r="D779" s="79" t="str">
        <f ca="1">IFERROR(__xludf.DUMMYFUNCTION("""COMPUTED_VALUE"""),"Guadalajara sin Barreras")</f>
        <v>Guadalajara sin Barreras</v>
      </c>
      <c r="E779" s="79" t="str">
        <f ca="1">IFERROR(__xludf.DUMMYFUNCTION("""COMPUTED_VALUE"""),"Atención Integral para Personas con Discapacidad")</f>
        <v>Atención Integral para Personas con Discapacidad</v>
      </c>
      <c r="F779" s="79" t="str">
        <f ca="1">IFERROR(__xludf.DUMMYFUNCTION("""COMPUTED_VALUE"""),"A1C5. Sesiones de terapia física brindadas en el Centro CAIPED en 2024")</f>
        <v>A1C5. Sesiones de terapia física brindadas en el Centro CAIPED en 2024</v>
      </c>
      <c r="G779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79" s="79" t="str">
        <f ca="1">IFERROR(__xludf.DUMMYFUNCTION("""COMPUTED_VALUE"""),"NOS Mayo")</f>
        <v>NOS Mayo</v>
      </c>
      <c r="I779" s="79" t="str">
        <f ca="1">IFERROR(__xludf.DUMMYFUNCTION("""COMPUTED_VALUE"""),"Mayo")</f>
        <v>Mayo</v>
      </c>
      <c r="J779" s="79" t="str">
        <f ca="1">IFERROR(__xludf.DUMMYFUNCTION("""COMPUTED_VALUE"""),"NOS")</f>
        <v>NOS</v>
      </c>
      <c r="K779" s="80">
        <f ca="1">IFERROR(__xludf.DUMMYFUNCTION("""COMPUTED_VALUE"""),5)</f>
        <v>5</v>
      </c>
      <c r="L779" s="79" t="str">
        <f ca="1">IFERROR(__xludf.DUMMYFUNCTION("""COMPUTED_VALUE"""),"TRIMESTRE 2")</f>
        <v>TRIMESTRE 2</v>
      </c>
      <c r="M779" s="79" t="str">
        <f ca="1">IFERROR(__xludf.DUMMYFUNCTION("""COMPUTED_VALUE"""),"NIÑOS")</f>
        <v>NIÑOS</v>
      </c>
    </row>
    <row r="780" spans="1:13">
      <c r="A780" s="79" t="str">
        <f ca="1">IFERROR(__xludf.DUMMYFUNCTION("""COMPUTED_VALUE"""),"6.1.5.1")</f>
        <v>6.1.5.1</v>
      </c>
      <c r="B780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0" s="79" t="str">
        <f ca="1">IFERROR(__xludf.DUMMYFUNCTION("""COMPUTED_VALUE"""),"5. Inclusión")</f>
        <v>5. Inclusión</v>
      </c>
      <c r="D780" s="79" t="str">
        <f ca="1">IFERROR(__xludf.DUMMYFUNCTION("""COMPUTED_VALUE"""),"Guadalajara sin Barreras")</f>
        <v>Guadalajara sin Barreras</v>
      </c>
      <c r="E780" s="79" t="str">
        <f ca="1">IFERROR(__xludf.DUMMYFUNCTION("""COMPUTED_VALUE"""),"Atención Integral para Personas con Discapacidad")</f>
        <v>Atención Integral para Personas con Discapacidad</v>
      </c>
      <c r="F780" s="79" t="str">
        <f ca="1">IFERROR(__xludf.DUMMYFUNCTION("""COMPUTED_VALUE"""),"A1C5. Sesiones de terapia física brindadas en el Centro CAIPED en 2024")</f>
        <v>A1C5. Sesiones de terapia física brindadas en el Centro CAIPED en 2024</v>
      </c>
      <c r="G780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80" s="79" t="str">
        <f ca="1">IFERROR(__xludf.DUMMYFUNCTION("""COMPUTED_VALUE"""),"AM MAYO")</f>
        <v>AM MAYO</v>
      </c>
      <c r="I780" s="79" t="str">
        <f ca="1">IFERROR(__xludf.DUMMYFUNCTION("""COMPUTED_VALUE"""),"Mayo")</f>
        <v>Mayo</v>
      </c>
      <c r="J780" s="79" t="str">
        <f ca="1">IFERROR(__xludf.DUMMYFUNCTION("""COMPUTED_VALUE"""),"AM")</f>
        <v>AM</v>
      </c>
      <c r="K780" s="80">
        <f ca="1">IFERROR(__xludf.DUMMYFUNCTION("""COMPUTED_VALUE"""),3)</f>
        <v>3</v>
      </c>
      <c r="L780" s="79" t="str">
        <f ca="1">IFERROR(__xludf.DUMMYFUNCTION("""COMPUTED_VALUE"""),"TRIMESTRE 2")</f>
        <v>TRIMESTRE 2</v>
      </c>
      <c r="M780" s="79" t="str">
        <f ca="1">IFERROR(__xludf.DUMMYFUNCTION("""COMPUTED_VALUE"""),"ADOLESCENTES MUJERES")</f>
        <v>ADOLESCENTES MUJERES</v>
      </c>
    </row>
    <row r="781" spans="1:13">
      <c r="A781" s="79" t="str">
        <f ca="1">IFERROR(__xludf.DUMMYFUNCTION("""COMPUTED_VALUE"""),"6.1.5.1")</f>
        <v>6.1.5.1</v>
      </c>
      <c r="B781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1" s="79" t="str">
        <f ca="1">IFERROR(__xludf.DUMMYFUNCTION("""COMPUTED_VALUE"""),"5. Inclusión")</f>
        <v>5. Inclusión</v>
      </c>
      <c r="D781" s="79" t="str">
        <f ca="1">IFERROR(__xludf.DUMMYFUNCTION("""COMPUTED_VALUE"""),"Guadalajara sin Barreras")</f>
        <v>Guadalajara sin Barreras</v>
      </c>
      <c r="E781" s="79" t="str">
        <f ca="1">IFERROR(__xludf.DUMMYFUNCTION("""COMPUTED_VALUE"""),"Atención Integral para Personas con Discapacidad")</f>
        <v>Atención Integral para Personas con Discapacidad</v>
      </c>
      <c r="F781" s="79" t="str">
        <f ca="1">IFERROR(__xludf.DUMMYFUNCTION("""COMPUTED_VALUE"""),"A1C5. Sesiones de terapia física brindadas en el Centro CAIPED en 2024")</f>
        <v>A1C5. Sesiones de terapia física brindadas en el Centro CAIPED en 2024</v>
      </c>
      <c r="G781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81" s="79" t="str">
        <f ca="1">IFERROR(__xludf.DUMMYFUNCTION("""COMPUTED_VALUE"""),"AH MAYO")</f>
        <v>AH MAYO</v>
      </c>
      <c r="I781" s="79" t="str">
        <f ca="1">IFERROR(__xludf.DUMMYFUNCTION("""COMPUTED_VALUE"""),"Mayo")</f>
        <v>Mayo</v>
      </c>
      <c r="J781" s="79" t="str">
        <f ca="1">IFERROR(__xludf.DUMMYFUNCTION("""COMPUTED_VALUE"""),"AH")</f>
        <v>AH</v>
      </c>
      <c r="K781" s="80">
        <f ca="1">IFERROR(__xludf.DUMMYFUNCTION("""COMPUTED_VALUE"""),11)</f>
        <v>11</v>
      </c>
      <c r="L781" s="79" t="str">
        <f ca="1">IFERROR(__xludf.DUMMYFUNCTION("""COMPUTED_VALUE"""),"TRIMESTRE 2")</f>
        <v>TRIMESTRE 2</v>
      </c>
      <c r="M781" s="79" t="str">
        <f ca="1">IFERROR(__xludf.DUMMYFUNCTION("""COMPUTED_VALUE"""),"ADOLESCENTES HOMBRES")</f>
        <v>ADOLESCENTES HOMBRES</v>
      </c>
    </row>
    <row r="782" spans="1:13">
      <c r="A782" s="79" t="str">
        <f ca="1">IFERROR(__xludf.DUMMYFUNCTION("""COMPUTED_VALUE"""),"6.1.5.1")</f>
        <v>6.1.5.1</v>
      </c>
      <c r="B782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2" s="79" t="str">
        <f ca="1">IFERROR(__xludf.DUMMYFUNCTION("""COMPUTED_VALUE"""),"5. Inclusión")</f>
        <v>5. Inclusión</v>
      </c>
      <c r="D782" s="79" t="str">
        <f ca="1">IFERROR(__xludf.DUMMYFUNCTION("""COMPUTED_VALUE"""),"Guadalajara sin Barreras")</f>
        <v>Guadalajara sin Barreras</v>
      </c>
      <c r="E782" s="79" t="str">
        <f ca="1">IFERROR(__xludf.DUMMYFUNCTION("""COMPUTED_VALUE"""),"Atención Integral para Personas con Discapacidad")</f>
        <v>Atención Integral para Personas con Discapacidad</v>
      </c>
      <c r="F782" s="79" t="str">
        <f ca="1">IFERROR(__xludf.DUMMYFUNCTION("""COMPUTED_VALUE"""),"A1C5. Sesiones de terapia física brindadas en el Centro CAIPED en 2024")</f>
        <v>A1C5. Sesiones de terapia física brindadas en el Centro CAIPED en 2024</v>
      </c>
      <c r="G782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82" s="79" t="str">
        <f ca="1">IFERROR(__xludf.DUMMYFUNCTION("""COMPUTED_VALUE"""),"MUJ Mayo")</f>
        <v>MUJ Mayo</v>
      </c>
      <c r="I782" s="79" t="str">
        <f ca="1">IFERROR(__xludf.DUMMYFUNCTION("""COMPUTED_VALUE"""),"Mayo")</f>
        <v>Mayo</v>
      </c>
      <c r="J782" s="79" t="str">
        <f ca="1">IFERROR(__xludf.DUMMYFUNCTION("""COMPUTED_VALUE"""),"MUJ")</f>
        <v>MUJ</v>
      </c>
      <c r="K782" s="80">
        <f ca="1">IFERROR(__xludf.DUMMYFUNCTION("""COMPUTED_VALUE"""),197)</f>
        <v>197</v>
      </c>
      <c r="L782" s="79" t="str">
        <f ca="1">IFERROR(__xludf.DUMMYFUNCTION("""COMPUTED_VALUE"""),"TRIMESTRE 2")</f>
        <v>TRIMESTRE 2</v>
      </c>
      <c r="M782" s="79" t="str">
        <f ca="1">IFERROR(__xludf.DUMMYFUNCTION("""COMPUTED_VALUE"""),"MUJERES ADULTAS")</f>
        <v>MUJERES ADULTAS</v>
      </c>
    </row>
    <row r="783" spans="1:13">
      <c r="A783" s="79" t="str">
        <f ca="1">IFERROR(__xludf.DUMMYFUNCTION("""COMPUTED_VALUE"""),"6.1.5.1")</f>
        <v>6.1.5.1</v>
      </c>
      <c r="B783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3" s="79" t="str">
        <f ca="1">IFERROR(__xludf.DUMMYFUNCTION("""COMPUTED_VALUE"""),"5. Inclusión")</f>
        <v>5. Inclusión</v>
      </c>
      <c r="D783" s="79" t="str">
        <f ca="1">IFERROR(__xludf.DUMMYFUNCTION("""COMPUTED_VALUE"""),"Guadalajara sin Barreras")</f>
        <v>Guadalajara sin Barreras</v>
      </c>
      <c r="E783" s="79" t="str">
        <f ca="1">IFERROR(__xludf.DUMMYFUNCTION("""COMPUTED_VALUE"""),"Atención Integral para Personas con Discapacidad")</f>
        <v>Atención Integral para Personas con Discapacidad</v>
      </c>
      <c r="F783" s="79" t="str">
        <f ca="1">IFERROR(__xludf.DUMMYFUNCTION("""COMPUTED_VALUE"""),"A1C5. Sesiones de terapia física brindadas en el Centro CAIPED en 2024")</f>
        <v>A1C5. Sesiones de terapia física brindadas en el Centro CAIPED en 2024</v>
      </c>
      <c r="G783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83" s="79" t="str">
        <f ca="1">IFERROR(__xludf.DUMMYFUNCTION("""COMPUTED_VALUE"""),"HOM Mayo")</f>
        <v>HOM Mayo</v>
      </c>
      <c r="I783" s="79" t="str">
        <f ca="1">IFERROR(__xludf.DUMMYFUNCTION("""COMPUTED_VALUE"""),"Mayo")</f>
        <v>Mayo</v>
      </c>
      <c r="J783" s="79" t="str">
        <f ca="1">IFERROR(__xludf.DUMMYFUNCTION("""COMPUTED_VALUE"""),"HOM")</f>
        <v>HOM</v>
      </c>
      <c r="K783" s="80">
        <f ca="1">IFERROR(__xludf.DUMMYFUNCTION("""COMPUTED_VALUE"""),151)</f>
        <v>151</v>
      </c>
      <c r="L783" s="79" t="str">
        <f ca="1">IFERROR(__xludf.DUMMYFUNCTION("""COMPUTED_VALUE"""),"TRIMESTRE 2")</f>
        <v>TRIMESTRE 2</v>
      </c>
      <c r="M783" s="79" t="str">
        <f ca="1">IFERROR(__xludf.DUMMYFUNCTION("""COMPUTED_VALUE"""),"HOMBRES ADULTOS")</f>
        <v>HOMBRES ADULTOS</v>
      </c>
    </row>
    <row r="784" spans="1:13">
      <c r="A784" s="79" t="str">
        <f ca="1">IFERROR(__xludf.DUMMYFUNCTION("""COMPUTED_VALUE"""),"6.1.5.1")</f>
        <v>6.1.5.1</v>
      </c>
      <c r="B784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4" s="79" t="str">
        <f ca="1">IFERROR(__xludf.DUMMYFUNCTION("""COMPUTED_VALUE"""),"5. Inclusión")</f>
        <v>5. Inclusión</v>
      </c>
      <c r="D784" s="79" t="str">
        <f ca="1">IFERROR(__xludf.DUMMYFUNCTION("""COMPUTED_VALUE"""),"Guadalajara sin Barreras")</f>
        <v>Guadalajara sin Barreras</v>
      </c>
      <c r="E784" s="79" t="str">
        <f ca="1">IFERROR(__xludf.DUMMYFUNCTION("""COMPUTED_VALUE"""),"Atención Integral para Personas con Discapacidad")</f>
        <v>Atención Integral para Personas con Discapacidad</v>
      </c>
      <c r="F784" s="79" t="str">
        <f ca="1">IFERROR(__xludf.DUMMYFUNCTION("""COMPUTED_VALUE"""),"A1C5. Sesiones de terapia física brindadas en el Centro CAIPED en 2024")</f>
        <v>A1C5. Sesiones de terapia física brindadas en el Centro CAIPED en 2024</v>
      </c>
      <c r="G784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84" s="79" t="str">
        <f ca="1">IFERROR(__xludf.DUMMYFUNCTION("""COMPUTED_VALUE"""),"AMM Mayo")</f>
        <v>AMM Mayo</v>
      </c>
      <c r="I784" s="79" t="str">
        <f ca="1">IFERROR(__xludf.DUMMYFUNCTION("""COMPUTED_VALUE"""),"Mayo")</f>
        <v>Mayo</v>
      </c>
      <c r="J784" s="79" t="str">
        <f ca="1">IFERROR(__xludf.DUMMYFUNCTION("""COMPUTED_VALUE"""),"AMM")</f>
        <v>AMM</v>
      </c>
      <c r="K784" s="80">
        <f ca="1">IFERROR(__xludf.DUMMYFUNCTION("""COMPUTED_VALUE"""),513)</f>
        <v>513</v>
      </c>
      <c r="L784" s="79" t="str">
        <f ca="1">IFERROR(__xludf.DUMMYFUNCTION("""COMPUTED_VALUE"""),"TRIMESTRE 2")</f>
        <v>TRIMESTRE 2</v>
      </c>
      <c r="M784" s="79" t="str">
        <f ca="1">IFERROR(__xludf.DUMMYFUNCTION("""COMPUTED_VALUE"""),"ADULTA MAYOR MUJER")</f>
        <v>ADULTA MAYOR MUJER</v>
      </c>
    </row>
    <row r="785" spans="1:13">
      <c r="A785" s="79" t="str">
        <f ca="1">IFERROR(__xludf.DUMMYFUNCTION("""COMPUTED_VALUE"""),"6.1.5.1")</f>
        <v>6.1.5.1</v>
      </c>
      <c r="B785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5" s="79" t="str">
        <f ca="1">IFERROR(__xludf.DUMMYFUNCTION("""COMPUTED_VALUE"""),"5. Inclusión")</f>
        <v>5. Inclusión</v>
      </c>
      <c r="D785" s="79" t="str">
        <f ca="1">IFERROR(__xludf.DUMMYFUNCTION("""COMPUTED_VALUE"""),"Guadalajara sin Barreras")</f>
        <v>Guadalajara sin Barreras</v>
      </c>
      <c r="E785" s="79" t="str">
        <f ca="1">IFERROR(__xludf.DUMMYFUNCTION("""COMPUTED_VALUE"""),"Atención Integral para Personas con Discapacidad")</f>
        <v>Atención Integral para Personas con Discapacidad</v>
      </c>
      <c r="F785" s="79" t="str">
        <f ca="1">IFERROR(__xludf.DUMMYFUNCTION("""COMPUTED_VALUE"""),"A1C5. Sesiones de terapia física brindadas en el Centro CAIPED en 2024")</f>
        <v>A1C5. Sesiones de terapia física brindadas en el Centro CAIPED en 2024</v>
      </c>
      <c r="G785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785" s="79" t="str">
        <f ca="1">IFERROR(__xludf.DUMMYFUNCTION("""COMPUTED_VALUE"""),"AMH Mayo")</f>
        <v>AMH Mayo</v>
      </c>
      <c r="I785" s="79" t="str">
        <f ca="1">IFERROR(__xludf.DUMMYFUNCTION("""COMPUTED_VALUE"""),"Mayo")</f>
        <v>Mayo</v>
      </c>
      <c r="J785" s="79" t="str">
        <f ca="1">IFERROR(__xludf.DUMMYFUNCTION("""COMPUTED_VALUE"""),"AMH")</f>
        <v>AMH</v>
      </c>
      <c r="K785" s="80">
        <f ca="1">IFERROR(__xludf.DUMMYFUNCTION("""COMPUTED_VALUE"""),91)</f>
        <v>91</v>
      </c>
      <c r="L785" s="79" t="str">
        <f ca="1">IFERROR(__xludf.DUMMYFUNCTION("""COMPUTED_VALUE"""),"TRIMESTRE 2")</f>
        <v>TRIMESTRE 2</v>
      </c>
      <c r="M785" s="79" t="str">
        <f ca="1">IFERROR(__xludf.DUMMYFUNCTION("""COMPUTED_VALUE"""),"ADULTO MAYOR HOMBRE")</f>
        <v>ADULTO MAYOR HOMBRE</v>
      </c>
    </row>
    <row r="786" spans="1:13">
      <c r="A786" s="79" t="str">
        <f ca="1">IFERROR(__xludf.DUMMYFUNCTION("""COMPUTED_VALUE"""),"6.1.5.2")</f>
        <v>6.1.5.2</v>
      </c>
      <c r="B786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6" s="79" t="str">
        <f ca="1">IFERROR(__xludf.DUMMYFUNCTION("""COMPUTED_VALUE"""),"5. Inclusión")</f>
        <v>5. Inclusión</v>
      </c>
      <c r="D786" s="79" t="str">
        <f ca="1">IFERROR(__xludf.DUMMYFUNCTION("""COMPUTED_VALUE"""),"Guadalajara sin Barreras")</f>
        <v>Guadalajara sin Barreras</v>
      </c>
      <c r="E786" s="79" t="str">
        <f ca="1">IFERROR(__xludf.DUMMYFUNCTION("""COMPUTED_VALUE"""),"Atención Integral para Personas con Discapacidad")</f>
        <v>Atención Integral para Personas con Discapacidad</v>
      </c>
      <c r="F786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86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86" s="79" t="str">
        <f ca="1">IFERROR(__xludf.DUMMYFUNCTION("""COMPUTED_VALUE"""),"NAS Mayo")</f>
        <v>NAS Mayo</v>
      </c>
      <c r="I786" s="79" t="str">
        <f ca="1">IFERROR(__xludf.DUMMYFUNCTION("""COMPUTED_VALUE"""),"Mayo")</f>
        <v>Mayo</v>
      </c>
      <c r="J786" s="79" t="str">
        <f ca="1">IFERROR(__xludf.DUMMYFUNCTION("""COMPUTED_VALUE"""),"NAS")</f>
        <v>NAS</v>
      </c>
      <c r="K786" s="80">
        <f ca="1">IFERROR(__xludf.DUMMYFUNCTION("""COMPUTED_VALUE"""),5)</f>
        <v>5</v>
      </c>
      <c r="L786" s="79" t="str">
        <f ca="1">IFERROR(__xludf.DUMMYFUNCTION("""COMPUTED_VALUE"""),"TRIMESTRE 2")</f>
        <v>TRIMESTRE 2</v>
      </c>
      <c r="M786" s="79" t="str">
        <f ca="1">IFERROR(__xludf.DUMMYFUNCTION("""COMPUTED_VALUE"""),"NIÑAS")</f>
        <v>NIÑAS</v>
      </c>
    </row>
    <row r="787" spans="1:13">
      <c r="A787" s="79" t="str">
        <f ca="1">IFERROR(__xludf.DUMMYFUNCTION("""COMPUTED_VALUE"""),"6.1.5.2")</f>
        <v>6.1.5.2</v>
      </c>
      <c r="B787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7" s="79" t="str">
        <f ca="1">IFERROR(__xludf.DUMMYFUNCTION("""COMPUTED_VALUE"""),"5. Inclusión")</f>
        <v>5. Inclusión</v>
      </c>
      <c r="D787" s="79" t="str">
        <f ca="1">IFERROR(__xludf.DUMMYFUNCTION("""COMPUTED_VALUE"""),"Guadalajara sin Barreras")</f>
        <v>Guadalajara sin Barreras</v>
      </c>
      <c r="E787" s="79" t="str">
        <f ca="1">IFERROR(__xludf.DUMMYFUNCTION("""COMPUTED_VALUE"""),"Atención Integral para Personas con Discapacidad")</f>
        <v>Atención Integral para Personas con Discapacidad</v>
      </c>
      <c r="F787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87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87" s="79" t="str">
        <f ca="1">IFERROR(__xludf.DUMMYFUNCTION("""COMPUTED_VALUE"""),"NOS Mayo")</f>
        <v>NOS Mayo</v>
      </c>
      <c r="I787" s="79" t="str">
        <f ca="1">IFERROR(__xludf.DUMMYFUNCTION("""COMPUTED_VALUE"""),"Mayo")</f>
        <v>Mayo</v>
      </c>
      <c r="J787" s="79" t="str">
        <f ca="1">IFERROR(__xludf.DUMMYFUNCTION("""COMPUTED_VALUE"""),"NOS")</f>
        <v>NOS</v>
      </c>
      <c r="K787" s="80">
        <f ca="1">IFERROR(__xludf.DUMMYFUNCTION("""COMPUTED_VALUE"""),5)</f>
        <v>5</v>
      </c>
      <c r="L787" s="79" t="str">
        <f ca="1">IFERROR(__xludf.DUMMYFUNCTION("""COMPUTED_VALUE"""),"TRIMESTRE 2")</f>
        <v>TRIMESTRE 2</v>
      </c>
      <c r="M787" s="79" t="str">
        <f ca="1">IFERROR(__xludf.DUMMYFUNCTION("""COMPUTED_VALUE"""),"NIÑOS")</f>
        <v>NIÑOS</v>
      </c>
    </row>
    <row r="788" spans="1:13">
      <c r="A788" s="79" t="str">
        <f ca="1">IFERROR(__xludf.DUMMYFUNCTION("""COMPUTED_VALUE"""),"6.1.5.2")</f>
        <v>6.1.5.2</v>
      </c>
      <c r="B788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8" s="79" t="str">
        <f ca="1">IFERROR(__xludf.DUMMYFUNCTION("""COMPUTED_VALUE"""),"5. Inclusión")</f>
        <v>5. Inclusión</v>
      </c>
      <c r="D788" s="79" t="str">
        <f ca="1">IFERROR(__xludf.DUMMYFUNCTION("""COMPUTED_VALUE"""),"Guadalajara sin Barreras")</f>
        <v>Guadalajara sin Barreras</v>
      </c>
      <c r="E788" s="79" t="str">
        <f ca="1">IFERROR(__xludf.DUMMYFUNCTION("""COMPUTED_VALUE"""),"Atención Integral para Personas con Discapacidad")</f>
        <v>Atención Integral para Personas con Discapacidad</v>
      </c>
      <c r="F788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88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88" s="79" t="str">
        <f ca="1">IFERROR(__xludf.DUMMYFUNCTION("""COMPUTED_VALUE"""),"AM MAYO")</f>
        <v>AM MAYO</v>
      </c>
      <c r="I788" s="79" t="str">
        <f ca="1">IFERROR(__xludf.DUMMYFUNCTION("""COMPUTED_VALUE"""),"Mayo")</f>
        <v>Mayo</v>
      </c>
      <c r="J788" s="79" t="str">
        <f ca="1">IFERROR(__xludf.DUMMYFUNCTION("""COMPUTED_VALUE"""),"AM")</f>
        <v>AM</v>
      </c>
      <c r="K788" s="80">
        <f ca="1">IFERROR(__xludf.DUMMYFUNCTION("""COMPUTED_VALUE"""),4)</f>
        <v>4</v>
      </c>
      <c r="L788" s="79" t="str">
        <f ca="1">IFERROR(__xludf.DUMMYFUNCTION("""COMPUTED_VALUE"""),"TRIMESTRE 2")</f>
        <v>TRIMESTRE 2</v>
      </c>
      <c r="M788" s="79" t="str">
        <f ca="1">IFERROR(__xludf.DUMMYFUNCTION("""COMPUTED_VALUE"""),"ADOLESCENTES MUJERES")</f>
        <v>ADOLESCENTES MUJERES</v>
      </c>
    </row>
    <row r="789" spans="1:13">
      <c r="A789" s="79" t="str">
        <f ca="1">IFERROR(__xludf.DUMMYFUNCTION("""COMPUTED_VALUE"""),"6.1.5.2")</f>
        <v>6.1.5.2</v>
      </c>
      <c r="B789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89" s="79" t="str">
        <f ca="1">IFERROR(__xludf.DUMMYFUNCTION("""COMPUTED_VALUE"""),"5. Inclusión")</f>
        <v>5. Inclusión</v>
      </c>
      <c r="D789" s="79" t="str">
        <f ca="1">IFERROR(__xludf.DUMMYFUNCTION("""COMPUTED_VALUE"""),"Guadalajara sin Barreras")</f>
        <v>Guadalajara sin Barreras</v>
      </c>
      <c r="E789" s="79" t="str">
        <f ca="1">IFERROR(__xludf.DUMMYFUNCTION("""COMPUTED_VALUE"""),"Atención Integral para Personas con Discapacidad")</f>
        <v>Atención Integral para Personas con Discapacidad</v>
      </c>
      <c r="F789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89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89" s="79" t="str">
        <f ca="1">IFERROR(__xludf.DUMMYFUNCTION("""COMPUTED_VALUE"""),"AH MAYO")</f>
        <v>AH MAYO</v>
      </c>
      <c r="I789" s="79" t="str">
        <f ca="1">IFERROR(__xludf.DUMMYFUNCTION("""COMPUTED_VALUE"""),"Mayo")</f>
        <v>Mayo</v>
      </c>
      <c r="J789" s="79" t="str">
        <f ca="1">IFERROR(__xludf.DUMMYFUNCTION("""COMPUTED_VALUE"""),"AH")</f>
        <v>AH</v>
      </c>
      <c r="K789" s="80">
        <f ca="1">IFERROR(__xludf.DUMMYFUNCTION("""COMPUTED_VALUE"""),10)</f>
        <v>10</v>
      </c>
      <c r="L789" s="79" t="str">
        <f ca="1">IFERROR(__xludf.DUMMYFUNCTION("""COMPUTED_VALUE"""),"TRIMESTRE 2")</f>
        <v>TRIMESTRE 2</v>
      </c>
      <c r="M789" s="79" t="str">
        <f ca="1">IFERROR(__xludf.DUMMYFUNCTION("""COMPUTED_VALUE"""),"ADOLESCENTES HOMBRES")</f>
        <v>ADOLESCENTES HOMBRES</v>
      </c>
    </row>
    <row r="790" spans="1:13">
      <c r="A790" s="79" t="str">
        <f ca="1">IFERROR(__xludf.DUMMYFUNCTION("""COMPUTED_VALUE"""),"6.1.5.2")</f>
        <v>6.1.5.2</v>
      </c>
      <c r="B790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90" s="79" t="str">
        <f ca="1">IFERROR(__xludf.DUMMYFUNCTION("""COMPUTED_VALUE"""),"5. Inclusión")</f>
        <v>5. Inclusión</v>
      </c>
      <c r="D790" s="79" t="str">
        <f ca="1">IFERROR(__xludf.DUMMYFUNCTION("""COMPUTED_VALUE"""),"Guadalajara sin Barreras")</f>
        <v>Guadalajara sin Barreras</v>
      </c>
      <c r="E790" s="79" t="str">
        <f ca="1">IFERROR(__xludf.DUMMYFUNCTION("""COMPUTED_VALUE"""),"Atención Integral para Personas con Discapacidad")</f>
        <v>Atención Integral para Personas con Discapacidad</v>
      </c>
      <c r="F790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90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90" s="79" t="str">
        <f ca="1">IFERROR(__xludf.DUMMYFUNCTION("""COMPUTED_VALUE"""),"MUJ Mayo")</f>
        <v>MUJ Mayo</v>
      </c>
      <c r="I790" s="79" t="str">
        <f ca="1">IFERROR(__xludf.DUMMYFUNCTION("""COMPUTED_VALUE"""),"Mayo")</f>
        <v>Mayo</v>
      </c>
      <c r="J790" s="79" t="str">
        <f ca="1">IFERROR(__xludf.DUMMYFUNCTION("""COMPUTED_VALUE"""),"MUJ")</f>
        <v>MUJ</v>
      </c>
      <c r="K790" s="80">
        <f ca="1">IFERROR(__xludf.DUMMYFUNCTION("""COMPUTED_VALUE"""),32)</f>
        <v>32</v>
      </c>
      <c r="L790" s="79" t="str">
        <f ca="1">IFERROR(__xludf.DUMMYFUNCTION("""COMPUTED_VALUE"""),"TRIMESTRE 2")</f>
        <v>TRIMESTRE 2</v>
      </c>
      <c r="M790" s="79" t="str">
        <f ca="1">IFERROR(__xludf.DUMMYFUNCTION("""COMPUTED_VALUE"""),"MUJERES ADULTAS")</f>
        <v>MUJERES ADULTAS</v>
      </c>
    </row>
    <row r="791" spans="1:13">
      <c r="A791" s="79" t="str">
        <f ca="1">IFERROR(__xludf.DUMMYFUNCTION("""COMPUTED_VALUE"""),"6.1.5.2")</f>
        <v>6.1.5.2</v>
      </c>
      <c r="B791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91" s="79" t="str">
        <f ca="1">IFERROR(__xludf.DUMMYFUNCTION("""COMPUTED_VALUE"""),"5. Inclusión")</f>
        <v>5. Inclusión</v>
      </c>
      <c r="D791" s="79" t="str">
        <f ca="1">IFERROR(__xludf.DUMMYFUNCTION("""COMPUTED_VALUE"""),"Guadalajara sin Barreras")</f>
        <v>Guadalajara sin Barreras</v>
      </c>
      <c r="E791" s="79" t="str">
        <f ca="1">IFERROR(__xludf.DUMMYFUNCTION("""COMPUTED_VALUE"""),"Atención Integral para Personas con Discapacidad")</f>
        <v>Atención Integral para Personas con Discapacidad</v>
      </c>
      <c r="F791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91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91" s="79" t="str">
        <f ca="1">IFERROR(__xludf.DUMMYFUNCTION("""COMPUTED_VALUE"""),"HOM Mayo")</f>
        <v>HOM Mayo</v>
      </c>
      <c r="I791" s="79" t="str">
        <f ca="1">IFERROR(__xludf.DUMMYFUNCTION("""COMPUTED_VALUE"""),"Mayo")</f>
        <v>Mayo</v>
      </c>
      <c r="J791" s="79" t="str">
        <f ca="1">IFERROR(__xludf.DUMMYFUNCTION("""COMPUTED_VALUE"""),"HOM")</f>
        <v>HOM</v>
      </c>
      <c r="K791" s="80">
        <f ca="1">IFERROR(__xludf.DUMMYFUNCTION("""COMPUTED_VALUE"""),29)</f>
        <v>29</v>
      </c>
      <c r="L791" s="79" t="str">
        <f ca="1">IFERROR(__xludf.DUMMYFUNCTION("""COMPUTED_VALUE"""),"TRIMESTRE 2")</f>
        <v>TRIMESTRE 2</v>
      </c>
      <c r="M791" s="79" t="str">
        <f ca="1">IFERROR(__xludf.DUMMYFUNCTION("""COMPUTED_VALUE"""),"HOMBRES ADULTOS")</f>
        <v>HOMBRES ADULTOS</v>
      </c>
    </row>
    <row r="792" spans="1:13">
      <c r="A792" s="79" t="str">
        <f ca="1">IFERROR(__xludf.DUMMYFUNCTION("""COMPUTED_VALUE"""),"6.1.5.2")</f>
        <v>6.1.5.2</v>
      </c>
      <c r="B792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92" s="79" t="str">
        <f ca="1">IFERROR(__xludf.DUMMYFUNCTION("""COMPUTED_VALUE"""),"5. Inclusión")</f>
        <v>5. Inclusión</v>
      </c>
      <c r="D792" s="79" t="str">
        <f ca="1">IFERROR(__xludf.DUMMYFUNCTION("""COMPUTED_VALUE"""),"Guadalajara sin Barreras")</f>
        <v>Guadalajara sin Barreras</v>
      </c>
      <c r="E792" s="79" t="str">
        <f ca="1">IFERROR(__xludf.DUMMYFUNCTION("""COMPUTED_VALUE"""),"Atención Integral para Personas con Discapacidad")</f>
        <v>Atención Integral para Personas con Discapacidad</v>
      </c>
      <c r="F792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92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92" s="79" t="str">
        <f ca="1">IFERROR(__xludf.DUMMYFUNCTION("""COMPUTED_VALUE"""),"AMM Mayo")</f>
        <v>AMM Mayo</v>
      </c>
      <c r="I792" s="79" t="str">
        <f ca="1">IFERROR(__xludf.DUMMYFUNCTION("""COMPUTED_VALUE"""),"Mayo")</f>
        <v>Mayo</v>
      </c>
      <c r="J792" s="79" t="str">
        <f ca="1">IFERROR(__xludf.DUMMYFUNCTION("""COMPUTED_VALUE"""),"AMM")</f>
        <v>AMM</v>
      </c>
      <c r="K792" s="80">
        <f ca="1">IFERROR(__xludf.DUMMYFUNCTION("""COMPUTED_VALUE"""),70)</f>
        <v>70</v>
      </c>
      <c r="L792" s="79" t="str">
        <f ca="1">IFERROR(__xludf.DUMMYFUNCTION("""COMPUTED_VALUE"""),"TRIMESTRE 2")</f>
        <v>TRIMESTRE 2</v>
      </c>
      <c r="M792" s="79" t="str">
        <f ca="1">IFERROR(__xludf.DUMMYFUNCTION("""COMPUTED_VALUE"""),"ADULTA MAYOR MUJER")</f>
        <v>ADULTA MAYOR MUJER</v>
      </c>
    </row>
    <row r="793" spans="1:13">
      <c r="A793" s="79" t="str">
        <f ca="1">IFERROR(__xludf.DUMMYFUNCTION("""COMPUTED_VALUE"""),"6.1.5.2")</f>
        <v>6.1.5.2</v>
      </c>
      <c r="B793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793" s="79" t="str">
        <f ca="1">IFERROR(__xludf.DUMMYFUNCTION("""COMPUTED_VALUE"""),"5. Inclusión")</f>
        <v>5. Inclusión</v>
      </c>
      <c r="D793" s="79" t="str">
        <f ca="1">IFERROR(__xludf.DUMMYFUNCTION("""COMPUTED_VALUE"""),"Guadalajara sin Barreras")</f>
        <v>Guadalajara sin Barreras</v>
      </c>
      <c r="E793" s="79" t="str">
        <f ca="1">IFERROR(__xludf.DUMMYFUNCTION("""COMPUTED_VALUE"""),"Atención Integral para Personas con Discapacidad")</f>
        <v>Atención Integral para Personas con Discapacidad</v>
      </c>
      <c r="F793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793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793" s="79" t="str">
        <f ca="1">IFERROR(__xludf.DUMMYFUNCTION("""COMPUTED_VALUE"""),"AMH Mayo")</f>
        <v>AMH Mayo</v>
      </c>
      <c r="I793" s="79" t="str">
        <f ca="1">IFERROR(__xludf.DUMMYFUNCTION("""COMPUTED_VALUE"""),"Mayo")</f>
        <v>Mayo</v>
      </c>
      <c r="J793" s="79" t="str">
        <f ca="1">IFERROR(__xludf.DUMMYFUNCTION("""COMPUTED_VALUE"""),"AMH")</f>
        <v>AMH</v>
      </c>
      <c r="K793" s="80">
        <f ca="1">IFERROR(__xludf.DUMMYFUNCTION("""COMPUTED_VALUE"""),22)</f>
        <v>22</v>
      </c>
      <c r="L793" s="79" t="str">
        <f ca="1">IFERROR(__xludf.DUMMYFUNCTION("""COMPUTED_VALUE"""),"TRIMESTRE 2")</f>
        <v>TRIMESTRE 2</v>
      </c>
      <c r="M793" s="79" t="str">
        <f ca="1">IFERROR(__xludf.DUMMYFUNCTION("""COMPUTED_VALUE"""),"ADULTO MAYOR HOMBRE")</f>
        <v>ADULTO MAYOR HOMBRE</v>
      </c>
    </row>
    <row r="794" spans="1:13">
      <c r="A794" s="79" t="str">
        <f ca="1">IFERROR(__xludf.DUMMYFUNCTION("""COMPUTED_VALUE"""),"6.1.5.0")</f>
        <v>6.1.5.0</v>
      </c>
      <c r="B794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94" s="79" t="str">
        <f ca="1">IFERROR(__xludf.DUMMYFUNCTION("""COMPUTED_VALUE"""),"5. Inclusión")</f>
        <v>5. Inclusión</v>
      </c>
      <c r="D794" s="79" t="str">
        <f ca="1">IFERROR(__xludf.DUMMYFUNCTION("""COMPUTED_VALUE"""),"Guadalajara sin Barreras")</f>
        <v>Guadalajara sin Barreras</v>
      </c>
      <c r="E794" s="79" t="str">
        <f ca="1">IFERROR(__xludf.DUMMYFUNCTION("""COMPUTED_VALUE"""),"Atención Integral para Personas con Discapacidad")</f>
        <v>Atención Integral para Personas con Discapacidad</v>
      </c>
      <c r="F794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94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94" s="79" t="str">
        <f ca="1">IFERROR(__xludf.DUMMYFUNCTION("""COMPUTED_VALUE"""),"NAS Junio")</f>
        <v>NAS Junio</v>
      </c>
      <c r="I794" s="79" t="str">
        <f ca="1">IFERROR(__xludf.DUMMYFUNCTION("""COMPUTED_VALUE"""),"Junio")</f>
        <v>Junio</v>
      </c>
      <c r="J794" s="79" t="str">
        <f ca="1">IFERROR(__xludf.DUMMYFUNCTION("""COMPUTED_VALUE"""),"NAS")</f>
        <v>NAS</v>
      </c>
      <c r="K794" s="80">
        <f ca="1">IFERROR(__xludf.DUMMYFUNCTION("""COMPUTED_VALUE"""),12)</f>
        <v>12</v>
      </c>
      <c r="L794" s="79" t="str">
        <f ca="1">IFERROR(__xludf.DUMMYFUNCTION("""COMPUTED_VALUE"""),"TRIMESTRE 2")</f>
        <v>TRIMESTRE 2</v>
      </c>
      <c r="M794" s="79" t="str">
        <f ca="1">IFERROR(__xludf.DUMMYFUNCTION("""COMPUTED_VALUE"""),"NIÑAS")</f>
        <v>NIÑAS</v>
      </c>
    </row>
    <row r="795" spans="1:13">
      <c r="A795" s="79" t="str">
        <f ca="1">IFERROR(__xludf.DUMMYFUNCTION("""COMPUTED_VALUE"""),"6.1.5.0")</f>
        <v>6.1.5.0</v>
      </c>
      <c r="B795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95" s="79" t="str">
        <f ca="1">IFERROR(__xludf.DUMMYFUNCTION("""COMPUTED_VALUE"""),"5. Inclusión")</f>
        <v>5. Inclusión</v>
      </c>
      <c r="D795" s="79" t="str">
        <f ca="1">IFERROR(__xludf.DUMMYFUNCTION("""COMPUTED_VALUE"""),"Guadalajara sin Barreras")</f>
        <v>Guadalajara sin Barreras</v>
      </c>
      <c r="E795" s="79" t="str">
        <f ca="1">IFERROR(__xludf.DUMMYFUNCTION("""COMPUTED_VALUE"""),"Atención Integral para Personas con Discapacidad")</f>
        <v>Atención Integral para Personas con Discapacidad</v>
      </c>
      <c r="F795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95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95" s="79" t="str">
        <f ca="1">IFERROR(__xludf.DUMMYFUNCTION("""COMPUTED_VALUE"""),"NOS Junio")</f>
        <v>NOS Junio</v>
      </c>
      <c r="I795" s="79" t="str">
        <f ca="1">IFERROR(__xludf.DUMMYFUNCTION("""COMPUTED_VALUE"""),"Junio")</f>
        <v>Junio</v>
      </c>
      <c r="J795" s="79" t="str">
        <f ca="1">IFERROR(__xludf.DUMMYFUNCTION("""COMPUTED_VALUE"""),"NOS")</f>
        <v>NOS</v>
      </c>
      <c r="K795" s="80">
        <f ca="1">IFERROR(__xludf.DUMMYFUNCTION("""COMPUTED_VALUE"""),5)</f>
        <v>5</v>
      </c>
      <c r="L795" s="79" t="str">
        <f ca="1">IFERROR(__xludf.DUMMYFUNCTION("""COMPUTED_VALUE"""),"TRIMESTRE 2")</f>
        <v>TRIMESTRE 2</v>
      </c>
      <c r="M795" s="79" t="str">
        <f ca="1">IFERROR(__xludf.DUMMYFUNCTION("""COMPUTED_VALUE"""),"NIÑOS")</f>
        <v>NIÑOS</v>
      </c>
    </row>
    <row r="796" spans="1:13">
      <c r="A796" s="79" t="str">
        <f ca="1">IFERROR(__xludf.DUMMYFUNCTION("""COMPUTED_VALUE"""),"6.1.5.0")</f>
        <v>6.1.5.0</v>
      </c>
      <c r="B796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96" s="79" t="str">
        <f ca="1">IFERROR(__xludf.DUMMYFUNCTION("""COMPUTED_VALUE"""),"5. Inclusión")</f>
        <v>5. Inclusión</v>
      </c>
      <c r="D796" s="79" t="str">
        <f ca="1">IFERROR(__xludf.DUMMYFUNCTION("""COMPUTED_VALUE"""),"Guadalajara sin Barreras")</f>
        <v>Guadalajara sin Barreras</v>
      </c>
      <c r="E796" s="79" t="str">
        <f ca="1">IFERROR(__xludf.DUMMYFUNCTION("""COMPUTED_VALUE"""),"Atención Integral para Personas con Discapacidad")</f>
        <v>Atención Integral para Personas con Discapacidad</v>
      </c>
      <c r="F796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96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96" s="79" t="str">
        <f ca="1">IFERROR(__xludf.DUMMYFUNCTION("""COMPUTED_VALUE"""),"AM JUNIO")</f>
        <v>AM JUNIO</v>
      </c>
      <c r="I796" s="79" t="str">
        <f ca="1">IFERROR(__xludf.DUMMYFUNCTION("""COMPUTED_VALUE"""),"Junio")</f>
        <v>Junio</v>
      </c>
      <c r="J796" s="79" t="str">
        <f ca="1">IFERROR(__xludf.DUMMYFUNCTION("""COMPUTED_VALUE"""),"AM")</f>
        <v>AM</v>
      </c>
      <c r="K796" s="80">
        <f ca="1">IFERROR(__xludf.DUMMYFUNCTION("""COMPUTED_VALUE"""),10)</f>
        <v>10</v>
      </c>
      <c r="L796" s="79" t="str">
        <f ca="1">IFERROR(__xludf.DUMMYFUNCTION("""COMPUTED_VALUE"""),"TRIMESTRE 2")</f>
        <v>TRIMESTRE 2</v>
      </c>
      <c r="M796" s="79" t="str">
        <f ca="1">IFERROR(__xludf.DUMMYFUNCTION("""COMPUTED_VALUE"""),"ADOLESCENTES MUJERES")</f>
        <v>ADOLESCENTES MUJERES</v>
      </c>
    </row>
    <row r="797" spans="1:13">
      <c r="A797" s="79" t="str">
        <f ca="1">IFERROR(__xludf.DUMMYFUNCTION("""COMPUTED_VALUE"""),"6.1.5.0")</f>
        <v>6.1.5.0</v>
      </c>
      <c r="B797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97" s="79" t="str">
        <f ca="1">IFERROR(__xludf.DUMMYFUNCTION("""COMPUTED_VALUE"""),"5. Inclusión")</f>
        <v>5. Inclusión</v>
      </c>
      <c r="D797" s="79" t="str">
        <f ca="1">IFERROR(__xludf.DUMMYFUNCTION("""COMPUTED_VALUE"""),"Guadalajara sin Barreras")</f>
        <v>Guadalajara sin Barreras</v>
      </c>
      <c r="E797" s="79" t="str">
        <f ca="1">IFERROR(__xludf.DUMMYFUNCTION("""COMPUTED_VALUE"""),"Atención Integral para Personas con Discapacidad")</f>
        <v>Atención Integral para Personas con Discapacidad</v>
      </c>
      <c r="F797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97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97" s="79" t="str">
        <f ca="1">IFERROR(__xludf.DUMMYFUNCTION("""COMPUTED_VALUE"""),"AH JUNIO")</f>
        <v>AH JUNIO</v>
      </c>
      <c r="I797" s="79" t="str">
        <f ca="1">IFERROR(__xludf.DUMMYFUNCTION("""COMPUTED_VALUE"""),"Junio")</f>
        <v>Junio</v>
      </c>
      <c r="J797" s="79" t="str">
        <f ca="1">IFERROR(__xludf.DUMMYFUNCTION("""COMPUTED_VALUE"""),"AH")</f>
        <v>AH</v>
      </c>
      <c r="K797" s="80">
        <f ca="1">IFERROR(__xludf.DUMMYFUNCTION("""COMPUTED_VALUE"""),7)</f>
        <v>7</v>
      </c>
      <c r="L797" s="79" t="str">
        <f ca="1">IFERROR(__xludf.DUMMYFUNCTION("""COMPUTED_VALUE"""),"TRIMESTRE 2")</f>
        <v>TRIMESTRE 2</v>
      </c>
      <c r="M797" s="79" t="str">
        <f ca="1">IFERROR(__xludf.DUMMYFUNCTION("""COMPUTED_VALUE"""),"ADOLESCENTES HOMBRES")</f>
        <v>ADOLESCENTES HOMBRES</v>
      </c>
    </row>
    <row r="798" spans="1:13">
      <c r="A798" s="79" t="str">
        <f ca="1">IFERROR(__xludf.DUMMYFUNCTION("""COMPUTED_VALUE"""),"6.1.5.0")</f>
        <v>6.1.5.0</v>
      </c>
      <c r="B798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98" s="79" t="str">
        <f ca="1">IFERROR(__xludf.DUMMYFUNCTION("""COMPUTED_VALUE"""),"5. Inclusión")</f>
        <v>5. Inclusión</v>
      </c>
      <c r="D798" s="79" t="str">
        <f ca="1">IFERROR(__xludf.DUMMYFUNCTION("""COMPUTED_VALUE"""),"Guadalajara sin Barreras")</f>
        <v>Guadalajara sin Barreras</v>
      </c>
      <c r="E798" s="79" t="str">
        <f ca="1">IFERROR(__xludf.DUMMYFUNCTION("""COMPUTED_VALUE"""),"Atención Integral para Personas con Discapacidad")</f>
        <v>Atención Integral para Personas con Discapacidad</v>
      </c>
      <c r="F798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98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98" s="79" t="str">
        <f ca="1">IFERROR(__xludf.DUMMYFUNCTION("""COMPUTED_VALUE"""),"MUJ Junio")</f>
        <v>MUJ Junio</v>
      </c>
      <c r="I798" s="79" t="str">
        <f ca="1">IFERROR(__xludf.DUMMYFUNCTION("""COMPUTED_VALUE"""),"Junio")</f>
        <v>Junio</v>
      </c>
      <c r="J798" s="79" t="str">
        <f ca="1">IFERROR(__xludf.DUMMYFUNCTION("""COMPUTED_VALUE"""),"MUJ")</f>
        <v>MUJ</v>
      </c>
      <c r="K798" s="80">
        <f ca="1">IFERROR(__xludf.DUMMYFUNCTION("""COMPUTED_VALUE"""),182)</f>
        <v>182</v>
      </c>
      <c r="L798" s="79" t="str">
        <f ca="1">IFERROR(__xludf.DUMMYFUNCTION("""COMPUTED_VALUE"""),"TRIMESTRE 2")</f>
        <v>TRIMESTRE 2</v>
      </c>
      <c r="M798" s="79" t="str">
        <f ca="1">IFERROR(__xludf.DUMMYFUNCTION("""COMPUTED_VALUE"""),"MUJERES ADULTAS")</f>
        <v>MUJERES ADULTAS</v>
      </c>
    </row>
    <row r="799" spans="1:13">
      <c r="A799" s="79" t="str">
        <f ca="1">IFERROR(__xludf.DUMMYFUNCTION("""COMPUTED_VALUE"""),"6.1.5.0")</f>
        <v>6.1.5.0</v>
      </c>
      <c r="B799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799" s="79" t="str">
        <f ca="1">IFERROR(__xludf.DUMMYFUNCTION("""COMPUTED_VALUE"""),"5. Inclusión")</f>
        <v>5. Inclusión</v>
      </c>
      <c r="D799" s="79" t="str">
        <f ca="1">IFERROR(__xludf.DUMMYFUNCTION("""COMPUTED_VALUE"""),"Guadalajara sin Barreras")</f>
        <v>Guadalajara sin Barreras</v>
      </c>
      <c r="E799" s="79" t="str">
        <f ca="1">IFERROR(__xludf.DUMMYFUNCTION("""COMPUTED_VALUE"""),"Atención Integral para Personas con Discapacidad")</f>
        <v>Atención Integral para Personas con Discapacidad</v>
      </c>
      <c r="F799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799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799" s="79" t="str">
        <f ca="1">IFERROR(__xludf.DUMMYFUNCTION("""COMPUTED_VALUE"""),"HOM Junio")</f>
        <v>HOM Junio</v>
      </c>
      <c r="I799" s="79" t="str">
        <f ca="1">IFERROR(__xludf.DUMMYFUNCTION("""COMPUTED_VALUE"""),"Junio")</f>
        <v>Junio</v>
      </c>
      <c r="J799" s="79" t="str">
        <f ca="1">IFERROR(__xludf.DUMMYFUNCTION("""COMPUTED_VALUE"""),"HOM")</f>
        <v>HOM</v>
      </c>
      <c r="K799" s="80">
        <f ca="1">IFERROR(__xludf.DUMMYFUNCTION("""COMPUTED_VALUE"""),154)</f>
        <v>154</v>
      </c>
      <c r="L799" s="79" t="str">
        <f ca="1">IFERROR(__xludf.DUMMYFUNCTION("""COMPUTED_VALUE"""),"TRIMESTRE 2")</f>
        <v>TRIMESTRE 2</v>
      </c>
      <c r="M799" s="79" t="str">
        <f ca="1">IFERROR(__xludf.DUMMYFUNCTION("""COMPUTED_VALUE"""),"HOMBRES ADULTOS")</f>
        <v>HOMBRES ADULTOS</v>
      </c>
    </row>
    <row r="800" spans="1:13">
      <c r="A800" s="79" t="str">
        <f ca="1">IFERROR(__xludf.DUMMYFUNCTION("""COMPUTED_VALUE"""),"6.1.5.0")</f>
        <v>6.1.5.0</v>
      </c>
      <c r="B800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00" s="79" t="str">
        <f ca="1">IFERROR(__xludf.DUMMYFUNCTION("""COMPUTED_VALUE"""),"5. Inclusión")</f>
        <v>5. Inclusión</v>
      </c>
      <c r="D800" s="79" t="str">
        <f ca="1">IFERROR(__xludf.DUMMYFUNCTION("""COMPUTED_VALUE"""),"Guadalajara sin Barreras")</f>
        <v>Guadalajara sin Barreras</v>
      </c>
      <c r="E800" s="79" t="str">
        <f ca="1">IFERROR(__xludf.DUMMYFUNCTION("""COMPUTED_VALUE"""),"Atención Integral para Personas con Discapacidad")</f>
        <v>Atención Integral para Personas con Discapacidad</v>
      </c>
      <c r="F800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00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00" s="79" t="str">
        <f ca="1">IFERROR(__xludf.DUMMYFUNCTION("""COMPUTED_VALUE"""),"AMM Junio")</f>
        <v>AMM Junio</v>
      </c>
      <c r="I800" s="79" t="str">
        <f ca="1">IFERROR(__xludf.DUMMYFUNCTION("""COMPUTED_VALUE"""),"Junio")</f>
        <v>Junio</v>
      </c>
      <c r="J800" s="79" t="str">
        <f ca="1">IFERROR(__xludf.DUMMYFUNCTION("""COMPUTED_VALUE"""),"AMM")</f>
        <v>AMM</v>
      </c>
      <c r="K800" s="80">
        <f ca="1">IFERROR(__xludf.DUMMYFUNCTION("""COMPUTED_VALUE"""),404)</f>
        <v>404</v>
      </c>
      <c r="L800" s="79" t="str">
        <f ca="1">IFERROR(__xludf.DUMMYFUNCTION("""COMPUTED_VALUE"""),"TRIMESTRE 2")</f>
        <v>TRIMESTRE 2</v>
      </c>
      <c r="M800" s="79" t="str">
        <f ca="1">IFERROR(__xludf.DUMMYFUNCTION("""COMPUTED_VALUE"""),"ADULTA MAYOR MUJER")</f>
        <v>ADULTA MAYOR MUJER</v>
      </c>
    </row>
    <row r="801" spans="1:13">
      <c r="A801" s="79" t="str">
        <f ca="1">IFERROR(__xludf.DUMMYFUNCTION("""COMPUTED_VALUE"""),"6.1.5.0")</f>
        <v>6.1.5.0</v>
      </c>
      <c r="B801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01" s="79" t="str">
        <f ca="1">IFERROR(__xludf.DUMMYFUNCTION("""COMPUTED_VALUE"""),"5. Inclusión")</f>
        <v>5. Inclusión</v>
      </c>
      <c r="D801" s="79" t="str">
        <f ca="1">IFERROR(__xludf.DUMMYFUNCTION("""COMPUTED_VALUE"""),"Guadalajara sin Barreras")</f>
        <v>Guadalajara sin Barreras</v>
      </c>
      <c r="E801" s="79" t="str">
        <f ca="1">IFERROR(__xludf.DUMMYFUNCTION("""COMPUTED_VALUE"""),"Atención Integral para Personas con Discapacidad")</f>
        <v>Atención Integral para Personas con Discapacidad</v>
      </c>
      <c r="F801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01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01" s="79" t="str">
        <f ca="1">IFERROR(__xludf.DUMMYFUNCTION("""COMPUTED_VALUE"""),"AMH Junio")</f>
        <v>AMH Junio</v>
      </c>
      <c r="I801" s="79" t="str">
        <f ca="1">IFERROR(__xludf.DUMMYFUNCTION("""COMPUTED_VALUE"""),"Junio")</f>
        <v>Junio</v>
      </c>
      <c r="J801" s="79" t="str">
        <f ca="1">IFERROR(__xludf.DUMMYFUNCTION("""COMPUTED_VALUE"""),"AMH")</f>
        <v>AMH</v>
      </c>
      <c r="K801" s="80">
        <f ca="1">IFERROR(__xludf.DUMMYFUNCTION("""COMPUTED_VALUE"""),86)</f>
        <v>86</v>
      </c>
      <c r="L801" s="79" t="str">
        <f ca="1">IFERROR(__xludf.DUMMYFUNCTION("""COMPUTED_VALUE"""),"TRIMESTRE 2")</f>
        <v>TRIMESTRE 2</v>
      </c>
      <c r="M801" s="79" t="str">
        <f ca="1">IFERROR(__xludf.DUMMYFUNCTION("""COMPUTED_VALUE"""),"ADULTO MAYOR HOMBRE")</f>
        <v>ADULTO MAYOR HOMBRE</v>
      </c>
    </row>
    <row r="802" spans="1:13">
      <c r="A802" s="79" t="str">
        <f ca="1">IFERROR(__xludf.DUMMYFUNCTION("""COMPUTED_VALUE"""),"6.1.5.1")</f>
        <v>6.1.5.1</v>
      </c>
      <c r="B802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2" s="79" t="str">
        <f ca="1">IFERROR(__xludf.DUMMYFUNCTION("""COMPUTED_VALUE"""),"5. Inclusión")</f>
        <v>5. Inclusión</v>
      </c>
      <c r="D802" s="79" t="str">
        <f ca="1">IFERROR(__xludf.DUMMYFUNCTION("""COMPUTED_VALUE"""),"Guadalajara sin Barreras")</f>
        <v>Guadalajara sin Barreras</v>
      </c>
      <c r="E802" s="79" t="str">
        <f ca="1">IFERROR(__xludf.DUMMYFUNCTION("""COMPUTED_VALUE"""),"Atención Integral para Personas con Discapacidad")</f>
        <v>Atención Integral para Personas con Discapacidad</v>
      </c>
      <c r="F802" s="79" t="str">
        <f ca="1">IFERROR(__xludf.DUMMYFUNCTION("""COMPUTED_VALUE"""),"A1C5. Sesiones de terapia física brindadas en el Centro CAIPED en 2024")</f>
        <v>A1C5. Sesiones de terapia física brindadas en el Centro CAIPED en 2024</v>
      </c>
      <c r="G802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2" s="79" t="str">
        <f ca="1">IFERROR(__xludf.DUMMYFUNCTION("""COMPUTED_VALUE"""),"NAS Junio")</f>
        <v>NAS Junio</v>
      </c>
      <c r="I802" s="79" t="str">
        <f ca="1">IFERROR(__xludf.DUMMYFUNCTION("""COMPUTED_VALUE"""),"Junio")</f>
        <v>Junio</v>
      </c>
      <c r="J802" s="79" t="str">
        <f ca="1">IFERROR(__xludf.DUMMYFUNCTION("""COMPUTED_VALUE"""),"NAS")</f>
        <v>NAS</v>
      </c>
      <c r="K802" s="80">
        <f ca="1">IFERROR(__xludf.DUMMYFUNCTION("""COMPUTED_VALUE"""),10)</f>
        <v>10</v>
      </c>
      <c r="L802" s="79" t="str">
        <f ca="1">IFERROR(__xludf.DUMMYFUNCTION("""COMPUTED_VALUE"""),"TRIMESTRE 2")</f>
        <v>TRIMESTRE 2</v>
      </c>
      <c r="M802" s="79" t="str">
        <f ca="1">IFERROR(__xludf.DUMMYFUNCTION("""COMPUTED_VALUE"""),"NIÑAS")</f>
        <v>NIÑAS</v>
      </c>
    </row>
    <row r="803" spans="1:13">
      <c r="A803" s="79" t="str">
        <f ca="1">IFERROR(__xludf.DUMMYFUNCTION("""COMPUTED_VALUE"""),"6.1.5.1")</f>
        <v>6.1.5.1</v>
      </c>
      <c r="B803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3" s="79" t="str">
        <f ca="1">IFERROR(__xludf.DUMMYFUNCTION("""COMPUTED_VALUE"""),"5. Inclusión")</f>
        <v>5. Inclusión</v>
      </c>
      <c r="D803" s="79" t="str">
        <f ca="1">IFERROR(__xludf.DUMMYFUNCTION("""COMPUTED_VALUE"""),"Guadalajara sin Barreras")</f>
        <v>Guadalajara sin Barreras</v>
      </c>
      <c r="E803" s="79" t="str">
        <f ca="1">IFERROR(__xludf.DUMMYFUNCTION("""COMPUTED_VALUE"""),"Atención Integral para Personas con Discapacidad")</f>
        <v>Atención Integral para Personas con Discapacidad</v>
      </c>
      <c r="F803" s="79" t="str">
        <f ca="1">IFERROR(__xludf.DUMMYFUNCTION("""COMPUTED_VALUE"""),"A1C5. Sesiones de terapia física brindadas en el Centro CAIPED en 2024")</f>
        <v>A1C5. Sesiones de terapia física brindadas en el Centro CAIPED en 2024</v>
      </c>
      <c r="G803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3" s="79" t="str">
        <f ca="1">IFERROR(__xludf.DUMMYFUNCTION("""COMPUTED_VALUE"""),"NOS Junio")</f>
        <v>NOS Junio</v>
      </c>
      <c r="I803" s="79" t="str">
        <f ca="1">IFERROR(__xludf.DUMMYFUNCTION("""COMPUTED_VALUE"""),"Junio")</f>
        <v>Junio</v>
      </c>
      <c r="J803" s="79" t="str">
        <f ca="1">IFERROR(__xludf.DUMMYFUNCTION("""COMPUTED_VALUE"""),"NOS")</f>
        <v>NOS</v>
      </c>
      <c r="K803" s="80">
        <f ca="1">IFERROR(__xludf.DUMMYFUNCTION("""COMPUTED_VALUE"""),1)</f>
        <v>1</v>
      </c>
      <c r="L803" s="79" t="str">
        <f ca="1">IFERROR(__xludf.DUMMYFUNCTION("""COMPUTED_VALUE"""),"TRIMESTRE 2")</f>
        <v>TRIMESTRE 2</v>
      </c>
      <c r="M803" s="79" t="str">
        <f ca="1">IFERROR(__xludf.DUMMYFUNCTION("""COMPUTED_VALUE"""),"NIÑOS")</f>
        <v>NIÑOS</v>
      </c>
    </row>
    <row r="804" spans="1:13">
      <c r="A804" s="79" t="str">
        <f ca="1">IFERROR(__xludf.DUMMYFUNCTION("""COMPUTED_VALUE"""),"6.1.5.1")</f>
        <v>6.1.5.1</v>
      </c>
      <c r="B804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4" s="79" t="str">
        <f ca="1">IFERROR(__xludf.DUMMYFUNCTION("""COMPUTED_VALUE"""),"5. Inclusión")</f>
        <v>5. Inclusión</v>
      </c>
      <c r="D804" s="79" t="str">
        <f ca="1">IFERROR(__xludf.DUMMYFUNCTION("""COMPUTED_VALUE"""),"Guadalajara sin Barreras")</f>
        <v>Guadalajara sin Barreras</v>
      </c>
      <c r="E804" s="79" t="str">
        <f ca="1">IFERROR(__xludf.DUMMYFUNCTION("""COMPUTED_VALUE"""),"Atención Integral para Personas con Discapacidad")</f>
        <v>Atención Integral para Personas con Discapacidad</v>
      </c>
      <c r="F804" s="79" t="str">
        <f ca="1">IFERROR(__xludf.DUMMYFUNCTION("""COMPUTED_VALUE"""),"A1C5. Sesiones de terapia física brindadas en el Centro CAIPED en 2024")</f>
        <v>A1C5. Sesiones de terapia física brindadas en el Centro CAIPED en 2024</v>
      </c>
      <c r="G804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4" s="79" t="str">
        <f ca="1">IFERROR(__xludf.DUMMYFUNCTION("""COMPUTED_VALUE"""),"AM JUNIO")</f>
        <v>AM JUNIO</v>
      </c>
      <c r="I804" s="79" t="str">
        <f ca="1">IFERROR(__xludf.DUMMYFUNCTION("""COMPUTED_VALUE"""),"Junio")</f>
        <v>Junio</v>
      </c>
      <c r="J804" s="79" t="str">
        <f ca="1">IFERROR(__xludf.DUMMYFUNCTION("""COMPUTED_VALUE"""),"AM")</f>
        <v>AM</v>
      </c>
      <c r="K804" s="80">
        <f ca="1">IFERROR(__xludf.DUMMYFUNCTION("""COMPUTED_VALUE"""),7)</f>
        <v>7</v>
      </c>
      <c r="L804" s="79" t="str">
        <f ca="1">IFERROR(__xludf.DUMMYFUNCTION("""COMPUTED_VALUE"""),"TRIMESTRE 2")</f>
        <v>TRIMESTRE 2</v>
      </c>
      <c r="M804" s="79" t="str">
        <f ca="1">IFERROR(__xludf.DUMMYFUNCTION("""COMPUTED_VALUE"""),"ADOLESCENTES MUJERES")</f>
        <v>ADOLESCENTES MUJERES</v>
      </c>
    </row>
    <row r="805" spans="1:13">
      <c r="A805" s="79" t="str">
        <f ca="1">IFERROR(__xludf.DUMMYFUNCTION("""COMPUTED_VALUE"""),"6.1.5.1")</f>
        <v>6.1.5.1</v>
      </c>
      <c r="B805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5" s="79" t="str">
        <f ca="1">IFERROR(__xludf.DUMMYFUNCTION("""COMPUTED_VALUE"""),"5. Inclusión")</f>
        <v>5. Inclusión</v>
      </c>
      <c r="D805" s="79" t="str">
        <f ca="1">IFERROR(__xludf.DUMMYFUNCTION("""COMPUTED_VALUE"""),"Guadalajara sin Barreras")</f>
        <v>Guadalajara sin Barreras</v>
      </c>
      <c r="E805" s="79" t="str">
        <f ca="1">IFERROR(__xludf.DUMMYFUNCTION("""COMPUTED_VALUE"""),"Atención Integral para Personas con Discapacidad")</f>
        <v>Atención Integral para Personas con Discapacidad</v>
      </c>
      <c r="F805" s="79" t="str">
        <f ca="1">IFERROR(__xludf.DUMMYFUNCTION("""COMPUTED_VALUE"""),"A1C5. Sesiones de terapia física brindadas en el Centro CAIPED en 2024")</f>
        <v>A1C5. Sesiones de terapia física brindadas en el Centro CAIPED en 2024</v>
      </c>
      <c r="G805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5" s="79" t="str">
        <f ca="1">IFERROR(__xludf.DUMMYFUNCTION("""COMPUTED_VALUE"""),"AH JUNIO")</f>
        <v>AH JUNIO</v>
      </c>
      <c r="I805" s="79" t="str">
        <f ca="1">IFERROR(__xludf.DUMMYFUNCTION("""COMPUTED_VALUE"""),"Junio")</f>
        <v>Junio</v>
      </c>
      <c r="J805" s="79" t="str">
        <f ca="1">IFERROR(__xludf.DUMMYFUNCTION("""COMPUTED_VALUE"""),"AH")</f>
        <v>AH</v>
      </c>
      <c r="K805" s="80">
        <f ca="1">IFERROR(__xludf.DUMMYFUNCTION("""COMPUTED_VALUE"""),7)</f>
        <v>7</v>
      </c>
      <c r="L805" s="79" t="str">
        <f ca="1">IFERROR(__xludf.DUMMYFUNCTION("""COMPUTED_VALUE"""),"TRIMESTRE 2")</f>
        <v>TRIMESTRE 2</v>
      </c>
      <c r="M805" s="79" t="str">
        <f ca="1">IFERROR(__xludf.DUMMYFUNCTION("""COMPUTED_VALUE"""),"ADOLESCENTES HOMBRES")</f>
        <v>ADOLESCENTES HOMBRES</v>
      </c>
    </row>
    <row r="806" spans="1:13">
      <c r="A806" s="79" t="str">
        <f ca="1">IFERROR(__xludf.DUMMYFUNCTION("""COMPUTED_VALUE"""),"6.1.5.1")</f>
        <v>6.1.5.1</v>
      </c>
      <c r="B806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6" s="79" t="str">
        <f ca="1">IFERROR(__xludf.DUMMYFUNCTION("""COMPUTED_VALUE"""),"5. Inclusión")</f>
        <v>5. Inclusión</v>
      </c>
      <c r="D806" s="79" t="str">
        <f ca="1">IFERROR(__xludf.DUMMYFUNCTION("""COMPUTED_VALUE"""),"Guadalajara sin Barreras")</f>
        <v>Guadalajara sin Barreras</v>
      </c>
      <c r="E806" s="79" t="str">
        <f ca="1">IFERROR(__xludf.DUMMYFUNCTION("""COMPUTED_VALUE"""),"Atención Integral para Personas con Discapacidad")</f>
        <v>Atención Integral para Personas con Discapacidad</v>
      </c>
      <c r="F806" s="79" t="str">
        <f ca="1">IFERROR(__xludf.DUMMYFUNCTION("""COMPUTED_VALUE"""),"A1C5. Sesiones de terapia física brindadas en el Centro CAIPED en 2024")</f>
        <v>A1C5. Sesiones de terapia física brindadas en el Centro CAIPED en 2024</v>
      </c>
      <c r="G806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6" s="79" t="str">
        <f ca="1">IFERROR(__xludf.DUMMYFUNCTION("""COMPUTED_VALUE"""),"MUJ Junio")</f>
        <v>MUJ Junio</v>
      </c>
      <c r="I806" s="79" t="str">
        <f ca="1">IFERROR(__xludf.DUMMYFUNCTION("""COMPUTED_VALUE"""),"Junio")</f>
        <v>Junio</v>
      </c>
      <c r="J806" s="79" t="str">
        <f ca="1">IFERROR(__xludf.DUMMYFUNCTION("""COMPUTED_VALUE"""),"MUJ")</f>
        <v>MUJ</v>
      </c>
      <c r="K806" s="80">
        <f ca="1">IFERROR(__xludf.DUMMYFUNCTION("""COMPUTED_VALUE"""),155)</f>
        <v>155</v>
      </c>
      <c r="L806" s="79" t="str">
        <f ca="1">IFERROR(__xludf.DUMMYFUNCTION("""COMPUTED_VALUE"""),"TRIMESTRE 2")</f>
        <v>TRIMESTRE 2</v>
      </c>
      <c r="M806" s="79" t="str">
        <f ca="1">IFERROR(__xludf.DUMMYFUNCTION("""COMPUTED_VALUE"""),"MUJERES ADULTAS")</f>
        <v>MUJERES ADULTAS</v>
      </c>
    </row>
    <row r="807" spans="1:13">
      <c r="A807" s="79" t="str">
        <f ca="1">IFERROR(__xludf.DUMMYFUNCTION("""COMPUTED_VALUE"""),"6.1.5.1")</f>
        <v>6.1.5.1</v>
      </c>
      <c r="B807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7" s="79" t="str">
        <f ca="1">IFERROR(__xludf.DUMMYFUNCTION("""COMPUTED_VALUE"""),"5. Inclusión")</f>
        <v>5. Inclusión</v>
      </c>
      <c r="D807" s="79" t="str">
        <f ca="1">IFERROR(__xludf.DUMMYFUNCTION("""COMPUTED_VALUE"""),"Guadalajara sin Barreras")</f>
        <v>Guadalajara sin Barreras</v>
      </c>
      <c r="E807" s="79" t="str">
        <f ca="1">IFERROR(__xludf.DUMMYFUNCTION("""COMPUTED_VALUE"""),"Atención Integral para Personas con Discapacidad")</f>
        <v>Atención Integral para Personas con Discapacidad</v>
      </c>
      <c r="F807" s="79" t="str">
        <f ca="1">IFERROR(__xludf.DUMMYFUNCTION("""COMPUTED_VALUE"""),"A1C5. Sesiones de terapia física brindadas en el Centro CAIPED en 2024")</f>
        <v>A1C5. Sesiones de terapia física brindadas en el Centro CAIPED en 2024</v>
      </c>
      <c r="G807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7" s="79" t="str">
        <f ca="1">IFERROR(__xludf.DUMMYFUNCTION("""COMPUTED_VALUE"""),"HOM Junio")</f>
        <v>HOM Junio</v>
      </c>
      <c r="I807" s="79" t="str">
        <f ca="1">IFERROR(__xludf.DUMMYFUNCTION("""COMPUTED_VALUE"""),"Junio")</f>
        <v>Junio</v>
      </c>
      <c r="J807" s="79" t="str">
        <f ca="1">IFERROR(__xludf.DUMMYFUNCTION("""COMPUTED_VALUE"""),"HOM")</f>
        <v>HOM</v>
      </c>
      <c r="K807" s="80">
        <f ca="1">IFERROR(__xludf.DUMMYFUNCTION("""COMPUTED_VALUE"""),135)</f>
        <v>135</v>
      </c>
      <c r="L807" s="79" t="str">
        <f ca="1">IFERROR(__xludf.DUMMYFUNCTION("""COMPUTED_VALUE"""),"TRIMESTRE 2")</f>
        <v>TRIMESTRE 2</v>
      </c>
      <c r="M807" s="79" t="str">
        <f ca="1">IFERROR(__xludf.DUMMYFUNCTION("""COMPUTED_VALUE"""),"HOMBRES ADULTOS")</f>
        <v>HOMBRES ADULTOS</v>
      </c>
    </row>
    <row r="808" spans="1:13">
      <c r="A808" s="79" t="str">
        <f ca="1">IFERROR(__xludf.DUMMYFUNCTION("""COMPUTED_VALUE"""),"6.1.5.1")</f>
        <v>6.1.5.1</v>
      </c>
      <c r="B808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8" s="79" t="str">
        <f ca="1">IFERROR(__xludf.DUMMYFUNCTION("""COMPUTED_VALUE"""),"5. Inclusión")</f>
        <v>5. Inclusión</v>
      </c>
      <c r="D808" s="79" t="str">
        <f ca="1">IFERROR(__xludf.DUMMYFUNCTION("""COMPUTED_VALUE"""),"Guadalajara sin Barreras")</f>
        <v>Guadalajara sin Barreras</v>
      </c>
      <c r="E808" s="79" t="str">
        <f ca="1">IFERROR(__xludf.DUMMYFUNCTION("""COMPUTED_VALUE"""),"Atención Integral para Personas con Discapacidad")</f>
        <v>Atención Integral para Personas con Discapacidad</v>
      </c>
      <c r="F808" s="79" t="str">
        <f ca="1">IFERROR(__xludf.DUMMYFUNCTION("""COMPUTED_VALUE"""),"A1C5. Sesiones de terapia física brindadas en el Centro CAIPED en 2024")</f>
        <v>A1C5. Sesiones de terapia física brindadas en el Centro CAIPED en 2024</v>
      </c>
      <c r="G808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8" s="79" t="str">
        <f ca="1">IFERROR(__xludf.DUMMYFUNCTION("""COMPUTED_VALUE"""),"AMM Junio")</f>
        <v>AMM Junio</v>
      </c>
      <c r="I808" s="79" t="str">
        <f ca="1">IFERROR(__xludf.DUMMYFUNCTION("""COMPUTED_VALUE"""),"Junio")</f>
        <v>Junio</v>
      </c>
      <c r="J808" s="79" t="str">
        <f ca="1">IFERROR(__xludf.DUMMYFUNCTION("""COMPUTED_VALUE"""),"AMM")</f>
        <v>AMM</v>
      </c>
      <c r="K808" s="80">
        <f ca="1">IFERROR(__xludf.DUMMYFUNCTION("""COMPUTED_VALUE"""),357)</f>
        <v>357</v>
      </c>
      <c r="L808" s="79" t="str">
        <f ca="1">IFERROR(__xludf.DUMMYFUNCTION("""COMPUTED_VALUE"""),"TRIMESTRE 2")</f>
        <v>TRIMESTRE 2</v>
      </c>
      <c r="M808" s="79" t="str">
        <f ca="1">IFERROR(__xludf.DUMMYFUNCTION("""COMPUTED_VALUE"""),"ADULTA MAYOR MUJER")</f>
        <v>ADULTA MAYOR MUJER</v>
      </c>
    </row>
    <row r="809" spans="1:13">
      <c r="A809" s="79" t="str">
        <f ca="1">IFERROR(__xludf.DUMMYFUNCTION("""COMPUTED_VALUE"""),"6.1.5.1")</f>
        <v>6.1.5.1</v>
      </c>
      <c r="B809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09" s="79" t="str">
        <f ca="1">IFERROR(__xludf.DUMMYFUNCTION("""COMPUTED_VALUE"""),"5. Inclusión")</f>
        <v>5. Inclusión</v>
      </c>
      <c r="D809" s="79" t="str">
        <f ca="1">IFERROR(__xludf.DUMMYFUNCTION("""COMPUTED_VALUE"""),"Guadalajara sin Barreras")</f>
        <v>Guadalajara sin Barreras</v>
      </c>
      <c r="E809" s="79" t="str">
        <f ca="1">IFERROR(__xludf.DUMMYFUNCTION("""COMPUTED_VALUE"""),"Atención Integral para Personas con Discapacidad")</f>
        <v>Atención Integral para Personas con Discapacidad</v>
      </c>
      <c r="F809" s="79" t="str">
        <f ca="1">IFERROR(__xludf.DUMMYFUNCTION("""COMPUTED_VALUE"""),"A1C5. Sesiones de terapia física brindadas en el Centro CAIPED en 2024")</f>
        <v>A1C5. Sesiones de terapia física brindadas en el Centro CAIPED en 2024</v>
      </c>
      <c r="G809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09" s="79" t="str">
        <f ca="1">IFERROR(__xludf.DUMMYFUNCTION("""COMPUTED_VALUE"""),"AMH Junio")</f>
        <v>AMH Junio</v>
      </c>
      <c r="I809" s="79" t="str">
        <f ca="1">IFERROR(__xludf.DUMMYFUNCTION("""COMPUTED_VALUE"""),"Junio")</f>
        <v>Junio</v>
      </c>
      <c r="J809" s="79" t="str">
        <f ca="1">IFERROR(__xludf.DUMMYFUNCTION("""COMPUTED_VALUE"""),"AMH")</f>
        <v>AMH</v>
      </c>
      <c r="K809" s="80">
        <f ca="1">IFERROR(__xludf.DUMMYFUNCTION("""COMPUTED_VALUE"""),76)</f>
        <v>76</v>
      </c>
      <c r="L809" s="79" t="str">
        <f ca="1">IFERROR(__xludf.DUMMYFUNCTION("""COMPUTED_VALUE"""),"TRIMESTRE 2")</f>
        <v>TRIMESTRE 2</v>
      </c>
      <c r="M809" s="79" t="str">
        <f ca="1">IFERROR(__xludf.DUMMYFUNCTION("""COMPUTED_VALUE"""),"ADULTO MAYOR HOMBRE")</f>
        <v>ADULTO MAYOR HOMBRE</v>
      </c>
    </row>
    <row r="810" spans="1:13">
      <c r="A810" s="79" t="str">
        <f ca="1">IFERROR(__xludf.DUMMYFUNCTION("""COMPUTED_VALUE"""),"6.1.5.2")</f>
        <v>6.1.5.2</v>
      </c>
      <c r="B810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0" s="79" t="str">
        <f ca="1">IFERROR(__xludf.DUMMYFUNCTION("""COMPUTED_VALUE"""),"5. Inclusión")</f>
        <v>5. Inclusión</v>
      </c>
      <c r="D810" s="79" t="str">
        <f ca="1">IFERROR(__xludf.DUMMYFUNCTION("""COMPUTED_VALUE"""),"Guadalajara sin Barreras")</f>
        <v>Guadalajara sin Barreras</v>
      </c>
      <c r="E810" s="79" t="str">
        <f ca="1">IFERROR(__xludf.DUMMYFUNCTION("""COMPUTED_VALUE"""),"Atención Integral para Personas con Discapacidad")</f>
        <v>Atención Integral para Personas con Discapacidad</v>
      </c>
      <c r="F810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10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0" s="79" t="str">
        <f ca="1">IFERROR(__xludf.DUMMYFUNCTION("""COMPUTED_VALUE"""),"NAS Junio")</f>
        <v>NAS Junio</v>
      </c>
      <c r="I810" s="79" t="str">
        <f ca="1">IFERROR(__xludf.DUMMYFUNCTION("""COMPUTED_VALUE"""),"Junio")</f>
        <v>Junio</v>
      </c>
      <c r="J810" s="79" t="str">
        <f ca="1">IFERROR(__xludf.DUMMYFUNCTION("""COMPUTED_VALUE"""),"NAS")</f>
        <v>NAS</v>
      </c>
      <c r="K810" s="80">
        <f ca="1">IFERROR(__xludf.DUMMYFUNCTION("""COMPUTED_VALUE"""),2)</f>
        <v>2</v>
      </c>
      <c r="L810" s="79" t="str">
        <f ca="1">IFERROR(__xludf.DUMMYFUNCTION("""COMPUTED_VALUE"""),"TRIMESTRE 2")</f>
        <v>TRIMESTRE 2</v>
      </c>
      <c r="M810" s="79" t="str">
        <f ca="1">IFERROR(__xludf.DUMMYFUNCTION("""COMPUTED_VALUE"""),"NIÑAS")</f>
        <v>NIÑAS</v>
      </c>
    </row>
    <row r="811" spans="1:13">
      <c r="A811" s="79" t="str">
        <f ca="1">IFERROR(__xludf.DUMMYFUNCTION("""COMPUTED_VALUE"""),"6.1.5.2")</f>
        <v>6.1.5.2</v>
      </c>
      <c r="B811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1" s="79" t="str">
        <f ca="1">IFERROR(__xludf.DUMMYFUNCTION("""COMPUTED_VALUE"""),"5. Inclusión")</f>
        <v>5. Inclusión</v>
      </c>
      <c r="D811" s="79" t="str">
        <f ca="1">IFERROR(__xludf.DUMMYFUNCTION("""COMPUTED_VALUE"""),"Guadalajara sin Barreras")</f>
        <v>Guadalajara sin Barreras</v>
      </c>
      <c r="E811" s="79" t="str">
        <f ca="1">IFERROR(__xludf.DUMMYFUNCTION("""COMPUTED_VALUE"""),"Atención Integral para Personas con Discapacidad")</f>
        <v>Atención Integral para Personas con Discapacidad</v>
      </c>
      <c r="F811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11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1" s="79" t="str">
        <f ca="1">IFERROR(__xludf.DUMMYFUNCTION("""COMPUTED_VALUE"""),"NOS Junio")</f>
        <v>NOS Junio</v>
      </c>
      <c r="I811" s="79" t="str">
        <f ca="1">IFERROR(__xludf.DUMMYFUNCTION("""COMPUTED_VALUE"""),"Junio")</f>
        <v>Junio</v>
      </c>
      <c r="J811" s="79" t="str">
        <f ca="1">IFERROR(__xludf.DUMMYFUNCTION("""COMPUTED_VALUE"""),"NOS")</f>
        <v>NOS</v>
      </c>
      <c r="K811" s="80">
        <f ca="1">IFERROR(__xludf.DUMMYFUNCTION("""COMPUTED_VALUE"""),4)</f>
        <v>4</v>
      </c>
      <c r="L811" s="79" t="str">
        <f ca="1">IFERROR(__xludf.DUMMYFUNCTION("""COMPUTED_VALUE"""),"TRIMESTRE 2")</f>
        <v>TRIMESTRE 2</v>
      </c>
      <c r="M811" s="79" t="str">
        <f ca="1">IFERROR(__xludf.DUMMYFUNCTION("""COMPUTED_VALUE"""),"NIÑOS")</f>
        <v>NIÑOS</v>
      </c>
    </row>
    <row r="812" spans="1:13">
      <c r="A812" s="79" t="str">
        <f ca="1">IFERROR(__xludf.DUMMYFUNCTION("""COMPUTED_VALUE"""),"6.1.5.2")</f>
        <v>6.1.5.2</v>
      </c>
      <c r="B812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2" s="79" t="str">
        <f ca="1">IFERROR(__xludf.DUMMYFUNCTION("""COMPUTED_VALUE"""),"5. Inclusión")</f>
        <v>5. Inclusión</v>
      </c>
      <c r="D812" s="79" t="str">
        <f ca="1">IFERROR(__xludf.DUMMYFUNCTION("""COMPUTED_VALUE"""),"Guadalajara sin Barreras")</f>
        <v>Guadalajara sin Barreras</v>
      </c>
      <c r="E812" s="79" t="str">
        <f ca="1">IFERROR(__xludf.DUMMYFUNCTION("""COMPUTED_VALUE"""),"Atención Integral para Personas con Discapacidad")</f>
        <v>Atención Integral para Personas con Discapacidad</v>
      </c>
      <c r="F812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12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2" s="79" t="str">
        <f ca="1">IFERROR(__xludf.DUMMYFUNCTION("""COMPUTED_VALUE"""),"AM JUNIO")</f>
        <v>AM JUNIO</v>
      </c>
      <c r="I812" s="79" t="str">
        <f ca="1">IFERROR(__xludf.DUMMYFUNCTION("""COMPUTED_VALUE"""),"Junio")</f>
        <v>Junio</v>
      </c>
      <c r="J812" s="79" t="str">
        <f ca="1">IFERROR(__xludf.DUMMYFUNCTION("""COMPUTED_VALUE"""),"AM")</f>
        <v>AM</v>
      </c>
      <c r="K812" s="80">
        <f ca="1">IFERROR(__xludf.DUMMYFUNCTION("""COMPUTED_VALUE"""),3)</f>
        <v>3</v>
      </c>
      <c r="L812" s="79" t="str">
        <f ca="1">IFERROR(__xludf.DUMMYFUNCTION("""COMPUTED_VALUE"""),"TRIMESTRE 2")</f>
        <v>TRIMESTRE 2</v>
      </c>
      <c r="M812" s="79" t="str">
        <f ca="1">IFERROR(__xludf.DUMMYFUNCTION("""COMPUTED_VALUE"""),"ADOLESCENTES MUJERES")</f>
        <v>ADOLESCENTES MUJERES</v>
      </c>
    </row>
    <row r="813" spans="1:13">
      <c r="A813" s="79" t="str">
        <f ca="1">IFERROR(__xludf.DUMMYFUNCTION("""COMPUTED_VALUE"""),"6.1.5.2")</f>
        <v>6.1.5.2</v>
      </c>
      <c r="B813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3" s="79" t="str">
        <f ca="1">IFERROR(__xludf.DUMMYFUNCTION("""COMPUTED_VALUE"""),"5. Inclusión")</f>
        <v>5. Inclusión</v>
      </c>
      <c r="D813" s="79" t="str">
        <f ca="1">IFERROR(__xludf.DUMMYFUNCTION("""COMPUTED_VALUE"""),"Guadalajara sin Barreras")</f>
        <v>Guadalajara sin Barreras</v>
      </c>
      <c r="E813" s="79" t="str">
        <f ca="1">IFERROR(__xludf.DUMMYFUNCTION("""COMPUTED_VALUE"""),"Atención Integral para Personas con Discapacidad")</f>
        <v>Atención Integral para Personas con Discapacidad</v>
      </c>
      <c r="F813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13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3" s="79" t="str">
        <f ca="1">IFERROR(__xludf.DUMMYFUNCTION("""COMPUTED_VALUE"""),"AH JUNIO")</f>
        <v>AH JUNIO</v>
      </c>
      <c r="I813" s="79" t="str">
        <f ca="1">IFERROR(__xludf.DUMMYFUNCTION("""COMPUTED_VALUE"""),"Junio")</f>
        <v>Junio</v>
      </c>
      <c r="J813" s="79" t="str">
        <f ca="1">IFERROR(__xludf.DUMMYFUNCTION("""COMPUTED_VALUE"""),"AH")</f>
        <v>AH</v>
      </c>
      <c r="K813" s="80">
        <f ca="1">IFERROR(__xludf.DUMMYFUNCTION("""COMPUTED_VALUE"""),0)</f>
        <v>0</v>
      </c>
      <c r="L813" s="79" t="str">
        <f ca="1">IFERROR(__xludf.DUMMYFUNCTION("""COMPUTED_VALUE"""),"TRIMESTRE 2")</f>
        <v>TRIMESTRE 2</v>
      </c>
      <c r="M813" s="79" t="str">
        <f ca="1">IFERROR(__xludf.DUMMYFUNCTION("""COMPUTED_VALUE"""),"ADOLESCENTES HOMBRES")</f>
        <v>ADOLESCENTES HOMBRES</v>
      </c>
    </row>
    <row r="814" spans="1:13">
      <c r="A814" s="79" t="str">
        <f ca="1">IFERROR(__xludf.DUMMYFUNCTION("""COMPUTED_VALUE"""),"6.1.5.2")</f>
        <v>6.1.5.2</v>
      </c>
      <c r="B814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4" s="79" t="str">
        <f ca="1">IFERROR(__xludf.DUMMYFUNCTION("""COMPUTED_VALUE"""),"5. Inclusión")</f>
        <v>5. Inclusión</v>
      </c>
      <c r="D814" s="79" t="str">
        <f ca="1">IFERROR(__xludf.DUMMYFUNCTION("""COMPUTED_VALUE"""),"Guadalajara sin Barreras")</f>
        <v>Guadalajara sin Barreras</v>
      </c>
      <c r="E814" s="79" t="str">
        <f ca="1">IFERROR(__xludf.DUMMYFUNCTION("""COMPUTED_VALUE"""),"Atención Integral para Personas con Discapacidad")</f>
        <v>Atención Integral para Personas con Discapacidad</v>
      </c>
      <c r="F814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14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4" s="79" t="str">
        <f ca="1">IFERROR(__xludf.DUMMYFUNCTION("""COMPUTED_VALUE"""),"MUJ Junio")</f>
        <v>MUJ Junio</v>
      </c>
      <c r="I814" s="79" t="str">
        <f ca="1">IFERROR(__xludf.DUMMYFUNCTION("""COMPUTED_VALUE"""),"Junio")</f>
        <v>Junio</v>
      </c>
      <c r="J814" s="79" t="str">
        <f ca="1">IFERROR(__xludf.DUMMYFUNCTION("""COMPUTED_VALUE"""),"MUJ")</f>
        <v>MUJ</v>
      </c>
      <c r="K814" s="80">
        <f ca="1">IFERROR(__xludf.DUMMYFUNCTION("""COMPUTED_VALUE"""),27)</f>
        <v>27</v>
      </c>
      <c r="L814" s="79" t="str">
        <f ca="1">IFERROR(__xludf.DUMMYFUNCTION("""COMPUTED_VALUE"""),"TRIMESTRE 2")</f>
        <v>TRIMESTRE 2</v>
      </c>
      <c r="M814" s="79" t="str">
        <f ca="1">IFERROR(__xludf.DUMMYFUNCTION("""COMPUTED_VALUE"""),"MUJERES ADULTAS")</f>
        <v>MUJERES ADULTAS</v>
      </c>
    </row>
    <row r="815" spans="1:13">
      <c r="A815" s="79" t="str">
        <f ca="1">IFERROR(__xludf.DUMMYFUNCTION("""COMPUTED_VALUE"""),"6.1.5.2")</f>
        <v>6.1.5.2</v>
      </c>
      <c r="B815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5" s="79" t="str">
        <f ca="1">IFERROR(__xludf.DUMMYFUNCTION("""COMPUTED_VALUE"""),"5. Inclusión")</f>
        <v>5. Inclusión</v>
      </c>
      <c r="D815" s="79" t="str">
        <f ca="1">IFERROR(__xludf.DUMMYFUNCTION("""COMPUTED_VALUE"""),"Guadalajara sin Barreras")</f>
        <v>Guadalajara sin Barreras</v>
      </c>
      <c r="E815" s="79" t="str">
        <f ca="1">IFERROR(__xludf.DUMMYFUNCTION("""COMPUTED_VALUE"""),"Atención Integral para Personas con Discapacidad")</f>
        <v>Atención Integral para Personas con Discapacidad</v>
      </c>
      <c r="F815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15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5" s="79" t="str">
        <f ca="1">IFERROR(__xludf.DUMMYFUNCTION("""COMPUTED_VALUE"""),"HOM Junio")</f>
        <v>HOM Junio</v>
      </c>
      <c r="I815" s="79" t="str">
        <f ca="1">IFERROR(__xludf.DUMMYFUNCTION("""COMPUTED_VALUE"""),"Junio")</f>
        <v>Junio</v>
      </c>
      <c r="J815" s="79" t="str">
        <f ca="1">IFERROR(__xludf.DUMMYFUNCTION("""COMPUTED_VALUE"""),"HOM")</f>
        <v>HOM</v>
      </c>
      <c r="K815" s="80">
        <f ca="1">IFERROR(__xludf.DUMMYFUNCTION("""COMPUTED_VALUE"""),19)</f>
        <v>19</v>
      </c>
      <c r="L815" s="79" t="str">
        <f ca="1">IFERROR(__xludf.DUMMYFUNCTION("""COMPUTED_VALUE"""),"TRIMESTRE 2")</f>
        <v>TRIMESTRE 2</v>
      </c>
      <c r="M815" s="79" t="str">
        <f ca="1">IFERROR(__xludf.DUMMYFUNCTION("""COMPUTED_VALUE"""),"HOMBRES ADULTOS")</f>
        <v>HOMBRES ADULTOS</v>
      </c>
    </row>
    <row r="816" spans="1:13">
      <c r="A816" s="79" t="str">
        <f ca="1">IFERROR(__xludf.DUMMYFUNCTION("""COMPUTED_VALUE"""),"6.1.5.2")</f>
        <v>6.1.5.2</v>
      </c>
      <c r="B816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6" s="79" t="str">
        <f ca="1">IFERROR(__xludf.DUMMYFUNCTION("""COMPUTED_VALUE"""),"5. Inclusión")</f>
        <v>5. Inclusión</v>
      </c>
      <c r="D816" s="79" t="str">
        <f ca="1">IFERROR(__xludf.DUMMYFUNCTION("""COMPUTED_VALUE"""),"Guadalajara sin Barreras")</f>
        <v>Guadalajara sin Barreras</v>
      </c>
      <c r="E816" s="79" t="str">
        <f ca="1">IFERROR(__xludf.DUMMYFUNCTION("""COMPUTED_VALUE"""),"Atención Integral para Personas con Discapacidad")</f>
        <v>Atención Integral para Personas con Discapacidad</v>
      </c>
      <c r="F816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16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6" s="79" t="str">
        <f ca="1">IFERROR(__xludf.DUMMYFUNCTION("""COMPUTED_VALUE"""),"AMM Junio")</f>
        <v>AMM Junio</v>
      </c>
      <c r="I816" s="79" t="str">
        <f ca="1">IFERROR(__xludf.DUMMYFUNCTION("""COMPUTED_VALUE"""),"Junio")</f>
        <v>Junio</v>
      </c>
      <c r="J816" s="79" t="str">
        <f ca="1">IFERROR(__xludf.DUMMYFUNCTION("""COMPUTED_VALUE"""),"AMM")</f>
        <v>AMM</v>
      </c>
      <c r="K816" s="80">
        <f ca="1">IFERROR(__xludf.DUMMYFUNCTION("""COMPUTED_VALUE"""),47)</f>
        <v>47</v>
      </c>
      <c r="L816" s="79" t="str">
        <f ca="1">IFERROR(__xludf.DUMMYFUNCTION("""COMPUTED_VALUE"""),"TRIMESTRE 2")</f>
        <v>TRIMESTRE 2</v>
      </c>
      <c r="M816" s="79" t="str">
        <f ca="1">IFERROR(__xludf.DUMMYFUNCTION("""COMPUTED_VALUE"""),"ADULTA MAYOR MUJER")</f>
        <v>ADULTA MAYOR MUJER</v>
      </c>
    </row>
    <row r="817" spans="1:13">
      <c r="A817" s="79" t="str">
        <f ca="1">IFERROR(__xludf.DUMMYFUNCTION("""COMPUTED_VALUE"""),"6.1.5.2")</f>
        <v>6.1.5.2</v>
      </c>
      <c r="B817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17" s="79" t="str">
        <f ca="1">IFERROR(__xludf.DUMMYFUNCTION("""COMPUTED_VALUE"""),"5. Inclusión")</f>
        <v>5. Inclusión</v>
      </c>
      <c r="D817" s="79" t="str">
        <f ca="1">IFERROR(__xludf.DUMMYFUNCTION("""COMPUTED_VALUE"""),"Guadalajara sin Barreras")</f>
        <v>Guadalajara sin Barreras</v>
      </c>
      <c r="E817" s="79" t="str">
        <f ca="1">IFERROR(__xludf.DUMMYFUNCTION("""COMPUTED_VALUE"""),"Atención Integral para Personas con Discapacidad")</f>
        <v>Atención Integral para Personas con Discapacidad</v>
      </c>
      <c r="F817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17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17" s="79" t="str">
        <f ca="1">IFERROR(__xludf.DUMMYFUNCTION("""COMPUTED_VALUE"""),"AMH Junio")</f>
        <v>AMH Junio</v>
      </c>
      <c r="I817" s="79" t="str">
        <f ca="1">IFERROR(__xludf.DUMMYFUNCTION("""COMPUTED_VALUE"""),"Junio")</f>
        <v>Junio</v>
      </c>
      <c r="J817" s="79" t="str">
        <f ca="1">IFERROR(__xludf.DUMMYFUNCTION("""COMPUTED_VALUE"""),"AMH")</f>
        <v>AMH</v>
      </c>
      <c r="K817" s="80">
        <f ca="1">IFERROR(__xludf.DUMMYFUNCTION("""COMPUTED_VALUE"""),10)</f>
        <v>10</v>
      </c>
      <c r="L817" s="79" t="str">
        <f ca="1">IFERROR(__xludf.DUMMYFUNCTION("""COMPUTED_VALUE"""),"TRIMESTRE 2")</f>
        <v>TRIMESTRE 2</v>
      </c>
      <c r="M817" s="79" t="str">
        <f ca="1">IFERROR(__xludf.DUMMYFUNCTION("""COMPUTED_VALUE"""),"ADULTO MAYOR HOMBRE")</f>
        <v>ADULTO MAYOR HOMBRE</v>
      </c>
    </row>
    <row r="818" spans="1:13">
      <c r="A818" s="79" t="str">
        <f ca="1">IFERROR(__xludf.DUMMYFUNCTION("""COMPUTED_VALUE"""),"6.1.5.0")</f>
        <v>6.1.5.0</v>
      </c>
      <c r="B818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18" s="79" t="str">
        <f ca="1">IFERROR(__xludf.DUMMYFUNCTION("""COMPUTED_VALUE"""),"5. Inclusión")</f>
        <v>5. Inclusión</v>
      </c>
      <c r="D818" s="79" t="str">
        <f ca="1">IFERROR(__xludf.DUMMYFUNCTION("""COMPUTED_VALUE"""),"Guadalajara sin Barreras")</f>
        <v>Guadalajara sin Barreras</v>
      </c>
      <c r="E818" s="79" t="str">
        <f ca="1">IFERROR(__xludf.DUMMYFUNCTION("""COMPUTED_VALUE"""),"Atención Integral para Personas con Discapacidad")</f>
        <v>Atención Integral para Personas con Discapacidad</v>
      </c>
      <c r="F818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18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18" s="79" t="str">
        <f ca="1">IFERROR(__xludf.DUMMYFUNCTION("""COMPUTED_VALUE"""),"NAS Julio")</f>
        <v>NAS Julio</v>
      </c>
      <c r="I818" s="79" t="str">
        <f ca="1">IFERROR(__xludf.DUMMYFUNCTION("""COMPUTED_VALUE"""),"Julio")</f>
        <v>Julio</v>
      </c>
      <c r="J818" s="79" t="str">
        <f ca="1">IFERROR(__xludf.DUMMYFUNCTION("""COMPUTED_VALUE"""),"NAS")</f>
        <v>NAS</v>
      </c>
      <c r="K818" s="80">
        <f ca="1">IFERROR(__xludf.DUMMYFUNCTION("""COMPUTED_VALUE"""),20)</f>
        <v>20</v>
      </c>
      <c r="L818" s="79" t="str">
        <f ca="1">IFERROR(__xludf.DUMMYFUNCTION("""COMPUTED_VALUE"""),"TRIMESTRE 3")</f>
        <v>TRIMESTRE 3</v>
      </c>
      <c r="M818" s="79" t="str">
        <f ca="1">IFERROR(__xludf.DUMMYFUNCTION("""COMPUTED_VALUE"""),"NIÑAS")</f>
        <v>NIÑAS</v>
      </c>
    </row>
    <row r="819" spans="1:13">
      <c r="A819" s="79" t="str">
        <f ca="1">IFERROR(__xludf.DUMMYFUNCTION("""COMPUTED_VALUE"""),"6.1.5.0")</f>
        <v>6.1.5.0</v>
      </c>
      <c r="B819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19" s="79" t="str">
        <f ca="1">IFERROR(__xludf.DUMMYFUNCTION("""COMPUTED_VALUE"""),"5. Inclusión")</f>
        <v>5. Inclusión</v>
      </c>
      <c r="D819" s="79" t="str">
        <f ca="1">IFERROR(__xludf.DUMMYFUNCTION("""COMPUTED_VALUE"""),"Guadalajara sin Barreras")</f>
        <v>Guadalajara sin Barreras</v>
      </c>
      <c r="E819" s="79" t="str">
        <f ca="1">IFERROR(__xludf.DUMMYFUNCTION("""COMPUTED_VALUE"""),"Atención Integral para Personas con Discapacidad")</f>
        <v>Atención Integral para Personas con Discapacidad</v>
      </c>
      <c r="F819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19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19" s="79" t="str">
        <f ca="1">IFERROR(__xludf.DUMMYFUNCTION("""COMPUTED_VALUE"""),"NOS Julio")</f>
        <v>NOS Julio</v>
      </c>
      <c r="I819" s="79" t="str">
        <f ca="1">IFERROR(__xludf.DUMMYFUNCTION("""COMPUTED_VALUE"""),"Julio")</f>
        <v>Julio</v>
      </c>
      <c r="J819" s="79" t="str">
        <f ca="1">IFERROR(__xludf.DUMMYFUNCTION("""COMPUTED_VALUE"""),"NOS")</f>
        <v>NOS</v>
      </c>
      <c r="K819" s="80">
        <f ca="1">IFERROR(__xludf.DUMMYFUNCTION("""COMPUTED_VALUE"""),21)</f>
        <v>21</v>
      </c>
      <c r="L819" s="79" t="str">
        <f ca="1">IFERROR(__xludf.DUMMYFUNCTION("""COMPUTED_VALUE"""),"TRIMESTRE 3")</f>
        <v>TRIMESTRE 3</v>
      </c>
      <c r="M819" s="79" t="str">
        <f ca="1">IFERROR(__xludf.DUMMYFUNCTION("""COMPUTED_VALUE"""),"NIÑOS")</f>
        <v>NIÑOS</v>
      </c>
    </row>
    <row r="820" spans="1:13">
      <c r="A820" s="79" t="str">
        <f ca="1">IFERROR(__xludf.DUMMYFUNCTION("""COMPUTED_VALUE"""),"6.1.5.0")</f>
        <v>6.1.5.0</v>
      </c>
      <c r="B820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20" s="79" t="str">
        <f ca="1">IFERROR(__xludf.DUMMYFUNCTION("""COMPUTED_VALUE"""),"5. Inclusión")</f>
        <v>5. Inclusión</v>
      </c>
      <c r="D820" s="79" t="str">
        <f ca="1">IFERROR(__xludf.DUMMYFUNCTION("""COMPUTED_VALUE"""),"Guadalajara sin Barreras")</f>
        <v>Guadalajara sin Barreras</v>
      </c>
      <c r="E820" s="79" t="str">
        <f ca="1">IFERROR(__xludf.DUMMYFUNCTION("""COMPUTED_VALUE"""),"Atención Integral para Personas con Discapacidad")</f>
        <v>Atención Integral para Personas con Discapacidad</v>
      </c>
      <c r="F820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20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20" s="79" t="str">
        <f ca="1">IFERROR(__xludf.DUMMYFUNCTION("""COMPUTED_VALUE"""),"AM JULIO")</f>
        <v>AM JULIO</v>
      </c>
      <c r="I820" s="79" t="str">
        <f ca="1">IFERROR(__xludf.DUMMYFUNCTION("""COMPUTED_VALUE"""),"Julio")</f>
        <v>Julio</v>
      </c>
      <c r="J820" s="79" t="str">
        <f ca="1">IFERROR(__xludf.DUMMYFUNCTION("""COMPUTED_VALUE"""),"AM")</f>
        <v>AM</v>
      </c>
      <c r="K820" s="80">
        <f ca="1">IFERROR(__xludf.DUMMYFUNCTION("""COMPUTED_VALUE"""),9)</f>
        <v>9</v>
      </c>
      <c r="L820" s="79" t="str">
        <f ca="1">IFERROR(__xludf.DUMMYFUNCTION("""COMPUTED_VALUE"""),"TRIMESTRE 3")</f>
        <v>TRIMESTRE 3</v>
      </c>
      <c r="M820" s="79" t="str">
        <f ca="1">IFERROR(__xludf.DUMMYFUNCTION("""COMPUTED_VALUE"""),"ADOLESCENTES MUJERES")</f>
        <v>ADOLESCENTES MUJERES</v>
      </c>
    </row>
    <row r="821" spans="1:13">
      <c r="A821" s="79" t="str">
        <f ca="1">IFERROR(__xludf.DUMMYFUNCTION("""COMPUTED_VALUE"""),"6.1.5.0")</f>
        <v>6.1.5.0</v>
      </c>
      <c r="B821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21" s="79" t="str">
        <f ca="1">IFERROR(__xludf.DUMMYFUNCTION("""COMPUTED_VALUE"""),"5. Inclusión")</f>
        <v>5. Inclusión</v>
      </c>
      <c r="D821" s="79" t="str">
        <f ca="1">IFERROR(__xludf.DUMMYFUNCTION("""COMPUTED_VALUE"""),"Guadalajara sin Barreras")</f>
        <v>Guadalajara sin Barreras</v>
      </c>
      <c r="E821" s="79" t="str">
        <f ca="1">IFERROR(__xludf.DUMMYFUNCTION("""COMPUTED_VALUE"""),"Atención Integral para Personas con Discapacidad")</f>
        <v>Atención Integral para Personas con Discapacidad</v>
      </c>
      <c r="F821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21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21" s="79" t="str">
        <f ca="1">IFERROR(__xludf.DUMMYFUNCTION("""COMPUTED_VALUE"""),"AH JULIO")</f>
        <v>AH JULIO</v>
      </c>
      <c r="I821" s="79" t="str">
        <f ca="1">IFERROR(__xludf.DUMMYFUNCTION("""COMPUTED_VALUE"""),"Julio")</f>
        <v>Julio</v>
      </c>
      <c r="J821" s="79" t="str">
        <f ca="1">IFERROR(__xludf.DUMMYFUNCTION("""COMPUTED_VALUE"""),"AH")</f>
        <v>AH</v>
      </c>
      <c r="K821" s="80">
        <f ca="1">IFERROR(__xludf.DUMMYFUNCTION("""COMPUTED_VALUE"""),16)</f>
        <v>16</v>
      </c>
      <c r="L821" s="79" t="str">
        <f ca="1">IFERROR(__xludf.DUMMYFUNCTION("""COMPUTED_VALUE"""),"TRIMESTRE 3")</f>
        <v>TRIMESTRE 3</v>
      </c>
      <c r="M821" s="79" t="str">
        <f ca="1">IFERROR(__xludf.DUMMYFUNCTION("""COMPUTED_VALUE"""),"ADOLESCENTES HOMBRES")</f>
        <v>ADOLESCENTES HOMBRES</v>
      </c>
    </row>
    <row r="822" spans="1:13">
      <c r="A822" s="79" t="str">
        <f ca="1">IFERROR(__xludf.DUMMYFUNCTION("""COMPUTED_VALUE"""),"6.1.5.0")</f>
        <v>6.1.5.0</v>
      </c>
      <c r="B822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22" s="79" t="str">
        <f ca="1">IFERROR(__xludf.DUMMYFUNCTION("""COMPUTED_VALUE"""),"5. Inclusión")</f>
        <v>5. Inclusión</v>
      </c>
      <c r="D822" s="79" t="str">
        <f ca="1">IFERROR(__xludf.DUMMYFUNCTION("""COMPUTED_VALUE"""),"Guadalajara sin Barreras")</f>
        <v>Guadalajara sin Barreras</v>
      </c>
      <c r="E822" s="79" t="str">
        <f ca="1">IFERROR(__xludf.DUMMYFUNCTION("""COMPUTED_VALUE"""),"Atención Integral para Personas con Discapacidad")</f>
        <v>Atención Integral para Personas con Discapacidad</v>
      </c>
      <c r="F822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22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22" s="79" t="str">
        <f ca="1">IFERROR(__xludf.DUMMYFUNCTION("""COMPUTED_VALUE"""),"MUJ Julio")</f>
        <v>MUJ Julio</v>
      </c>
      <c r="I822" s="79" t="str">
        <f ca="1">IFERROR(__xludf.DUMMYFUNCTION("""COMPUTED_VALUE"""),"Julio")</f>
        <v>Julio</v>
      </c>
      <c r="J822" s="79" t="str">
        <f ca="1">IFERROR(__xludf.DUMMYFUNCTION("""COMPUTED_VALUE"""),"MUJ")</f>
        <v>MUJ</v>
      </c>
      <c r="K822" s="80">
        <f ca="1">IFERROR(__xludf.DUMMYFUNCTION("""COMPUTED_VALUE"""),220)</f>
        <v>220</v>
      </c>
      <c r="L822" s="79" t="str">
        <f ca="1">IFERROR(__xludf.DUMMYFUNCTION("""COMPUTED_VALUE"""),"TRIMESTRE 3")</f>
        <v>TRIMESTRE 3</v>
      </c>
      <c r="M822" s="79" t="str">
        <f ca="1">IFERROR(__xludf.DUMMYFUNCTION("""COMPUTED_VALUE"""),"MUJERES ADULTAS")</f>
        <v>MUJERES ADULTAS</v>
      </c>
    </row>
    <row r="823" spans="1:13">
      <c r="A823" s="79" t="str">
        <f ca="1">IFERROR(__xludf.DUMMYFUNCTION("""COMPUTED_VALUE"""),"6.1.5.0")</f>
        <v>6.1.5.0</v>
      </c>
      <c r="B823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23" s="79" t="str">
        <f ca="1">IFERROR(__xludf.DUMMYFUNCTION("""COMPUTED_VALUE"""),"5. Inclusión")</f>
        <v>5. Inclusión</v>
      </c>
      <c r="D823" s="79" t="str">
        <f ca="1">IFERROR(__xludf.DUMMYFUNCTION("""COMPUTED_VALUE"""),"Guadalajara sin Barreras")</f>
        <v>Guadalajara sin Barreras</v>
      </c>
      <c r="E823" s="79" t="str">
        <f ca="1">IFERROR(__xludf.DUMMYFUNCTION("""COMPUTED_VALUE"""),"Atención Integral para Personas con Discapacidad")</f>
        <v>Atención Integral para Personas con Discapacidad</v>
      </c>
      <c r="F823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23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23" s="79" t="str">
        <f ca="1">IFERROR(__xludf.DUMMYFUNCTION("""COMPUTED_VALUE"""),"HOM Julio")</f>
        <v>HOM Julio</v>
      </c>
      <c r="I823" s="79" t="str">
        <f ca="1">IFERROR(__xludf.DUMMYFUNCTION("""COMPUTED_VALUE"""),"Julio")</f>
        <v>Julio</v>
      </c>
      <c r="J823" s="79" t="str">
        <f ca="1">IFERROR(__xludf.DUMMYFUNCTION("""COMPUTED_VALUE"""),"HOM")</f>
        <v>HOM</v>
      </c>
      <c r="K823" s="80">
        <f ca="1">IFERROR(__xludf.DUMMYFUNCTION("""COMPUTED_VALUE"""),166)</f>
        <v>166</v>
      </c>
      <c r="L823" s="79" t="str">
        <f ca="1">IFERROR(__xludf.DUMMYFUNCTION("""COMPUTED_VALUE"""),"TRIMESTRE 3")</f>
        <v>TRIMESTRE 3</v>
      </c>
      <c r="M823" s="79" t="str">
        <f ca="1">IFERROR(__xludf.DUMMYFUNCTION("""COMPUTED_VALUE"""),"HOMBRES ADULTOS")</f>
        <v>HOMBRES ADULTOS</v>
      </c>
    </row>
    <row r="824" spans="1:13">
      <c r="A824" s="79" t="str">
        <f ca="1">IFERROR(__xludf.DUMMYFUNCTION("""COMPUTED_VALUE"""),"6.1.5.0")</f>
        <v>6.1.5.0</v>
      </c>
      <c r="B824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24" s="79" t="str">
        <f ca="1">IFERROR(__xludf.DUMMYFUNCTION("""COMPUTED_VALUE"""),"5. Inclusión")</f>
        <v>5. Inclusión</v>
      </c>
      <c r="D824" s="79" t="str">
        <f ca="1">IFERROR(__xludf.DUMMYFUNCTION("""COMPUTED_VALUE"""),"Guadalajara sin Barreras")</f>
        <v>Guadalajara sin Barreras</v>
      </c>
      <c r="E824" s="79" t="str">
        <f ca="1">IFERROR(__xludf.DUMMYFUNCTION("""COMPUTED_VALUE"""),"Atención Integral para Personas con Discapacidad")</f>
        <v>Atención Integral para Personas con Discapacidad</v>
      </c>
      <c r="F824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24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24" s="79" t="str">
        <f ca="1">IFERROR(__xludf.DUMMYFUNCTION("""COMPUTED_VALUE"""),"AMM Julio")</f>
        <v>AMM Julio</v>
      </c>
      <c r="I824" s="79" t="str">
        <f ca="1">IFERROR(__xludf.DUMMYFUNCTION("""COMPUTED_VALUE"""),"Julio")</f>
        <v>Julio</v>
      </c>
      <c r="J824" s="79" t="str">
        <f ca="1">IFERROR(__xludf.DUMMYFUNCTION("""COMPUTED_VALUE"""),"AMM")</f>
        <v>AMM</v>
      </c>
      <c r="K824" s="80">
        <f ca="1">IFERROR(__xludf.DUMMYFUNCTION("""COMPUTED_VALUE"""),497)</f>
        <v>497</v>
      </c>
      <c r="L824" s="79" t="str">
        <f ca="1">IFERROR(__xludf.DUMMYFUNCTION("""COMPUTED_VALUE"""),"TRIMESTRE 3")</f>
        <v>TRIMESTRE 3</v>
      </c>
      <c r="M824" s="79" t="str">
        <f ca="1">IFERROR(__xludf.DUMMYFUNCTION("""COMPUTED_VALUE"""),"ADULTA MAYOR MUJER")</f>
        <v>ADULTA MAYOR MUJER</v>
      </c>
    </row>
    <row r="825" spans="1:13">
      <c r="A825" s="79" t="str">
        <f ca="1">IFERROR(__xludf.DUMMYFUNCTION("""COMPUTED_VALUE"""),"6.1.5.0")</f>
        <v>6.1.5.0</v>
      </c>
      <c r="B825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25" s="79" t="str">
        <f ca="1">IFERROR(__xludf.DUMMYFUNCTION("""COMPUTED_VALUE"""),"5. Inclusión")</f>
        <v>5. Inclusión</v>
      </c>
      <c r="D825" s="79" t="str">
        <f ca="1">IFERROR(__xludf.DUMMYFUNCTION("""COMPUTED_VALUE"""),"Guadalajara sin Barreras")</f>
        <v>Guadalajara sin Barreras</v>
      </c>
      <c r="E825" s="79" t="str">
        <f ca="1">IFERROR(__xludf.DUMMYFUNCTION("""COMPUTED_VALUE"""),"Atención Integral para Personas con Discapacidad")</f>
        <v>Atención Integral para Personas con Discapacidad</v>
      </c>
      <c r="F825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25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25" s="79" t="str">
        <f ca="1">IFERROR(__xludf.DUMMYFUNCTION("""COMPUTED_VALUE"""),"AMH Julio")</f>
        <v>AMH Julio</v>
      </c>
      <c r="I825" s="79" t="str">
        <f ca="1">IFERROR(__xludf.DUMMYFUNCTION("""COMPUTED_VALUE"""),"Julio")</f>
        <v>Julio</v>
      </c>
      <c r="J825" s="79" t="str">
        <f ca="1">IFERROR(__xludf.DUMMYFUNCTION("""COMPUTED_VALUE"""),"AMH")</f>
        <v>AMH</v>
      </c>
      <c r="K825" s="80">
        <f ca="1">IFERROR(__xludf.DUMMYFUNCTION("""COMPUTED_VALUE"""),109)</f>
        <v>109</v>
      </c>
      <c r="L825" s="79" t="str">
        <f ca="1">IFERROR(__xludf.DUMMYFUNCTION("""COMPUTED_VALUE"""),"TRIMESTRE 3")</f>
        <v>TRIMESTRE 3</v>
      </c>
      <c r="M825" s="79" t="str">
        <f ca="1">IFERROR(__xludf.DUMMYFUNCTION("""COMPUTED_VALUE"""),"ADULTO MAYOR HOMBRE")</f>
        <v>ADULTO MAYOR HOMBRE</v>
      </c>
    </row>
    <row r="826" spans="1:13">
      <c r="A826" s="79" t="str">
        <f ca="1">IFERROR(__xludf.DUMMYFUNCTION("""COMPUTED_VALUE"""),"6.1.5.1")</f>
        <v>6.1.5.1</v>
      </c>
      <c r="B826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26" s="79" t="str">
        <f ca="1">IFERROR(__xludf.DUMMYFUNCTION("""COMPUTED_VALUE"""),"5. Inclusión")</f>
        <v>5. Inclusión</v>
      </c>
      <c r="D826" s="79" t="str">
        <f ca="1">IFERROR(__xludf.DUMMYFUNCTION("""COMPUTED_VALUE"""),"Guadalajara sin Barreras")</f>
        <v>Guadalajara sin Barreras</v>
      </c>
      <c r="E826" s="79" t="str">
        <f ca="1">IFERROR(__xludf.DUMMYFUNCTION("""COMPUTED_VALUE"""),"Atención Integral para Personas con Discapacidad")</f>
        <v>Atención Integral para Personas con Discapacidad</v>
      </c>
      <c r="F826" s="79" t="str">
        <f ca="1">IFERROR(__xludf.DUMMYFUNCTION("""COMPUTED_VALUE"""),"A1C5. Sesiones de terapia física brindadas en el Centro CAIPED en 2024")</f>
        <v>A1C5. Sesiones de terapia física brindadas en el Centro CAIPED en 2024</v>
      </c>
      <c r="G826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26" s="79" t="str">
        <f ca="1">IFERROR(__xludf.DUMMYFUNCTION("""COMPUTED_VALUE"""),"NAS Julio")</f>
        <v>NAS Julio</v>
      </c>
      <c r="I826" s="79" t="str">
        <f ca="1">IFERROR(__xludf.DUMMYFUNCTION("""COMPUTED_VALUE"""),"Julio")</f>
        <v>Julio</v>
      </c>
      <c r="J826" s="79" t="str">
        <f ca="1">IFERROR(__xludf.DUMMYFUNCTION("""COMPUTED_VALUE"""),"NAS")</f>
        <v>NAS</v>
      </c>
      <c r="K826" s="80">
        <f ca="1">IFERROR(__xludf.DUMMYFUNCTION("""COMPUTED_VALUE"""),15)</f>
        <v>15</v>
      </c>
      <c r="L826" s="79" t="str">
        <f ca="1">IFERROR(__xludf.DUMMYFUNCTION("""COMPUTED_VALUE"""),"TRIMESTRE 3")</f>
        <v>TRIMESTRE 3</v>
      </c>
      <c r="M826" s="79" t="str">
        <f ca="1">IFERROR(__xludf.DUMMYFUNCTION("""COMPUTED_VALUE"""),"NIÑAS")</f>
        <v>NIÑAS</v>
      </c>
    </row>
    <row r="827" spans="1:13">
      <c r="A827" s="79" t="str">
        <f ca="1">IFERROR(__xludf.DUMMYFUNCTION("""COMPUTED_VALUE"""),"6.1.5.1")</f>
        <v>6.1.5.1</v>
      </c>
      <c r="B827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27" s="79" t="str">
        <f ca="1">IFERROR(__xludf.DUMMYFUNCTION("""COMPUTED_VALUE"""),"5. Inclusión")</f>
        <v>5. Inclusión</v>
      </c>
      <c r="D827" s="79" t="str">
        <f ca="1">IFERROR(__xludf.DUMMYFUNCTION("""COMPUTED_VALUE"""),"Guadalajara sin Barreras")</f>
        <v>Guadalajara sin Barreras</v>
      </c>
      <c r="E827" s="79" t="str">
        <f ca="1">IFERROR(__xludf.DUMMYFUNCTION("""COMPUTED_VALUE"""),"Atención Integral para Personas con Discapacidad")</f>
        <v>Atención Integral para Personas con Discapacidad</v>
      </c>
      <c r="F827" s="79" t="str">
        <f ca="1">IFERROR(__xludf.DUMMYFUNCTION("""COMPUTED_VALUE"""),"A1C5. Sesiones de terapia física brindadas en el Centro CAIPED en 2024")</f>
        <v>A1C5. Sesiones de terapia física brindadas en el Centro CAIPED en 2024</v>
      </c>
      <c r="G827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27" s="79" t="str">
        <f ca="1">IFERROR(__xludf.DUMMYFUNCTION("""COMPUTED_VALUE"""),"NOS Julio")</f>
        <v>NOS Julio</v>
      </c>
      <c r="I827" s="79" t="str">
        <f ca="1">IFERROR(__xludf.DUMMYFUNCTION("""COMPUTED_VALUE"""),"Julio")</f>
        <v>Julio</v>
      </c>
      <c r="J827" s="79" t="str">
        <f ca="1">IFERROR(__xludf.DUMMYFUNCTION("""COMPUTED_VALUE"""),"NOS")</f>
        <v>NOS</v>
      </c>
      <c r="K827" s="80">
        <f ca="1">IFERROR(__xludf.DUMMYFUNCTION("""COMPUTED_VALUE"""),7)</f>
        <v>7</v>
      </c>
      <c r="L827" s="79" t="str">
        <f ca="1">IFERROR(__xludf.DUMMYFUNCTION("""COMPUTED_VALUE"""),"TRIMESTRE 3")</f>
        <v>TRIMESTRE 3</v>
      </c>
      <c r="M827" s="79" t="str">
        <f ca="1">IFERROR(__xludf.DUMMYFUNCTION("""COMPUTED_VALUE"""),"NIÑOS")</f>
        <v>NIÑOS</v>
      </c>
    </row>
    <row r="828" spans="1:13">
      <c r="A828" s="79" t="str">
        <f ca="1">IFERROR(__xludf.DUMMYFUNCTION("""COMPUTED_VALUE"""),"6.1.5.1")</f>
        <v>6.1.5.1</v>
      </c>
      <c r="B828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28" s="79" t="str">
        <f ca="1">IFERROR(__xludf.DUMMYFUNCTION("""COMPUTED_VALUE"""),"5. Inclusión")</f>
        <v>5. Inclusión</v>
      </c>
      <c r="D828" s="79" t="str">
        <f ca="1">IFERROR(__xludf.DUMMYFUNCTION("""COMPUTED_VALUE"""),"Guadalajara sin Barreras")</f>
        <v>Guadalajara sin Barreras</v>
      </c>
      <c r="E828" s="79" t="str">
        <f ca="1">IFERROR(__xludf.DUMMYFUNCTION("""COMPUTED_VALUE"""),"Atención Integral para Personas con Discapacidad")</f>
        <v>Atención Integral para Personas con Discapacidad</v>
      </c>
      <c r="F828" s="79" t="str">
        <f ca="1">IFERROR(__xludf.DUMMYFUNCTION("""COMPUTED_VALUE"""),"A1C5. Sesiones de terapia física brindadas en el Centro CAIPED en 2024")</f>
        <v>A1C5. Sesiones de terapia física brindadas en el Centro CAIPED en 2024</v>
      </c>
      <c r="G828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28" s="79" t="str">
        <f ca="1">IFERROR(__xludf.DUMMYFUNCTION("""COMPUTED_VALUE"""),"AM JULIO")</f>
        <v>AM JULIO</v>
      </c>
      <c r="I828" s="79" t="str">
        <f ca="1">IFERROR(__xludf.DUMMYFUNCTION("""COMPUTED_VALUE"""),"Julio")</f>
        <v>Julio</v>
      </c>
      <c r="J828" s="79" t="str">
        <f ca="1">IFERROR(__xludf.DUMMYFUNCTION("""COMPUTED_VALUE"""),"AM")</f>
        <v>AM</v>
      </c>
      <c r="K828" s="80">
        <f ca="1">IFERROR(__xludf.DUMMYFUNCTION("""COMPUTED_VALUE"""),3)</f>
        <v>3</v>
      </c>
      <c r="L828" s="79" t="str">
        <f ca="1">IFERROR(__xludf.DUMMYFUNCTION("""COMPUTED_VALUE"""),"TRIMESTRE 3")</f>
        <v>TRIMESTRE 3</v>
      </c>
      <c r="M828" s="79" t="str">
        <f ca="1">IFERROR(__xludf.DUMMYFUNCTION("""COMPUTED_VALUE"""),"ADOLESCENTES MUJERES")</f>
        <v>ADOLESCENTES MUJERES</v>
      </c>
    </row>
    <row r="829" spans="1:13">
      <c r="A829" s="79" t="str">
        <f ca="1">IFERROR(__xludf.DUMMYFUNCTION("""COMPUTED_VALUE"""),"6.1.5.1")</f>
        <v>6.1.5.1</v>
      </c>
      <c r="B829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29" s="79" t="str">
        <f ca="1">IFERROR(__xludf.DUMMYFUNCTION("""COMPUTED_VALUE"""),"5. Inclusión")</f>
        <v>5. Inclusión</v>
      </c>
      <c r="D829" s="79" t="str">
        <f ca="1">IFERROR(__xludf.DUMMYFUNCTION("""COMPUTED_VALUE"""),"Guadalajara sin Barreras")</f>
        <v>Guadalajara sin Barreras</v>
      </c>
      <c r="E829" s="79" t="str">
        <f ca="1">IFERROR(__xludf.DUMMYFUNCTION("""COMPUTED_VALUE"""),"Atención Integral para Personas con Discapacidad")</f>
        <v>Atención Integral para Personas con Discapacidad</v>
      </c>
      <c r="F829" s="79" t="str">
        <f ca="1">IFERROR(__xludf.DUMMYFUNCTION("""COMPUTED_VALUE"""),"A1C5. Sesiones de terapia física brindadas en el Centro CAIPED en 2024")</f>
        <v>A1C5. Sesiones de terapia física brindadas en el Centro CAIPED en 2024</v>
      </c>
      <c r="G829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29" s="79" t="str">
        <f ca="1">IFERROR(__xludf.DUMMYFUNCTION("""COMPUTED_VALUE"""),"AH JULIO")</f>
        <v>AH JULIO</v>
      </c>
      <c r="I829" s="79" t="str">
        <f ca="1">IFERROR(__xludf.DUMMYFUNCTION("""COMPUTED_VALUE"""),"Julio")</f>
        <v>Julio</v>
      </c>
      <c r="J829" s="79" t="str">
        <f ca="1">IFERROR(__xludf.DUMMYFUNCTION("""COMPUTED_VALUE"""),"AH")</f>
        <v>AH</v>
      </c>
      <c r="K829" s="80">
        <f ca="1">IFERROR(__xludf.DUMMYFUNCTION("""COMPUTED_VALUE"""),13)</f>
        <v>13</v>
      </c>
      <c r="L829" s="79" t="str">
        <f ca="1">IFERROR(__xludf.DUMMYFUNCTION("""COMPUTED_VALUE"""),"TRIMESTRE 3")</f>
        <v>TRIMESTRE 3</v>
      </c>
      <c r="M829" s="79" t="str">
        <f ca="1">IFERROR(__xludf.DUMMYFUNCTION("""COMPUTED_VALUE"""),"ADOLESCENTES HOMBRES")</f>
        <v>ADOLESCENTES HOMBRES</v>
      </c>
    </row>
    <row r="830" spans="1:13">
      <c r="A830" s="79" t="str">
        <f ca="1">IFERROR(__xludf.DUMMYFUNCTION("""COMPUTED_VALUE"""),"6.1.5.1")</f>
        <v>6.1.5.1</v>
      </c>
      <c r="B830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0" s="79" t="str">
        <f ca="1">IFERROR(__xludf.DUMMYFUNCTION("""COMPUTED_VALUE"""),"5. Inclusión")</f>
        <v>5. Inclusión</v>
      </c>
      <c r="D830" s="79" t="str">
        <f ca="1">IFERROR(__xludf.DUMMYFUNCTION("""COMPUTED_VALUE"""),"Guadalajara sin Barreras")</f>
        <v>Guadalajara sin Barreras</v>
      </c>
      <c r="E830" s="79" t="str">
        <f ca="1">IFERROR(__xludf.DUMMYFUNCTION("""COMPUTED_VALUE"""),"Atención Integral para Personas con Discapacidad")</f>
        <v>Atención Integral para Personas con Discapacidad</v>
      </c>
      <c r="F830" s="79" t="str">
        <f ca="1">IFERROR(__xludf.DUMMYFUNCTION("""COMPUTED_VALUE"""),"A1C5. Sesiones de terapia física brindadas en el Centro CAIPED en 2024")</f>
        <v>A1C5. Sesiones de terapia física brindadas en el Centro CAIPED en 2024</v>
      </c>
      <c r="G830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30" s="79" t="str">
        <f ca="1">IFERROR(__xludf.DUMMYFUNCTION("""COMPUTED_VALUE"""),"MUJ Julio")</f>
        <v>MUJ Julio</v>
      </c>
      <c r="I830" s="79" t="str">
        <f ca="1">IFERROR(__xludf.DUMMYFUNCTION("""COMPUTED_VALUE"""),"Julio")</f>
        <v>Julio</v>
      </c>
      <c r="J830" s="79" t="str">
        <f ca="1">IFERROR(__xludf.DUMMYFUNCTION("""COMPUTED_VALUE"""),"MUJ")</f>
        <v>MUJ</v>
      </c>
      <c r="K830" s="80">
        <f ca="1">IFERROR(__xludf.DUMMYFUNCTION("""COMPUTED_VALUE"""),179)</f>
        <v>179</v>
      </c>
      <c r="L830" s="79" t="str">
        <f ca="1">IFERROR(__xludf.DUMMYFUNCTION("""COMPUTED_VALUE"""),"TRIMESTRE 3")</f>
        <v>TRIMESTRE 3</v>
      </c>
      <c r="M830" s="79" t="str">
        <f ca="1">IFERROR(__xludf.DUMMYFUNCTION("""COMPUTED_VALUE"""),"MUJERES ADULTAS")</f>
        <v>MUJERES ADULTAS</v>
      </c>
    </row>
    <row r="831" spans="1:13">
      <c r="A831" s="79" t="str">
        <f ca="1">IFERROR(__xludf.DUMMYFUNCTION("""COMPUTED_VALUE"""),"6.1.5.1")</f>
        <v>6.1.5.1</v>
      </c>
      <c r="B831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1" s="79" t="str">
        <f ca="1">IFERROR(__xludf.DUMMYFUNCTION("""COMPUTED_VALUE"""),"5. Inclusión")</f>
        <v>5. Inclusión</v>
      </c>
      <c r="D831" s="79" t="str">
        <f ca="1">IFERROR(__xludf.DUMMYFUNCTION("""COMPUTED_VALUE"""),"Guadalajara sin Barreras")</f>
        <v>Guadalajara sin Barreras</v>
      </c>
      <c r="E831" s="79" t="str">
        <f ca="1">IFERROR(__xludf.DUMMYFUNCTION("""COMPUTED_VALUE"""),"Atención Integral para Personas con Discapacidad")</f>
        <v>Atención Integral para Personas con Discapacidad</v>
      </c>
      <c r="F831" s="79" t="str">
        <f ca="1">IFERROR(__xludf.DUMMYFUNCTION("""COMPUTED_VALUE"""),"A1C5. Sesiones de terapia física brindadas en el Centro CAIPED en 2024")</f>
        <v>A1C5. Sesiones de terapia física brindadas en el Centro CAIPED en 2024</v>
      </c>
      <c r="G831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31" s="79" t="str">
        <f ca="1">IFERROR(__xludf.DUMMYFUNCTION("""COMPUTED_VALUE"""),"HOM Julio")</f>
        <v>HOM Julio</v>
      </c>
      <c r="I831" s="79" t="str">
        <f ca="1">IFERROR(__xludf.DUMMYFUNCTION("""COMPUTED_VALUE"""),"Julio")</f>
        <v>Julio</v>
      </c>
      <c r="J831" s="79" t="str">
        <f ca="1">IFERROR(__xludf.DUMMYFUNCTION("""COMPUTED_VALUE"""),"HOM")</f>
        <v>HOM</v>
      </c>
      <c r="K831" s="80">
        <f ca="1">IFERROR(__xludf.DUMMYFUNCTION("""COMPUTED_VALUE"""),128)</f>
        <v>128</v>
      </c>
      <c r="L831" s="79" t="str">
        <f ca="1">IFERROR(__xludf.DUMMYFUNCTION("""COMPUTED_VALUE"""),"TRIMESTRE 3")</f>
        <v>TRIMESTRE 3</v>
      </c>
      <c r="M831" s="79" t="str">
        <f ca="1">IFERROR(__xludf.DUMMYFUNCTION("""COMPUTED_VALUE"""),"HOMBRES ADULTOS")</f>
        <v>HOMBRES ADULTOS</v>
      </c>
    </row>
    <row r="832" spans="1:13">
      <c r="A832" s="79" t="str">
        <f ca="1">IFERROR(__xludf.DUMMYFUNCTION("""COMPUTED_VALUE"""),"6.1.5.1")</f>
        <v>6.1.5.1</v>
      </c>
      <c r="B832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2" s="79" t="str">
        <f ca="1">IFERROR(__xludf.DUMMYFUNCTION("""COMPUTED_VALUE"""),"5. Inclusión")</f>
        <v>5. Inclusión</v>
      </c>
      <c r="D832" s="79" t="str">
        <f ca="1">IFERROR(__xludf.DUMMYFUNCTION("""COMPUTED_VALUE"""),"Guadalajara sin Barreras")</f>
        <v>Guadalajara sin Barreras</v>
      </c>
      <c r="E832" s="79" t="str">
        <f ca="1">IFERROR(__xludf.DUMMYFUNCTION("""COMPUTED_VALUE"""),"Atención Integral para Personas con Discapacidad")</f>
        <v>Atención Integral para Personas con Discapacidad</v>
      </c>
      <c r="F832" s="79" t="str">
        <f ca="1">IFERROR(__xludf.DUMMYFUNCTION("""COMPUTED_VALUE"""),"A1C5. Sesiones de terapia física brindadas en el Centro CAIPED en 2024")</f>
        <v>A1C5. Sesiones de terapia física brindadas en el Centro CAIPED en 2024</v>
      </c>
      <c r="G832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32" s="79" t="str">
        <f ca="1">IFERROR(__xludf.DUMMYFUNCTION("""COMPUTED_VALUE"""),"AMM Julio")</f>
        <v>AMM Julio</v>
      </c>
      <c r="I832" s="79" t="str">
        <f ca="1">IFERROR(__xludf.DUMMYFUNCTION("""COMPUTED_VALUE"""),"Julio")</f>
        <v>Julio</v>
      </c>
      <c r="J832" s="79" t="str">
        <f ca="1">IFERROR(__xludf.DUMMYFUNCTION("""COMPUTED_VALUE"""),"AMM")</f>
        <v>AMM</v>
      </c>
      <c r="K832" s="80">
        <f ca="1">IFERROR(__xludf.DUMMYFUNCTION("""COMPUTED_VALUE"""),412)</f>
        <v>412</v>
      </c>
      <c r="L832" s="79" t="str">
        <f ca="1">IFERROR(__xludf.DUMMYFUNCTION("""COMPUTED_VALUE"""),"TRIMESTRE 3")</f>
        <v>TRIMESTRE 3</v>
      </c>
      <c r="M832" s="79" t="str">
        <f ca="1">IFERROR(__xludf.DUMMYFUNCTION("""COMPUTED_VALUE"""),"ADULTA MAYOR MUJER")</f>
        <v>ADULTA MAYOR MUJER</v>
      </c>
    </row>
    <row r="833" spans="1:13">
      <c r="A833" s="79" t="str">
        <f ca="1">IFERROR(__xludf.DUMMYFUNCTION("""COMPUTED_VALUE"""),"6.1.5.1")</f>
        <v>6.1.5.1</v>
      </c>
      <c r="B833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3" s="79" t="str">
        <f ca="1">IFERROR(__xludf.DUMMYFUNCTION("""COMPUTED_VALUE"""),"5. Inclusión")</f>
        <v>5. Inclusión</v>
      </c>
      <c r="D833" s="79" t="str">
        <f ca="1">IFERROR(__xludf.DUMMYFUNCTION("""COMPUTED_VALUE"""),"Guadalajara sin Barreras")</f>
        <v>Guadalajara sin Barreras</v>
      </c>
      <c r="E833" s="79" t="str">
        <f ca="1">IFERROR(__xludf.DUMMYFUNCTION("""COMPUTED_VALUE"""),"Atención Integral para Personas con Discapacidad")</f>
        <v>Atención Integral para Personas con Discapacidad</v>
      </c>
      <c r="F833" s="79" t="str">
        <f ca="1">IFERROR(__xludf.DUMMYFUNCTION("""COMPUTED_VALUE"""),"A1C5. Sesiones de terapia física brindadas en el Centro CAIPED en 2024")</f>
        <v>A1C5. Sesiones de terapia física brindadas en el Centro CAIPED en 2024</v>
      </c>
      <c r="G833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33" s="79" t="str">
        <f ca="1">IFERROR(__xludf.DUMMYFUNCTION("""COMPUTED_VALUE"""),"AMH Julio")</f>
        <v>AMH Julio</v>
      </c>
      <c r="I833" s="79" t="str">
        <f ca="1">IFERROR(__xludf.DUMMYFUNCTION("""COMPUTED_VALUE"""),"Julio")</f>
        <v>Julio</v>
      </c>
      <c r="J833" s="79" t="str">
        <f ca="1">IFERROR(__xludf.DUMMYFUNCTION("""COMPUTED_VALUE"""),"AMH")</f>
        <v>AMH</v>
      </c>
      <c r="K833" s="80">
        <f ca="1">IFERROR(__xludf.DUMMYFUNCTION("""COMPUTED_VALUE"""),88)</f>
        <v>88</v>
      </c>
      <c r="L833" s="79" t="str">
        <f ca="1">IFERROR(__xludf.DUMMYFUNCTION("""COMPUTED_VALUE"""),"TRIMESTRE 3")</f>
        <v>TRIMESTRE 3</v>
      </c>
      <c r="M833" s="79" t="str">
        <f ca="1">IFERROR(__xludf.DUMMYFUNCTION("""COMPUTED_VALUE"""),"ADULTO MAYOR HOMBRE")</f>
        <v>ADULTO MAYOR HOMBRE</v>
      </c>
    </row>
    <row r="834" spans="1:13">
      <c r="A834" s="79" t="str">
        <f ca="1">IFERROR(__xludf.DUMMYFUNCTION("""COMPUTED_VALUE"""),"6.1.5.2")</f>
        <v>6.1.5.2</v>
      </c>
      <c r="B834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4" s="79" t="str">
        <f ca="1">IFERROR(__xludf.DUMMYFUNCTION("""COMPUTED_VALUE"""),"5. Inclusión")</f>
        <v>5. Inclusión</v>
      </c>
      <c r="D834" s="79" t="str">
        <f ca="1">IFERROR(__xludf.DUMMYFUNCTION("""COMPUTED_VALUE"""),"Guadalajara sin Barreras")</f>
        <v>Guadalajara sin Barreras</v>
      </c>
      <c r="E834" s="79" t="str">
        <f ca="1">IFERROR(__xludf.DUMMYFUNCTION("""COMPUTED_VALUE"""),"Atención Integral para Personas con Discapacidad")</f>
        <v>Atención Integral para Personas con Discapacidad</v>
      </c>
      <c r="F834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34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34" s="79" t="str">
        <f ca="1">IFERROR(__xludf.DUMMYFUNCTION("""COMPUTED_VALUE"""),"NAS Julio")</f>
        <v>NAS Julio</v>
      </c>
      <c r="I834" s="79" t="str">
        <f ca="1">IFERROR(__xludf.DUMMYFUNCTION("""COMPUTED_VALUE"""),"Julio")</f>
        <v>Julio</v>
      </c>
      <c r="J834" s="79" t="str">
        <f ca="1">IFERROR(__xludf.DUMMYFUNCTION("""COMPUTED_VALUE"""),"NAS")</f>
        <v>NAS</v>
      </c>
      <c r="K834" s="80">
        <f ca="1">IFERROR(__xludf.DUMMYFUNCTION("""COMPUTED_VALUE"""),5)</f>
        <v>5</v>
      </c>
      <c r="L834" s="79" t="str">
        <f ca="1">IFERROR(__xludf.DUMMYFUNCTION("""COMPUTED_VALUE"""),"TRIMESTRE 3")</f>
        <v>TRIMESTRE 3</v>
      </c>
      <c r="M834" s="79" t="str">
        <f ca="1">IFERROR(__xludf.DUMMYFUNCTION("""COMPUTED_VALUE"""),"NIÑAS")</f>
        <v>NIÑAS</v>
      </c>
    </row>
    <row r="835" spans="1:13">
      <c r="A835" s="79" t="str">
        <f ca="1">IFERROR(__xludf.DUMMYFUNCTION("""COMPUTED_VALUE"""),"6.1.5.2")</f>
        <v>6.1.5.2</v>
      </c>
      <c r="B835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5" s="79" t="str">
        <f ca="1">IFERROR(__xludf.DUMMYFUNCTION("""COMPUTED_VALUE"""),"5. Inclusión")</f>
        <v>5. Inclusión</v>
      </c>
      <c r="D835" s="79" t="str">
        <f ca="1">IFERROR(__xludf.DUMMYFUNCTION("""COMPUTED_VALUE"""),"Guadalajara sin Barreras")</f>
        <v>Guadalajara sin Barreras</v>
      </c>
      <c r="E835" s="79" t="str">
        <f ca="1">IFERROR(__xludf.DUMMYFUNCTION("""COMPUTED_VALUE"""),"Atención Integral para Personas con Discapacidad")</f>
        <v>Atención Integral para Personas con Discapacidad</v>
      </c>
      <c r="F835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35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35" s="79" t="str">
        <f ca="1">IFERROR(__xludf.DUMMYFUNCTION("""COMPUTED_VALUE"""),"NOS Julio")</f>
        <v>NOS Julio</v>
      </c>
      <c r="I835" s="79" t="str">
        <f ca="1">IFERROR(__xludf.DUMMYFUNCTION("""COMPUTED_VALUE"""),"Julio")</f>
        <v>Julio</v>
      </c>
      <c r="J835" s="79" t="str">
        <f ca="1">IFERROR(__xludf.DUMMYFUNCTION("""COMPUTED_VALUE"""),"NOS")</f>
        <v>NOS</v>
      </c>
      <c r="K835" s="80">
        <f ca="1">IFERROR(__xludf.DUMMYFUNCTION("""COMPUTED_VALUE"""),14)</f>
        <v>14</v>
      </c>
      <c r="L835" s="79" t="str">
        <f ca="1">IFERROR(__xludf.DUMMYFUNCTION("""COMPUTED_VALUE"""),"TRIMESTRE 3")</f>
        <v>TRIMESTRE 3</v>
      </c>
      <c r="M835" s="79" t="str">
        <f ca="1">IFERROR(__xludf.DUMMYFUNCTION("""COMPUTED_VALUE"""),"NIÑOS")</f>
        <v>NIÑOS</v>
      </c>
    </row>
    <row r="836" spans="1:13">
      <c r="A836" s="79" t="str">
        <f ca="1">IFERROR(__xludf.DUMMYFUNCTION("""COMPUTED_VALUE"""),"6.1.5.2")</f>
        <v>6.1.5.2</v>
      </c>
      <c r="B836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6" s="79" t="str">
        <f ca="1">IFERROR(__xludf.DUMMYFUNCTION("""COMPUTED_VALUE"""),"5. Inclusión")</f>
        <v>5. Inclusión</v>
      </c>
      <c r="D836" s="79" t="str">
        <f ca="1">IFERROR(__xludf.DUMMYFUNCTION("""COMPUTED_VALUE"""),"Guadalajara sin Barreras")</f>
        <v>Guadalajara sin Barreras</v>
      </c>
      <c r="E836" s="79" t="str">
        <f ca="1">IFERROR(__xludf.DUMMYFUNCTION("""COMPUTED_VALUE"""),"Atención Integral para Personas con Discapacidad")</f>
        <v>Atención Integral para Personas con Discapacidad</v>
      </c>
      <c r="F836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36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36" s="79" t="str">
        <f ca="1">IFERROR(__xludf.DUMMYFUNCTION("""COMPUTED_VALUE"""),"AM JULIO")</f>
        <v>AM JULIO</v>
      </c>
      <c r="I836" s="79" t="str">
        <f ca="1">IFERROR(__xludf.DUMMYFUNCTION("""COMPUTED_VALUE"""),"Julio")</f>
        <v>Julio</v>
      </c>
      <c r="J836" s="79" t="str">
        <f ca="1">IFERROR(__xludf.DUMMYFUNCTION("""COMPUTED_VALUE"""),"AM")</f>
        <v>AM</v>
      </c>
      <c r="K836" s="80">
        <f ca="1">IFERROR(__xludf.DUMMYFUNCTION("""COMPUTED_VALUE"""),6)</f>
        <v>6</v>
      </c>
      <c r="L836" s="79" t="str">
        <f ca="1">IFERROR(__xludf.DUMMYFUNCTION("""COMPUTED_VALUE"""),"TRIMESTRE 3")</f>
        <v>TRIMESTRE 3</v>
      </c>
      <c r="M836" s="79" t="str">
        <f ca="1">IFERROR(__xludf.DUMMYFUNCTION("""COMPUTED_VALUE"""),"ADOLESCENTES MUJERES")</f>
        <v>ADOLESCENTES MUJERES</v>
      </c>
    </row>
    <row r="837" spans="1:13">
      <c r="A837" s="79" t="str">
        <f ca="1">IFERROR(__xludf.DUMMYFUNCTION("""COMPUTED_VALUE"""),"6.1.5.2")</f>
        <v>6.1.5.2</v>
      </c>
      <c r="B837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7" s="79" t="str">
        <f ca="1">IFERROR(__xludf.DUMMYFUNCTION("""COMPUTED_VALUE"""),"5. Inclusión")</f>
        <v>5. Inclusión</v>
      </c>
      <c r="D837" s="79" t="str">
        <f ca="1">IFERROR(__xludf.DUMMYFUNCTION("""COMPUTED_VALUE"""),"Guadalajara sin Barreras")</f>
        <v>Guadalajara sin Barreras</v>
      </c>
      <c r="E837" s="79" t="str">
        <f ca="1">IFERROR(__xludf.DUMMYFUNCTION("""COMPUTED_VALUE"""),"Atención Integral para Personas con Discapacidad")</f>
        <v>Atención Integral para Personas con Discapacidad</v>
      </c>
      <c r="F837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37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37" s="79" t="str">
        <f ca="1">IFERROR(__xludf.DUMMYFUNCTION("""COMPUTED_VALUE"""),"AH JULIO")</f>
        <v>AH JULIO</v>
      </c>
      <c r="I837" s="79" t="str">
        <f ca="1">IFERROR(__xludf.DUMMYFUNCTION("""COMPUTED_VALUE"""),"Julio")</f>
        <v>Julio</v>
      </c>
      <c r="J837" s="79" t="str">
        <f ca="1">IFERROR(__xludf.DUMMYFUNCTION("""COMPUTED_VALUE"""),"AH")</f>
        <v>AH</v>
      </c>
      <c r="K837" s="80">
        <f ca="1">IFERROR(__xludf.DUMMYFUNCTION("""COMPUTED_VALUE"""),3)</f>
        <v>3</v>
      </c>
      <c r="L837" s="79" t="str">
        <f ca="1">IFERROR(__xludf.DUMMYFUNCTION("""COMPUTED_VALUE"""),"TRIMESTRE 3")</f>
        <v>TRIMESTRE 3</v>
      </c>
      <c r="M837" s="79" t="str">
        <f ca="1">IFERROR(__xludf.DUMMYFUNCTION("""COMPUTED_VALUE"""),"ADOLESCENTES HOMBRES")</f>
        <v>ADOLESCENTES HOMBRES</v>
      </c>
    </row>
    <row r="838" spans="1:13">
      <c r="A838" s="79" t="str">
        <f ca="1">IFERROR(__xludf.DUMMYFUNCTION("""COMPUTED_VALUE"""),"6.1.5.2")</f>
        <v>6.1.5.2</v>
      </c>
      <c r="B838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8" s="79" t="str">
        <f ca="1">IFERROR(__xludf.DUMMYFUNCTION("""COMPUTED_VALUE"""),"5. Inclusión")</f>
        <v>5. Inclusión</v>
      </c>
      <c r="D838" s="79" t="str">
        <f ca="1">IFERROR(__xludf.DUMMYFUNCTION("""COMPUTED_VALUE"""),"Guadalajara sin Barreras")</f>
        <v>Guadalajara sin Barreras</v>
      </c>
      <c r="E838" s="79" t="str">
        <f ca="1">IFERROR(__xludf.DUMMYFUNCTION("""COMPUTED_VALUE"""),"Atención Integral para Personas con Discapacidad")</f>
        <v>Atención Integral para Personas con Discapacidad</v>
      </c>
      <c r="F838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38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38" s="79" t="str">
        <f ca="1">IFERROR(__xludf.DUMMYFUNCTION("""COMPUTED_VALUE"""),"MUJ Julio")</f>
        <v>MUJ Julio</v>
      </c>
      <c r="I838" s="79" t="str">
        <f ca="1">IFERROR(__xludf.DUMMYFUNCTION("""COMPUTED_VALUE"""),"Julio")</f>
        <v>Julio</v>
      </c>
      <c r="J838" s="79" t="str">
        <f ca="1">IFERROR(__xludf.DUMMYFUNCTION("""COMPUTED_VALUE"""),"MUJ")</f>
        <v>MUJ</v>
      </c>
      <c r="K838" s="80">
        <f ca="1">IFERROR(__xludf.DUMMYFUNCTION("""COMPUTED_VALUE"""),41)</f>
        <v>41</v>
      </c>
      <c r="L838" s="79" t="str">
        <f ca="1">IFERROR(__xludf.DUMMYFUNCTION("""COMPUTED_VALUE"""),"TRIMESTRE 3")</f>
        <v>TRIMESTRE 3</v>
      </c>
      <c r="M838" s="79" t="str">
        <f ca="1">IFERROR(__xludf.DUMMYFUNCTION("""COMPUTED_VALUE"""),"MUJERES ADULTAS")</f>
        <v>MUJERES ADULTAS</v>
      </c>
    </row>
    <row r="839" spans="1:13">
      <c r="A839" s="79" t="str">
        <f ca="1">IFERROR(__xludf.DUMMYFUNCTION("""COMPUTED_VALUE"""),"6.1.5.2")</f>
        <v>6.1.5.2</v>
      </c>
      <c r="B839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39" s="79" t="str">
        <f ca="1">IFERROR(__xludf.DUMMYFUNCTION("""COMPUTED_VALUE"""),"5. Inclusión")</f>
        <v>5. Inclusión</v>
      </c>
      <c r="D839" s="79" t="str">
        <f ca="1">IFERROR(__xludf.DUMMYFUNCTION("""COMPUTED_VALUE"""),"Guadalajara sin Barreras")</f>
        <v>Guadalajara sin Barreras</v>
      </c>
      <c r="E839" s="79" t="str">
        <f ca="1">IFERROR(__xludf.DUMMYFUNCTION("""COMPUTED_VALUE"""),"Atención Integral para Personas con Discapacidad")</f>
        <v>Atención Integral para Personas con Discapacidad</v>
      </c>
      <c r="F839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39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39" s="79" t="str">
        <f ca="1">IFERROR(__xludf.DUMMYFUNCTION("""COMPUTED_VALUE"""),"HOM Julio")</f>
        <v>HOM Julio</v>
      </c>
      <c r="I839" s="79" t="str">
        <f ca="1">IFERROR(__xludf.DUMMYFUNCTION("""COMPUTED_VALUE"""),"Julio")</f>
        <v>Julio</v>
      </c>
      <c r="J839" s="79" t="str">
        <f ca="1">IFERROR(__xludf.DUMMYFUNCTION("""COMPUTED_VALUE"""),"HOM")</f>
        <v>HOM</v>
      </c>
      <c r="K839" s="80">
        <f ca="1">IFERROR(__xludf.DUMMYFUNCTION("""COMPUTED_VALUE"""),38)</f>
        <v>38</v>
      </c>
      <c r="L839" s="79" t="str">
        <f ca="1">IFERROR(__xludf.DUMMYFUNCTION("""COMPUTED_VALUE"""),"TRIMESTRE 3")</f>
        <v>TRIMESTRE 3</v>
      </c>
      <c r="M839" s="79" t="str">
        <f ca="1">IFERROR(__xludf.DUMMYFUNCTION("""COMPUTED_VALUE"""),"HOMBRES ADULTOS")</f>
        <v>HOMBRES ADULTOS</v>
      </c>
    </row>
    <row r="840" spans="1:13">
      <c r="A840" s="79" t="str">
        <f ca="1">IFERROR(__xludf.DUMMYFUNCTION("""COMPUTED_VALUE"""),"6.1.5.2")</f>
        <v>6.1.5.2</v>
      </c>
      <c r="B840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40" s="79" t="str">
        <f ca="1">IFERROR(__xludf.DUMMYFUNCTION("""COMPUTED_VALUE"""),"5. Inclusión")</f>
        <v>5. Inclusión</v>
      </c>
      <c r="D840" s="79" t="str">
        <f ca="1">IFERROR(__xludf.DUMMYFUNCTION("""COMPUTED_VALUE"""),"Guadalajara sin Barreras")</f>
        <v>Guadalajara sin Barreras</v>
      </c>
      <c r="E840" s="79" t="str">
        <f ca="1">IFERROR(__xludf.DUMMYFUNCTION("""COMPUTED_VALUE"""),"Atención Integral para Personas con Discapacidad")</f>
        <v>Atención Integral para Personas con Discapacidad</v>
      </c>
      <c r="F840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40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40" s="79" t="str">
        <f ca="1">IFERROR(__xludf.DUMMYFUNCTION("""COMPUTED_VALUE"""),"AMM Julio")</f>
        <v>AMM Julio</v>
      </c>
      <c r="I840" s="79" t="str">
        <f ca="1">IFERROR(__xludf.DUMMYFUNCTION("""COMPUTED_VALUE"""),"Julio")</f>
        <v>Julio</v>
      </c>
      <c r="J840" s="79" t="str">
        <f ca="1">IFERROR(__xludf.DUMMYFUNCTION("""COMPUTED_VALUE"""),"AMM")</f>
        <v>AMM</v>
      </c>
      <c r="K840" s="80">
        <f ca="1">IFERROR(__xludf.DUMMYFUNCTION("""COMPUTED_VALUE"""),85)</f>
        <v>85</v>
      </c>
      <c r="L840" s="79" t="str">
        <f ca="1">IFERROR(__xludf.DUMMYFUNCTION("""COMPUTED_VALUE"""),"TRIMESTRE 3")</f>
        <v>TRIMESTRE 3</v>
      </c>
      <c r="M840" s="79" t="str">
        <f ca="1">IFERROR(__xludf.DUMMYFUNCTION("""COMPUTED_VALUE"""),"ADULTA MAYOR MUJER")</f>
        <v>ADULTA MAYOR MUJER</v>
      </c>
    </row>
    <row r="841" spans="1:13">
      <c r="A841" s="79" t="str">
        <f ca="1">IFERROR(__xludf.DUMMYFUNCTION("""COMPUTED_VALUE"""),"6.1.5.2")</f>
        <v>6.1.5.2</v>
      </c>
      <c r="B841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41" s="79" t="str">
        <f ca="1">IFERROR(__xludf.DUMMYFUNCTION("""COMPUTED_VALUE"""),"5. Inclusión")</f>
        <v>5. Inclusión</v>
      </c>
      <c r="D841" s="79" t="str">
        <f ca="1">IFERROR(__xludf.DUMMYFUNCTION("""COMPUTED_VALUE"""),"Guadalajara sin Barreras")</f>
        <v>Guadalajara sin Barreras</v>
      </c>
      <c r="E841" s="79" t="str">
        <f ca="1">IFERROR(__xludf.DUMMYFUNCTION("""COMPUTED_VALUE"""),"Atención Integral para Personas con Discapacidad")</f>
        <v>Atención Integral para Personas con Discapacidad</v>
      </c>
      <c r="F841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41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41" s="79" t="str">
        <f ca="1">IFERROR(__xludf.DUMMYFUNCTION("""COMPUTED_VALUE"""),"AMH Julio")</f>
        <v>AMH Julio</v>
      </c>
      <c r="I841" s="79" t="str">
        <f ca="1">IFERROR(__xludf.DUMMYFUNCTION("""COMPUTED_VALUE"""),"Julio")</f>
        <v>Julio</v>
      </c>
      <c r="J841" s="79" t="str">
        <f ca="1">IFERROR(__xludf.DUMMYFUNCTION("""COMPUTED_VALUE"""),"AMH")</f>
        <v>AMH</v>
      </c>
      <c r="K841" s="80">
        <f ca="1">IFERROR(__xludf.DUMMYFUNCTION("""COMPUTED_VALUE"""),21)</f>
        <v>21</v>
      </c>
      <c r="L841" s="79" t="str">
        <f ca="1">IFERROR(__xludf.DUMMYFUNCTION("""COMPUTED_VALUE"""),"TRIMESTRE 3")</f>
        <v>TRIMESTRE 3</v>
      </c>
      <c r="M841" s="79" t="str">
        <f ca="1">IFERROR(__xludf.DUMMYFUNCTION("""COMPUTED_VALUE"""),"ADULTO MAYOR HOMBRE")</f>
        <v>ADULTO MAYOR HOMBRE</v>
      </c>
    </row>
    <row r="842" spans="1:13">
      <c r="A842" s="79" t="str">
        <f ca="1">IFERROR(__xludf.DUMMYFUNCTION("""COMPUTED_VALUE"""),"6.1.5.0")</f>
        <v>6.1.5.0</v>
      </c>
      <c r="B842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2" s="79" t="str">
        <f ca="1">IFERROR(__xludf.DUMMYFUNCTION("""COMPUTED_VALUE"""),"5. Inclusión")</f>
        <v>5. Inclusión</v>
      </c>
      <c r="D842" s="79" t="str">
        <f ca="1">IFERROR(__xludf.DUMMYFUNCTION("""COMPUTED_VALUE"""),"Guadalajara sin Barreras")</f>
        <v>Guadalajara sin Barreras</v>
      </c>
      <c r="E842" s="79" t="str">
        <f ca="1">IFERROR(__xludf.DUMMYFUNCTION("""COMPUTED_VALUE"""),"Atención Integral para Personas con Discapacidad")</f>
        <v>Atención Integral para Personas con Discapacidad</v>
      </c>
      <c r="F842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2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2" s="79" t="str">
        <f ca="1">IFERROR(__xludf.DUMMYFUNCTION("""COMPUTED_VALUE"""),"NAS Agosto")</f>
        <v>NAS Agosto</v>
      </c>
      <c r="I842" s="79" t="str">
        <f ca="1">IFERROR(__xludf.DUMMYFUNCTION("""COMPUTED_VALUE"""),"Agosto")</f>
        <v>Agosto</v>
      </c>
      <c r="J842" s="79" t="str">
        <f ca="1">IFERROR(__xludf.DUMMYFUNCTION("""COMPUTED_VALUE"""),"NAS")</f>
        <v>NAS</v>
      </c>
      <c r="K842" s="80">
        <f ca="1">IFERROR(__xludf.DUMMYFUNCTION("""COMPUTED_VALUE"""),4)</f>
        <v>4</v>
      </c>
      <c r="L842" s="79" t="str">
        <f ca="1">IFERROR(__xludf.DUMMYFUNCTION("""COMPUTED_VALUE"""),"TRIMESTRE 3")</f>
        <v>TRIMESTRE 3</v>
      </c>
      <c r="M842" s="79" t="str">
        <f ca="1">IFERROR(__xludf.DUMMYFUNCTION("""COMPUTED_VALUE"""),"NIÑAS")</f>
        <v>NIÑAS</v>
      </c>
    </row>
    <row r="843" spans="1:13">
      <c r="A843" s="79" t="str">
        <f ca="1">IFERROR(__xludf.DUMMYFUNCTION("""COMPUTED_VALUE"""),"6.1.5.0")</f>
        <v>6.1.5.0</v>
      </c>
      <c r="B843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3" s="79" t="str">
        <f ca="1">IFERROR(__xludf.DUMMYFUNCTION("""COMPUTED_VALUE"""),"5. Inclusión")</f>
        <v>5. Inclusión</v>
      </c>
      <c r="D843" s="79" t="str">
        <f ca="1">IFERROR(__xludf.DUMMYFUNCTION("""COMPUTED_VALUE"""),"Guadalajara sin Barreras")</f>
        <v>Guadalajara sin Barreras</v>
      </c>
      <c r="E843" s="79" t="str">
        <f ca="1">IFERROR(__xludf.DUMMYFUNCTION("""COMPUTED_VALUE"""),"Atención Integral para Personas con Discapacidad")</f>
        <v>Atención Integral para Personas con Discapacidad</v>
      </c>
      <c r="F843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3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3" s="79" t="str">
        <f ca="1">IFERROR(__xludf.DUMMYFUNCTION("""COMPUTED_VALUE"""),"NOS Agosto")</f>
        <v>NOS Agosto</v>
      </c>
      <c r="I843" s="79" t="str">
        <f ca="1">IFERROR(__xludf.DUMMYFUNCTION("""COMPUTED_VALUE"""),"Agosto")</f>
        <v>Agosto</v>
      </c>
      <c r="J843" s="79" t="str">
        <f ca="1">IFERROR(__xludf.DUMMYFUNCTION("""COMPUTED_VALUE"""),"NOS")</f>
        <v>NOS</v>
      </c>
      <c r="K843" s="80">
        <f ca="1">IFERROR(__xludf.DUMMYFUNCTION("""COMPUTED_VALUE"""),24)</f>
        <v>24</v>
      </c>
      <c r="L843" s="79" t="str">
        <f ca="1">IFERROR(__xludf.DUMMYFUNCTION("""COMPUTED_VALUE"""),"TRIMESTRE 3")</f>
        <v>TRIMESTRE 3</v>
      </c>
      <c r="M843" s="79" t="str">
        <f ca="1">IFERROR(__xludf.DUMMYFUNCTION("""COMPUTED_VALUE"""),"NIÑOS")</f>
        <v>NIÑOS</v>
      </c>
    </row>
    <row r="844" spans="1:13">
      <c r="A844" s="79" t="str">
        <f ca="1">IFERROR(__xludf.DUMMYFUNCTION("""COMPUTED_VALUE"""),"6.1.5.0")</f>
        <v>6.1.5.0</v>
      </c>
      <c r="B844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4" s="79" t="str">
        <f ca="1">IFERROR(__xludf.DUMMYFUNCTION("""COMPUTED_VALUE"""),"5. Inclusión")</f>
        <v>5. Inclusión</v>
      </c>
      <c r="D844" s="79" t="str">
        <f ca="1">IFERROR(__xludf.DUMMYFUNCTION("""COMPUTED_VALUE"""),"Guadalajara sin Barreras")</f>
        <v>Guadalajara sin Barreras</v>
      </c>
      <c r="E844" s="79" t="str">
        <f ca="1">IFERROR(__xludf.DUMMYFUNCTION("""COMPUTED_VALUE"""),"Atención Integral para Personas con Discapacidad")</f>
        <v>Atención Integral para Personas con Discapacidad</v>
      </c>
      <c r="F844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4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4" s="79" t="str">
        <f ca="1">IFERROR(__xludf.DUMMYFUNCTION("""COMPUTED_VALUE"""),"AM AGOSTO")</f>
        <v>AM AGOSTO</v>
      </c>
      <c r="I844" s="79" t="str">
        <f ca="1">IFERROR(__xludf.DUMMYFUNCTION("""COMPUTED_VALUE"""),"Agosto")</f>
        <v>Agosto</v>
      </c>
      <c r="J844" s="79" t="str">
        <f ca="1">IFERROR(__xludf.DUMMYFUNCTION("""COMPUTED_VALUE"""),"AM")</f>
        <v>AM</v>
      </c>
      <c r="K844" s="80">
        <f ca="1">IFERROR(__xludf.DUMMYFUNCTION("""COMPUTED_VALUE"""),11)</f>
        <v>11</v>
      </c>
      <c r="L844" s="79" t="str">
        <f ca="1">IFERROR(__xludf.DUMMYFUNCTION("""COMPUTED_VALUE"""),"TRIMESTRE 3")</f>
        <v>TRIMESTRE 3</v>
      </c>
      <c r="M844" s="79" t="str">
        <f ca="1">IFERROR(__xludf.DUMMYFUNCTION("""COMPUTED_VALUE"""),"ADOLESCENTES MUJERES")</f>
        <v>ADOLESCENTES MUJERES</v>
      </c>
    </row>
    <row r="845" spans="1:13">
      <c r="A845" s="79" t="str">
        <f ca="1">IFERROR(__xludf.DUMMYFUNCTION("""COMPUTED_VALUE"""),"6.1.5.0")</f>
        <v>6.1.5.0</v>
      </c>
      <c r="B845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5" s="79" t="str">
        <f ca="1">IFERROR(__xludf.DUMMYFUNCTION("""COMPUTED_VALUE"""),"5. Inclusión")</f>
        <v>5. Inclusión</v>
      </c>
      <c r="D845" s="79" t="str">
        <f ca="1">IFERROR(__xludf.DUMMYFUNCTION("""COMPUTED_VALUE"""),"Guadalajara sin Barreras")</f>
        <v>Guadalajara sin Barreras</v>
      </c>
      <c r="E845" s="79" t="str">
        <f ca="1">IFERROR(__xludf.DUMMYFUNCTION("""COMPUTED_VALUE"""),"Atención Integral para Personas con Discapacidad")</f>
        <v>Atención Integral para Personas con Discapacidad</v>
      </c>
      <c r="F845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5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5" s="79" t="str">
        <f ca="1">IFERROR(__xludf.DUMMYFUNCTION("""COMPUTED_VALUE"""),"AH AGOSTO")</f>
        <v>AH AGOSTO</v>
      </c>
      <c r="I845" s="79" t="str">
        <f ca="1">IFERROR(__xludf.DUMMYFUNCTION("""COMPUTED_VALUE"""),"Agosto")</f>
        <v>Agosto</v>
      </c>
      <c r="J845" s="79" t="str">
        <f ca="1">IFERROR(__xludf.DUMMYFUNCTION("""COMPUTED_VALUE"""),"AH")</f>
        <v>AH</v>
      </c>
      <c r="K845" s="80">
        <f ca="1">IFERROR(__xludf.DUMMYFUNCTION("""COMPUTED_VALUE"""),20)</f>
        <v>20</v>
      </c>
      <c r="L845" s="79" t="str">
        <f ca="1">IFERROR(__xludf.DUMMYFUNCTION("""COMPUTED_VALUE"""),"TRIMESTRE 3")</f>
        <v>TRIMESTRE 3</v>
      </c>
      <c r="M845" s="79" t="str">
        <f ca="1">IFERROR(__xludf.DUMMYFUNCTION("""COMPUTED_VALUE"""),"ADOLESCENTES HOMBRES")</f>
        <v>ADOLESCENTES HOMBRES</v>
      </c>
    </row>
    <row r="846" spans="1:13">
      <c r="A846" s="79" t="str">
        <f ca="1">IFERROR(__xludf.DUMMYFUNCTION("""COMPUTED_VALUE"""),"6.1.5.0")</f>
        <v>6.1.5.0</v>
      </c>
      <c r="B846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6" s="79" t="str">
        <f ca="1">IFERROR(__xludf.DUMMYFUNCTION("""COMPUTED_VALUE"""),"5. Inclusión")</f>
        <v>5. Inclusión</v>
      </c>
      <c r="D846" s="79" t="str">
        <f ca="1">IFERROR(__xludf.DUMMYFUNCTION("""COMPUTED_VALUE"""),"Guadalajara sin Barreras")</f>
        <v>Guadalajara sin Barreras</v>
      </c>
      <c r="E846" s="79" t="str">
        <f ca="1">IFERROR(__xludf.DUMMYFUNCTION("""COMPUTED_VALUE"""),"Atención Integral para Personas con Discapacidad")</f>
        <v>Atención Integral para Personas con Discapacidad</v>
      </c>
      <c r="F846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6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6" s="79" t="str">
        <f ca="1">IFERROR(__xludf.DUMMYFUNCTION("""COMPUTED_VALUE"""),"MUJ Agosto")</f>
        <v>MUJ Agosto</v>
      </c>
      <c r="I846" s="79" t="str">
        <f ca="1">IFERROR(__xludf.DUMMYFUNCTION("""COMPUTED_VALUE"""),"Agosto")</f>
        <v>Agosto</v>
      </c>
      <c r="J846" s="79" t="str">
        <f ca="1">IFERROR(__xludf.DUMMYFUNCTION("""COMPUTED_VALUE"""),"MUJ")</f>
        <v>MUJ</v>
      </c>
      <c r="K846" s="80">
        <f ca="1">IFERROR(__xludf.DUMMYFUNCTION("""COMPUTED_VALUE"""),231)</f>
        <v>231</v>
      </c>
      <c r="L846" s="79" t="str">
        <f ca="1">IFERROR(__xludf.DUMMYFUNCTION("""COMPUTED_VALUE"""),"TRIMESTRE 3")</f>
        <v>TRIMESTRE 3</v>
      </c>
      <c r="M846" s="79" t="str">
        <f ca="1">IFERROR(__xludf.DUMMYFUNCTION("""COMPUTED_VALUE"""),"MUJERES ADULTAS")</f>
        <v>MUJERES ADULTAS</v>
      </c>
    </row>
    <row r="847" spans="1:13">
      <c r="A847" s="79" t="str">
        <f ca="1">IFERROR(__xludf.DUMMYFUNCTION("""COMPUTED_VALUE"""),"6.1.5.0")</f>
        <v>6.1.5.0</v>
      </c>
      <c r="B847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7" s="79" t="str">
        <f ca="1">IFERROR(__xludf.DUMMYFUNCTION("""COMPUTED_VALUE"""),"5. Inclusión")</f>
        <v>5. Inclusión</v>
      </c>
      <c r="D847" s="79" t="str">
        <f ca="1">IFERROR(__xludf.DUMMYFUNCTION("""COMPUTED_VALUE"""),"Guadalajara sin Barreras")</f>
        <v>Guadalajara sin Barreras</v>
      </c>
      <c r="E847" s="79" t="str">
        <f ca="1">IFERROR(__xludf.DUMMYFUNCTION("""COMPUTED_VALUE"""),"Atención Integral para Personas con Discapacidad")</f>
        <v>Atención Integral para Personas con Discapacidad</v>
      </c>
      <c r="F847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7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7" s="79" t="str">
        <f ca="1">IFERROR(__xludf.DUMMYFUNCTION("""COMPUTED_VALUE"""),"HOM Agosto")</f>
        <v>HOM Agosto</v>
      </c>
      <c r="I847" s="79" t="str">
        <f ca="1">IFERROR(__xludf.DUMMYFUNCTION("""COMPUTED_VALUE"""),"Agosto")</f>
        <v>Agosto</v>
      </c>
      <c r="J847" s="79" t="str">
        <f ca="1">IFERROR(__xludf.DUMMYFUNCTION("""COMPUTED_VALUE"""),"HOM")</f>
        <v>HOM</v>
      </c>
      <c r="K847" s="80">
        <f ca="1">IFERROR(__xludf.DUMMYFUNCTION("""COMPUTED_VALUE"""),130)</f>
        <v>130</v>
      </c>
      <c r="L847" s="79" t="str">
        <f ca="1">IFERROR(__xludf.DUMMYFUNCTION("""COMPUTED_VALUE"""),"TRIMESTRE 3")</f>
        <v>TRIMESTRE 3</v>
      </c>
      <c r="M847" s="79" t="str">
        <f ca="1">IFERROR(__xludf.DUMMYFUNCTION("""COMPUTED_VALUE"""),"HOMBRES ADULTOS")</f>
        <v>HOMBRES ADULTOS</v>
      </c>
    </row>
    <row r="848" spans="1:13">
      <c r="A848" s="79" t="str">
        <f ca="1">IFERROR(__xludf.DUMMYFUNCTION("""COMPUTED_VALUE"""),"6.1.5.0")</f>
        <v>6.1.5.0</v>
      </c>
      <c r="B848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8" s="79" t="str">
        <f ca="1">IFERROR(__xludf.DUMMYFUNCTION("""COMPUTED_VALUE"""),"5. Inclusión")</f>
        <v>5. Inclusión</v>
      </c>
      <c r="D848" s="79" t="str">
        <f ca="1">IFERROR(__xludf.DUMMYFUNCTION("""COMPUTED_VALUE"""),"Guadalajara sin Barreras")</f>
        <v>Guadalajara sin Barreras</v>
      </c>
      <c r="E848" s="79" t="str">
        <f ca="1">IFERROR(__xludf.DUMMYFUNCTION("""COMPUTED_VALUE"""),"Atención Integral para Personas con Discapacidad")</f>
        <v>Atención Integral para Personas con Discapacidad</v>
      </c>
      <c r="F848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8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8" s="79" t="str">
        <f ca="1">IFERROR(__xludf.DUMMYFUNCTION("""COMPUTED_VALUE"""),"AMM Agosto")</f>
        <v>AMM Agosto</v>
      </c>
      <c r="I848" s="79" t="str">
        <f ca="1">IFERROR(__xludf.DUMMYFUNCTION("""COMPUTED_VALUE"""),"Agosto")</f>
        <v>Agosto</v>
      </c>
      <c r="J848" s="79" t="str">
        <f ca="1">IFERROR(__xludf.DUMMYFUNCTION("""COMPUTED_VALUE"""),"AMM")</f>
        <v>AMM</v>
      </c>
      <c r="K848" s="80">
        <f ca="1">IFERROR(__xludf.DUMMYFUNCTION("""COMPUTED_VALUE"""),465)</f>
        <v>465</v>
      </c>
      <c r="L848" s="79" t="str">
        <f ca="1">IFERROR(__xludf.DUMMYFUNCTION("""COMPUTED_VALUE"""),"TRIMESTRE 3")</f>
        <v>TRIMESTRE 3</v>
      </c>
      <c r="M848" s="79" t="str">
        <f ca="1">IFERROR(__xludf.DUMMYFUNCTION("""COMPUTED_VALUE"""),"ADULTA MAYOR MUJER")</f>
        <v>ADULTA MAYOR MUJER</v>
      </c>
    </row>
    <row r="849" spans="1:13">
      <c r="A849" s="79" t="str">
        <f ca="1">IFERROR(__xludf.DUMMYFUNCTION("""COMPUTED_VALUE"""),"6.1.5.0")</f>
        <v>6.1.5.0</v>
      </c>
      <c r="B849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49" s="79" t="str">
        <f ca="1">IFERROR(__xludf.DUMMYFUNCTION("""COMPUTED_VALUE"""),"5. Inclusión")</f>
        <v>5. Inclusión</v>
      </c>
      <c r="D849" s="79" t="str">
        <f ca="1">IFERROR(__xludf.DUMMYFUNCTION("""COMPUTED_VALUE"""),"Guadalajara sin Barreras")</f>
        <v>Guadalajara sin Barreras</v>
      </c>
      <c r="E849" s="79" t="str">
        <f ca="1">IFERROR(__xludf.DUMMYFUNCTION("""COMPUTED_VALUE"""),"Atención Integral para Personas con Discapacidad")</f>
        <v>Atención Integral para Personas con Discapacidad</v>
      </c>
      <c r="F849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49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49" s="79" t="str">
        <f ca="1">IFERROR(__xludf.DUMMYFUNCTION("""COMPUTED_VALUE"""),"AMH Agosto")</f>
        <v>AMH Agosto</v>
      </c>
      <c r="I849" s="79" t="str">
        <f ca="1">IFERROR(__xludf.DUMMYFUNCTION("""COMPUTED_VALUE"""),"Agosto")</f>
        <v>Agosto</v>
      </c>
      <c r="J849" s="79" t="str">
        <f ca="1">IFERROR(__xludf.DUMMYFUNCTION("""COMPUTED_VALUE"""),"AMH")</f>
        <v>AMH</v>
      </c>
      <c r="K849" s="80">
        <f ca="1">IFERROR(__xludf.DUMMYFUNCTION("""COMPUTED_VALUE"""),114)</f>
        <v>114</v>
      </c>
      <c r="L849" s="79" t="str">
        <f ca="1">IFERROR(__xludf.DUMMYFUNCTION("""COMPUTED_VALUE"""),"TRIMESTRE 3")</f>
        <v>TRIMESTRE 3</v>
      </c>
      <c r="M849" s="79" t="str">
        <f ca="1">IFERROR(__xludf.DUMMYFUNCTION("""COMPUTED_VALUE"""),"ADULTO MAYOR HOMBRE")</f>
        <v>ADULTO MAYOR HOMBRE</v>
      </c>
    </row>
    <row r="850" spans="1:13">
      <c r="A850" s="79" t="str">
        <f ca="1">IFERROR(__xludf.DUMMYFUNCTION("""COMPUTED_VALUE"""),"6.1.5.1")</f>
        <v>6.1.5.1</v>
      </c>
      <c r="B850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0" s="79" t="str">
        <f ca="1">IFERROR(__xludf.DUMMYFUNCTION("""COMPUTED_VALUE"""),"5. Inclusión")</f>
        <v>5. Inclusión</v>
      </c>
      <c r="D850" s="79" t="str">
        <f ca="1">IFERROR(__xludf.DUMMYFUNCTION("""COMPUTED_VALUE"""),"Guadalajara sin Barreras")</f>
        <v>Guadalajara sin Barreras</v>
      </c>
      <c r="E850" s="79" t="str">
        <f ca="1">IFERROR(__xludf.DUMMYFUNCTION("""COMPUTED_VALUE"""),"Atención Integral para Personas con Discapacidad")</f>
        <v>Atención Integral para Personas con Discapacidad</v>
      </c>
      <c r="F850" s="79" t="str">
        <f ca="1">IFERROR(__xludf.DUMMYFUNCTION("""COMPUTED_VALUE"""),"A1C5. Sesiones de terapia física brindadas en el Centro CAIPED en 2024")</f>
        <v>A1C5. Sesiones de terapia física brindadas en el Centro CAIPED en 2024</v>
      </c>
      <c r="G850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0" s="79" t="str">
        <f ca="1">IFERROR(__xludf.DUMMYFUNCTION("""COMPUTED_VALUE"""),"NAS Agosto")</f>
        <v>NAS Agosto</v>
      </c>
      <c r="I850" s="79" t="str">
        <f ca="1">IFERROR(__xludf.DUMMYFUNCTION("""COMPUTED_VALUE"""),"Agosto")</f>
        <v>Agosto</v>
      </c>
      <c r="J850" s="79" t="str">
        <f ca="1">IFERROR(__xludf.DUMMYFUNCTION("""COMPUTED_VALUE"""),"NAS")</f>
        <v>NAS</v>
      </c>
      <c r="K850" s="80">
        <f ca="1">IFERROR(__xludf.DUMMYFUNCTION("""COMPUTED_VALUE"""),3)</f>
        <v>3</v>
      </c>
      <c r="L850" s="79" t="str">
        <f ca="1">IFERROR(__xludf.DUMMYFUNCTION("""COMPUTED_VALUE"""),"TRIMESTRE 3")</f>
        <v>TRIMESTRE 3</v>
      </c>
      <c r="M850" s="79" t="str">
        <f ca="1">IFERROR(__xludf.DUMMYFUNCTION("""COMPUTED_VALUE"""),"NIÑAS")</f>
        <v>NIÑAS</v>
      </c>
    </row>
    <row r="851" spans="1:13">
      <c r="A851" s="79" t="str">
        <f ca="1">IFERROR(__xludf.DUMMYFUNCTION("""COMPUTED_VALUE"""),"6.1.5.1")</f>
        <v>6.1.5.1</v>
      </c>
      <c r="B851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1" s="79" t="str">
        <f ca="1">IFERROR(__xludf.DUMMYFUNCTION("""COMPUTED_VALUE"""),"5. Inclusión")</f>
        <v>5. Inclusión</v>
      </c>
      <c r="D851" s="79" t="str">
        <f ca="1">IFERROR(__xludf.DUMMYFUNCTION("""COMPUTED_VALUE"""),"Guadalajara sin Barreras")</f>
        <v>Guadalajara sin Barreras</v>
      </c>
      <c r="E851" s="79" t="str">
        <f ca="1">IFERROR(__xludf.DUMMYFUNCTION("""COMPUTED_VALUE"""),"Atención Integral para Personas con Discapacidad")</f>
        <v>Atención Integral para Personas con Discapacidad</v>
      </c>
      <c r="F851" s="79" t="str">
        <f ca="1">IFERROR(__xludf.DUMMYFUNCTION("""COMPUTED_VALUE"""),"A1C5. Sesiones de terapia física brindadas en el Centro CAIPED en 2024")</f>
        <v>A1C5. Sesiones de terapia física brindadas en el Centro CAIPED en 2024</v>
      </c>
      <c r="G851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1" s="79" t="str">
        <f ca="1">IFERROR(__xludf.DUMMYFUNCTION("""COMPUTED_VALUE"""),"NOS Agosto")</f>
        <v>NOS Agosto</v>
      </c>
      <c r="I851" s="79" t="str">
        <f ca="1">IFERROR(__xludf.DUMMYFUNCTION("""COMPUTED_VALUE"""),"Agosto")</f>
        <v>Agosto</v>
      </c>
      <c r="J851" s="79" t="str">
        <f ca="1">IFERROR(__xludf.DUMMYFUNCTION("""COMPUTED_VALUE"""),"NOS")</f>
        <v>NOS</v>
      </c>
      <c r="K851" s="80">
        <f ca="1">IFERROR(__xludf.DUMMYFUNCTION("""COMPUTED_VALUE"""),18)</f>
        <v>18</v>
      </c>
      <c r="L851" s="79" t="str">
        <f ca="1">IFERROR(__xludf.DUMMYFUNCTION("""COMPUTED_VALUE"""),"TRIMESTRE 3")</f>
        <v>TRIMESTRE 3</v>
      </c>
      <c r="M851" s="79" t="str">
        <f ca="1">IFERROR(__xludf.DUMMYFUNCTION("""COMPUTED_VALUE"""),"NIÑOS")</f>
        <v>NIÑOS</v>
      </c>
    </row>
    <row r="852" spans="1:13">
      <c r="A852" s="79" t="str">
        <f ca="1">IFERROR(__xludf.DUMMYFUNCTION("""COMPUTED_VALUE"""),"6.1.5.1")</f>
        <v>6.1.5.1</v>
      </c>
      <c r="B852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2" s="79" t="str">
        <f ca="1">IFERROR(__xludf.DUMMYFUNCTION("""COMPUTED_VALUE"""),"5. Inclusión")</f>
        <v>5. Inclusión</v>
      </c>
      <c r="D852" s="79" t="str">
        <f ca="1">IFERROR(__xludf.DUMMYFUNCTION("""COMPUTED_VALUE"""),"Guadalajara sin Barreras")</f>
        <v>Guadalajara sin Barreras</v>
      </c>
      <c r="E852" s="79" t="str">
        <f ca="1">IFERROR(__xludf.DUMMYFUNCTION("""COMPUTED_VALUE"""),"Atención Integral para Personas con Discapacidad")</f>
        <v>Atención Integral para Personas con Discapacidad</v>
      </c>
      <c r="F852" s="79" t="str">
        <f ca="1">IFERROR(__xludf.DUMMYFUNCTION("""COMPUTED_VALUE"""),"A1C5. Sesiones de terapia física brindadas en el Centro CAIPED en 2024")</f>
        <v>A1C5. Sesiones de terapia física brindadas en el Centro CAIPED en 2024</v>
      </c>
      <c r="G852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2" s="79" t="str">
        <f ca="1">IFERROR(__xludf.DUMMYFUNCTION("""COMPUTED_VALUE"""),"AM AGOSTO")</f>
        <v>AM AGOSTO</v>
      </c>
      <c r="I852" s="79" t="str">
        <f ca="1">IFERROR(__xludf.DUMMYFUNCTION("""COMPUTED_VALUE"""),"Agosto")</f>
        <v>Agosto</v>
      </c>
      <c r="J852" s="79" t="str">
        <f ca="1">IFERROR(__xludf.DUMMYFUNCTION("""COMPUTED_VALUE"""),"AM")</f>
        <v>AM</v>
      </c>
      <c r="K852" s="80">
        <f ca="1">IFERROR(__xludf.DUMMYFUNCTION("""COMPUTED_VALUE"""),8)</f>
        <v>8</v>
      </c>
      <c r="L852" s="79" t="str">
        <f ca="1">IFERROR(__xludf.DUMMYFUNCTION("""COMPUTED_VALUE"""),"TRIMESTRE 3")</f>
        <v>TRIMESTRE 3</v>
      </c>
      <c r="M852" s="79" t="str">
        <f ca="1">IFERROR(__xludf.DUMMYFUNCTION("""COMPUTED_VALUE"""),"ADOLESCENTES MUJERES")</f>
        <v>ADOLESCENTES MUJERES</v>
      </c>
    </row>
    <row r="853" spans="1:13">
      <c r="A853" s="79" t="str">
        <f ca="1">IFERROR(__xludf.DUMMYFUNCTION("""COMPUTED_VALUE"""),"6.1.5.1")</f>
        <v>6.1.5.1</v>
      </c>
      <c r="B853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3" s="79" t="str">
        <f ca="1">IFERROR(__xludf.DUMMYFUNCTION("""COMPUTED_VALUE"""),"5. Inclusión")</f>
        <v>5. Inclusión</v>
      </c>
      <c r="D853" s="79" t="str">
        <f ca="1">IFERROR(__xludf.DUMMYFUNCTION("""COMPUTED_VALUE"""),"Guadalajara sin Barreras")</f>
        <v>Guadalajara sin Barreras</v>
      </c>
      <c r="E853" s="79" t="str">
        <f ca="1">IFERROR(__xludf.DUMMYFUNCTION("""COMPUTED_VALUE"""),"Atención Integral para Personas con Discapacidad")</f>
        <v>Atención Integral para Personas con Discapacidad</v>
      </c>
      <c r="F853" s="79" t="str">
        <f ca="1">IFERROR(__xludf.DUMMYFUNCTION("""COMPUTED_VALUE"""),"A1C5. Sesiones de terapia física brindadas en el Centro CAIPED en 2024")</f>
        <v>A1C5. Sesiones de terapia física brindadas en el Centro CAIPED en 2024</v>
      </c>
      <c r="G853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3" s="79" t="str">
        <f ca="1">IFERROR(__xludf.DUMMYFUNCTION("""COMPUTED_VALUE"""),"AH AGOSTO")</f>
        <v>AH AGOSTO</v>
      </c>
      <c r="I853" s="79" t="str">
        <f ca="1">IFERROR(__xludf.DUMMYFUNCTION("""COMPUTED_VALUE"""),"Agosto")</f>
        <v>Agosto</v>
      </c>
      <c r="J853" s="79" t="str">
        <f ca="1">IFERROR(__xludf.DUMMYFUNCTION("""COMPUTED_VALUE"""),"AH")</f>
        <v>AH</v>
      </c>
      <c r="K853" s="80">
        <f ca="1">IFERROR(__xludf.DUMMYFUNCTION("""COMPUTED_VALUE"""),13)</f>
        <v>13</v>
      </c>
      <c r="L853" s="79" t="str">
        <f ca="1">IFERROR(__xludf.DUMMYFUNCTION("""COMPUTED_VALUE"""),"TRIMESTRE 3")</f>
        <v>TRIMESTRE 3</v>
      </c>
      <c r="M853" s="79" t="str">
        <f ca="1">IFERROR(__xludf.DUMMYFUNCTION("""COMPUTED_VALUE"""),"ADOLESCENTES HOMBRES")</f>
        <v>ADOLESCENTES HOMBRES</v>
      </c>
    </row>
    <row r="854" spans="1:13">
      <c r="A854" s="79" t="str">
        <f ca="1">IFERROR(__xludf.DUMMYFUNCTION("""COMPUTED_VALUE"""),"6.1.5.1")</f>
        <v>6.1.5.1</v>
      </c>
      <c r="B854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4" s="79" t="str">
        <f ca="1">IFERROR(__xludf.DUMMYFUNCTION("""COMPUTED_VALUE"""),"5. Inclusión")</f>
        <v>5. Inclusión</v>
      </c>
      <c r="D854" s="79" t="str">
        <f ca="1">IFERROR(__xludf.DUMMYFUNCTION("""COMPUTED_VALUE"""),"Guadalajara sin Barreras")</f>
        <v>Guadalajara sin Barreras</v>
      </c>
      <c r="E854" s="79" t="str">
        <f ca="1">IFERROR(__xludf.DUMMYFUNCTION("""COMPUTED_VALUE"""),"Atención Integral para Personas con Discapacidad")</f>
        <v>Atención Integral para Personas con Discapacidad</v>
      </c>
      <c r="F854" s="79" t="str">
        <f ca="1">IFERROR(__xludf.DUMMYFUNCTION("""COMPUTED_VALUE"""),"A1C5. Sesiones de terapia física brindadas en el Centro CAIPED en 2024")</f>
        <v>A1C5. Sesiones de terapia física brindadas en el Centro CAIPED en 2024</v>
      </c>
      <c r="G854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4" s="79" t="str">
        <f ca="1">IFERROR(__xludf.DUMMYFUNCTION("""COMPUTED_VALUE"""),"MUJ Agosto")</f>
        <v>MUJ Agosto</v>
      </c>
      <c r="I854" s="79" t="str">
        <f ca="1">IFERROR(__xludf.DUMMYFUNCTION("""COMPUTED_VALUE"""),"Agosto")</f>
        <v>Agosto</v>
      </c>
      <c r="J854" s="79" t="str">
        <f ca="1">IFERROR(__xludf.DUMMYFUNCTION("""COMPUTED_VALUE"""),"MUJ")</f>
        <v>MUJ</v>
      </c>
      <c r="K854" s="80">
        <f ca="1">IFERROR(__xludf.DUMMYFUNCTION("""COMPUTED_VALUE"""),188)</f>
        <v>188</v>
      </c>
      <c r="L854" s="79" t="str">
        <f ca="1">IFERROR(__xludf.DUMMYFUNCTION("""COMPUTED_VALUE"""),"TRIMESTRE 3")</f>
        <v>TRIMESTRE 3</v>
      </c>
      <c r="M854" s="79" t="str">
        <f ca="1">IFERROR(__xludf.DUMMYFUNCTION("""COMPUTED_VALUE"""),"MUJERES ADULTAS")</f>
        <v>MUJERES ADULTAS</v>
      </c>
    </row>
    <row r="855" spans="1:13">
      <c r="A855" s="79" t="str">
        <f ca="1">IFERROR(__xludf.DUMMYFUNCTION("""COMPUTED_VALUE"""),"6.1.5.1")</f>
        <v>6.1.5.1</v>
      </c>
      <c r="B855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5" s="79" t="str">
        <f ca="1">IFERROR(__xludf.DUMMYFUNCTION("""COMPUTED_VALUE"""),"5. Inclusión")</f>
        <v>5. Inclusión</v>
      </c>
      <c r="D855" s="79" t="str">
        <f ca="1">IFERROR(__xludf.DUMMYFUNCTION("""COMPUTED_VALUE"""),"Guadalajara sin Barreras")</f>
        <v>Guadalajara sin Barreras</v>
      </c>
      <c r="E855" s="79" t="str">
        <f ca="1">IFERROR(__xludf.DUMMYFUNCTION("""COMPUTED_VALUE"""),"Atención Integral para Personas con Discapacidad")</f>
        <v>Atención Integral para Personas con Discapacidad</v>
      </c>
      <c r="F855" s="79" t="str">
        <f ca="1">IFERROR(__xludf.DUMMYFUNCTION("""COMPUTED_VALUE"""),"A1C5. Sesiones de terapia física brindadas en el Centro CAIPED en 2024")</f>
        <v>A1C5. Sesiones de terapia física brindadas en el Centro CAIPED en 2024</v>
      </c>
      <c r="G855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5" s="79" t="str">
        <f ca="1">IFERROR(__xludf.DUMMYFUNCTION("""COMPUTED_VALUE"""),"HOM Agosto")</f>
        <v>HOM Agosto</v>
      </c>
      <c r="I855" s="79" t="str">
        <f ca="1">IFERROR(__xludf.DUMMYFUNCTION("""COMPUTED_VALUE"""),"Agosto")</f>
        <v>Agosto</v>
      </c>
      <c r="J855" s="79" t="str">
        <f ca="1">IFERROR(__xludf.DUMMYFUNCTION("""COMPUTED_VALUE"""),"HOM")</f>
        <v>HOM</v>
      </c>
      <c r="K855" s="80">
        <f ca="1">IFERROR(__xludf.DUMMYFUNCTION("""COMPUTED_VALUE"""),103)</f>
        <v>103</v>
      </c>
      <c r="L855" s="79" t="str">
        <f ca="1">IFERROR(__xludf.DUMMYFUNCTION("""COMPUTED_VALUE"""),"TRIMESTRE 3")</f>
        <v>TRIMESTRE 3</v>
      </c>
      <c r="M855" s="79" t="str">
        <f ca="1">IFERROR(__xludf.DUMMYFUNCTION("""COMPUTED_VALUE"""),"HOMBRES ADULTOS")</f>
        <v>HOMBRES ADULTOS</v>
      </c>
    </row>
    <row r="856" spans="1:13">
      <c r="A856" s="79" t="str">
        <f ca="1">IFERROR(__xludf.DUMMYFUNCTION("""COMPUTED_VALUE"""),"6.1.5.1")</f>
        <v>6.1.5.1</v>
      </c>
      <c r="B856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6" s="79" t="str">
        <f ca="1">IFERROR(__xludf.DUMMYFUNCTION("""COMPUTED_VALUE"""),"5. Inclusión")</f>
        <v>5. Inclusión</v>
      </c>
      <c r="D856" s="79" t="str">
        <f ca="1">IFERROR(__xludf.DUMMYFUNCTION("""COMPUTED_VALUE"""),"Guadalajara sin Barreras")</f>
        <v>Guadalajara sin Barreras</v>
      </c>
      <c r="E856" s="79" t="str">
        <f ca="1">IFERROR(__xludf.DUMMYFUNCTION("""COMPUTED_VALUE"""),"Atención Integral para Personas con Discapacidad")</f>
        <v>Atención Integral para Personas con Discapacidad</v>
      </c>
      <c r="F856" s="79" t="str">
        <f ca="1">IFERROR(__xludf.DUMMYFUNCTION("""COMPUTED_VALUE"""),"A1C5. Sesiones de terapia física brindadas en el Centro CAIPED en 2024")</f>
        <v>A1C5. Sesiones de terapia física brindadas en el Centro CAIPED en 2024</v>
      </c>
      <c r="G856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6" s="79" t="str">
        <f ca="1">IFERROR(__xludf.DUMMYFUNCTION("""COMPUTED_VALUE"""),"AMM Agosto")</f>
        <v>AMM Agosto</v>
      </c>
      <c r="I856" s="79" t="str">
        <f ca="1">IFERROR(__xludf.DUMMYFUNCTION("""COMPUTED_VALUE"""),"Agosto")</f>
        <v>Agosto</v>
      </c>
      <c r="J856" s="79" t="str">
        <f ca="1">IFERROR(__xludf.DUMMYFUNCTION("""COMPUTED_VALUE"""),"AMM")</f>
        <v>AMM</v>
      </c>
      <c r="K856" s="80">
        <f ca="1">IFERROR(__xludf.DUMMYFUNCTION("""COMPUTED_VALUE"""),399)</f>
        <v>399</v>
      </c>
      <c r="L856" s="79" t="str">
        <f ca="1">IFERROR(__xludf.DUMMYFUNCTION("""COMPUTED_VALUE"""),"TRIMESTRE 3")</f>
        <v>TRIMESTRE 3</v>
      </c>
      <c r="M856" s="79" t="str">
        <f ca="1">IFERROR(__xludf.DUMMYFUNCTION("""COMPUTED_VALUE"""),"ADULTA MAYOR MUJER")</f>
        <v>ADULTA MAYOR MUJER</v>
      </c>
    </row>
    <row r="857" spans="1:13">
      <c r="A857" s="79" t="str">
        <f ca="1">IFERROR(__xludf.DUMMYFUNCTION("""COMPUTED_VALUE"""),"6.1.5.1")</f>
        <v>6.1.5.1</v>
      </c>
      <c r="B857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7" s="79" t="str">
        <f ca="1">IFERROR(__xludf.DUMMYFUNCTION("""COMPUTED_VALUE"""),"5. Inclusión")</f>
        <v>5. Inclusión</v>
      </c>
      <c r="D857" s="79" t="str">
        <f ca="1">IFERROR(__xludf.DUMMYFUNCTION("""COMPUTED_VALUE"""),"Guadalajara sin Barreras")</f>
        <v>Guadalajara sin Barreras</v>
      </c>
      <c r="E857" s="79" t="str">
        <f ca="1">IFERROR(__xludf.DUMMYFUNCTION("""COMPUTED_VALUE"""),"Atención Integral para Personas con Discapacidad")</f>
        <v>Atención Integral para Personas con Discapacidad</v>
      </c>
      <c r="F857" s="79" t="str">
        <f ca="1">IFERROR(__xludf.DUMMYFUNCTION("""COMPUTED_VALUE"""),"A1C5. Sesiones de terapia física brindadas en el Centro CAIPED en 2024")</f>
        <v>A1C5. Sesiones de terapia física brindadas en el Centro CAIPED en 2024</v>
      </c>
      <c r="G857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57" s="79" t="str">
        <f ca="1">IFERROR(__xludf.DUMMYFUNCTION("""COMPUTED_VALUE"""),"AMH Agosto")</f>
        <v>AMH Agosto</v>
      </c>
      <c r="I857" s="79" t="str">
        <f ca="1">IFERROR(__xludf.DUMMYFUNCTION("""COMPUTED_VALUE"""),"Agosto")</f>
        <v>Agosto</v>
      </c>
      <c r="J857" s="79" t="str">
        <f ca="1">IFERROR(__xludf.DUMMYFUNCTION("""COMPUTED_VALUE"""),"AMH")</f>
        <v>AMH</v>
      </c>
      <c r="K857" s="80">
        <f ca="1">IFERROR(__xludf.DUMMYFUNCTION("""COMPUTED_VALUE"""),98)</f>
        <v>98</v>
      </c>
      <c r="L857" s="79" t="str">
        <f ca="1">IFERROR(__xludf.DUMMYFUNCTION("""COMPUTED_VALUE"""),"TRIMESTRE 3")</f>
        <v>TRIMESTRE 3</v>
      </c>
      <c r="M857" s="79" t="str">
        <f ca="1">IFERROR(__xludf.DUMMYFUNCTION("""COMPUTED_VALUE"""),"ADULTO MAYOR HOMBRE")</f>
        <v>ADULTO MAYOR HOMBRE</v>
      </c>
    </row>
    <row r="858" spans="1:13">
      <c r="A858" s="79" t="str">
        <f ca="1">IFERROR(__xludf.DUMMYFUNCTION("""COMPUTED_VALUE"""),"6.1.5.2")</f>
        <v>6.1.5.2</v>
      </c>
      <c r="B858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8" s="79" t="str">
        <f ca="1">IFERROR(__xludf.DUMMYFUNCTION("""COMPUTED_VALUE"""),"5. Inclusión")</f>
        <v>5. Inclusión</v>
      </c>
      <c r="D858" s="79" t="str">
        <f ca="1">IFERROR(__xludf.DUMMYFUNCTION("""COMPUTED_VALUE"""),"Guadalajara sin Barreras")</f>
        <v>Guadalajara sin Barreras</v>
      </c>
      <c r="E858" s="79" t="str">
        <f ca="1">IFERROR(__xludf.DUMMYFUNCTION("""COMPUTED_VALUE"""),"Atención Integral para Personas con Discapacidad")</f>
        <v>Atención Integral para Personas con Discapacidad</v>
      </c>
      <c r="F858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58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58" s="79" t="str">
        <f ca="1">IFERROR(__xludf.DUMMYFUNCTION("""COMPUTED_VALUE"""),"NAS Agosto")</f>
        <v>NAS Agosto</v>
      </c>
      <c r="I858" s="79" t="str">
        <f ca="1">IFERROR(__xludf.DUMMYFUNCTION("""COMPUTED_VALUE"""),"Agosto")</f>
        <v>Agosto</v>
      </c>
      <c r="J858" s="79" t="str">
        <f ca="1">IFERROR(__xludf.DUMMYFUNCTION("""COMPUTED_VALUE"""),"NAS")</f>
        <v>NAS</v>
      </c>
      <c r="K858" s="80">
        <f ca="1">IFERROR(__xludf.DUMMYFUNCTION("""COMPUTED_VALUE"""),1)</f>
        <v>1</v>
      </c>
      <c r="L858" s="79" t="str">
        <f ca="1">IFERROR(__xludf.DUMMYFUNCTION("""COMPUTED_VALUE"""),"TRIMESTRE 3")</f>
        <v>TRIMESTRE 3</v>
      </c>
      <c r="M858" s="79" t="str">
        <f ca="1">IFERROR(__xludf.DUMMYFUNCTION("""COMPUTED_VALUE"""),"NIÑAS")</f>
        <v>NIÑAS</v>
      </c>
    </row>
    <row r="859" spans="1:13">
      <c r="A859" s="79" t="str">
        <f ca="1">IFERROR(__xludf.DUMMYFUNCTION("""COMPUTED_VALUE"""),"6.1.5.2")</f>
        <v>6.1.5.2</v>
      </c>
      <c r="B859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59" s="79" t="str">
        <f ca="1">IFERROR(__xludf.DUMMYFUNCTION("""COMPUTED_VALUE"""),"5. Inclusión")</f>
        <v>5. Inclusión</v>
      </c>
      <c r="D859" s="79" t="str">
        <f ca="1">IFERROR(__xludf.DUMMYFUNCTION("""COMPUTED_VALUE"""),"Guadalajara sin Barreras")</f>
        <v>Guadalajara sin Barreras</v>
      </c>
      <c r="E859" s="79" t="str">
        <f ca="1">IFERROR(__xludf.DUMMYFUNCTION("""COMPUTED_VALUE"""),"Atención Integral para Personas con Discapacidad")</f>
        <v>Atención Integral para Personas con Discapacidad</v>
      </c>
      <c r="F859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59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59" s="79" t="str">
        <f ca="1">IFERROR(__xludf.DUMMYFUNCTION("""COMPUTED_VALUE"""),"NOS Agosto")</f>
        <v>NOS Agosto</v>
      </c>
      <c r="I859" s="79" t="str">
        <f ca="1">IFERROR(__xludf.DUMMYFUNCTION("""COMPUTED_VALUE"""),"Agosto")</f>
        <v>Agosto</v>
      </c>
      <c r="J859" s="79" t="str">
        <f ca="1">IFERROR(__xludf.DUMMYFUNCTION("""COMPUTED_VALUE"""),"NOS")</f>
        <v>NOS</v>
      </c>
      <c r="K859" s="80">
        <f ca="1">IFERROR(__xludf.DUMMYFUNCTION("""COMPUTED_VALUE"""),6)</f>
        <v>6</v>
      </c>
      <c r="L859" s="79" t="str">
        <f ca="1">IFERROR(__xludf.DUMMYFUNCTION("""COMPUTED_VALUE"""),"TRIMESTRE 3")</f>
        <v>TRIMESTRE 3</v>
      </c>
      <c r="M859" s="79" t="str">
        <f ca="1">IFERROR(__xludf.DUMMYFUNCTION("""COMPUTED_VALUE"""),"NIÑOS")</f>
        <v>NIÑOS</v>
      </c>
    </row>
    <row r="860" spans="1:13">
      <c r="A860" s="79" t="str">
        <f ca="1">IFERROR(__xludf.DUMMYFUNCTION("""COMPUTED_VALUE"""),"6.1.5.2")</f>
        <v>6.1.5.2</v>
      </c>
      <c r="B860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60" s="79" t="str">
        <f ca="1">IFERROR(__xludf.DUMMYFUNCTION("""COMPUTED_VALUE"""),"5. Inclusión")</f>
        <v>5. Inclusión</v>
      </c>
      <c r="D860" s="79" t="str">
        <f ca="1">IFERROR(__xludf.DUMMYFUNCTION("""COMPUTED_VALUE"""),"Guadalajara sin Barreras")</f>
        <v>Guadalajara sin Barreras</v>
      </c>
      <c r="E860" s="79" t="str">
        <f ca="1">IFERROR(__xludf.DUMMYFUNCTION("""COMPUTED_VALUE"""),"Atención Integral para Personas con Discapacidad")</f>
        <v>Atención Integral para Personas con Discapacidad</v>
      </c>
      <c r="F860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60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60" s="79" t="str">
        <f ca="1">IFERROR(__xludf.DUMMYFUNCTION("""COMPUTED_VALUE"""),"AM AGOSTO")</f>
        <v>AM AGOSTO</v>
      </c>
      <c r="I860" s="79" t="str">
        <f ca="1">IFERROR(__xludf.DUMMYFUNCTION("""COMPUTED_VALUE"""),"Agosto")</f>
        <v>Agosto</v>
      </c>
      <c r="J860" s="79" t="str">
        <f ca="1">IFERROR(__xludf.DUMMYFUNCTION("""COMPUTED_VALUE"""),"AM")</f>
        <v>AM</v>
      </c>
      <c r="K860" s="80">
        <f ca="1">IFERROR(__xludf.DUMMYFUNCTION("""COMPUTED_VALUE"""),3)</f>
        <v>3</v>
      </c>
      <c r="L860" s="79" t="str">
        <f ca="1">IFERROR(__xludf.DUMMYFUNCTION("""COMPUTED_VALUE"""),"TRIMESTRE 3")</f>
        <v>TRIMESTRE 3</v>
      </c>
      <c r="M860" s="79" t="str">
        <f ca="1">IFERROR(__xludf.DUMMYFUNCTION("""COMPUTED_VALUE"""),"ADOLESCENTES MUJERES")</f>
        <v>ADOLESCENTES MUJERES</v>
      </c>
    </row>
    <row r="861" spans="1:13">
      <c r="A861" s="79" t="str">
        <f ca="1">IFERROR(__xludf.DUMMYFUNCTION("""COMPUTED_VALUE"""),"6.1.5.2")</f>
        <v>6.1.5.2</v>
      </c>
      <c r="B861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61" s="79" t="str">
        <f ca="1">IFERROR(__xludf.DUMMYFUNCTION("""COMPUTED_VALUE"""),"5. Inclusión")</f>
        <v>5. Inclusión</v>
      </c>
      <c r="D861" s="79" t="str">
        <f ca="1">IFERROR(__xludf.DUMMYFUNCTION("""COMPUTED_VALUE"""),"Guadalajara sin Barreras")</f>
        <v>Guadalajara sin Barreras</v>
      </c>
      <c r="E861" s="79" t="str">
        <f ca="1">IFERROR(__xludf.DUMMYFUNCTION("""COMPUTED_VALUE"""),"Atención Integral para Personas con Discapacidad")</f>
        <v>Atención Integral para Personas con Discapacidad</v>
      </c>
      <c r="F861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61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61" s="79" t="str">
        <f ca="1">IFERROR(__xludf.DUMMYFUNCTION("""COMPUTED_VALUE"""),"AH AGOSTO")</f>
        <v>AH AGOSTO</v>
      </c>
      <c r="I861" s="79" t="str">
        <f ca="1">IFERROR(__xludf.DUMMYFUNCTION("""COMPUTED_VALUE"""),"Agosto")</f>
        <v>Agosto</v>
      </c>
      <c r="J861" s="79" t="str">
        <f ca="1">IFERROR(__xludf.DUMMYFUNCTION("""COMPUTED_VALUE"""),"AH")</f>
        <v>AH</v>
      </c>
      <c r="K861" s="80">
        <f ca="1">IFERROR(__xludf.DUMMYFUNCTION("""COMPUTED_VALUE"""),7)</f>
        <v>7</v>
      </c>
      <c r="L861" s="79" t="str">
        <f ca="1">IFERROR(__xludf.DUMMYFUNCTION("""COMPUTED_VALUE"""),"TRIMESTRE 3")</f>
        <v>TRIMESTRE 3</v>
      </c>
      <c r="M861" s="79" t="str">
        <f ca="1">IFERROR(__xludf.DUMMYFUNCTION("""COMPUTED_VALUE"""),"ADOLESCENTES HOMBRES")</f>
        <v>ADOLESCENTES HOMBRES</v>
      </c>
    </row>
    <row r="862" spans="1:13">
      <c r="A862" s="79" t="str">
        <f ca="1">IFERROR(__xludf.DUMMYFUNCTION("""COMPUTED_VALUE"""),"6.1.5.2")</f>
        <v>6.1.5.2</v>
      </c>
      <c r="B862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62" s="79" t="str">
        <f ca="1">IFERROR(__xludf.DUMMYFUNCTION("""COMPUTED_VALUE"""),"5. Inclusión")</f>
        <v>5. Inclusión</v>
      </c>
      <c r="D862" s="79" t="str">
        <f ca="1">IFERROR(__xludf.DUMMYFUNCTION("""COMPUTED_VALUE"""),"Guadalajara sin Barreras")</f>
        <v>Guadalajara sin Barreras</v>
      </c>
      <c r="E862" s="79" t="str">
        <f ca="1">IFERROR(__xludf.DUMMYFUNCTION("""COMPUTED_VALUE"""),"Atención Integral para Personas con Discapacidad")</f>
        <v>Atención Integral para Personas con Discapacidad</v>
      </c>
      <c r="F862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62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62" s="79" t="str">
        <f ca="1">IFERROR(__xludf.DUMMYFUNCTION("""COMPUTED_VALUE"""),"MUJ Agosto")</f>
        <v>MUJ Agosto</v>
      </c>
      <c r="I862" s="79" t="str">
        <f ca="1">IFERROR(__xludf.DUMMYFUNCTION("""COMPUTED_VALUE"""),"Agosto")</f>
        <v>Agosto</v>
      </c>
      <c r="J862" s="79" t="str">
        <f ca="1">IFERROR(__xludf.DUMMYFUNCTION("""COMPUTED_VALUE"""),"MUJ")</f>
        <v>MUJ</v>
      </c>
      <c r="K862" s="80">
        <f ca="1">IFERROR(__xludf.DUMMYFUNCTION("""COMPUTED_VALUE"""),43)</f>
        <v>43</v>
      </c>
      <c r="L862" s="79" t="str">
        <f ca="1">IFERROR(__xludf.DUMMYFUNCTION("""COMPUTED_VALUE"""),"TRIMESTRE 3")</f>
        <v>TRIMESTRE 3</v>
      </c>
      <c r="M862" s="79" t="str">
        <f ca="1">IFERROR(__xludf.DUMMYFUNCTION("""COMPUTED_VALUE"""),"MUJERES ADULTAS")</f>
        <v>MUJERES ADULTAS</v>
      </c>
    </row>
    <row r="863" spans="1:13">
      <c r="A863" s="79" t="str">
        <f ca="1">IFERROR(__xludf.DUMMYFUNCTION("""COMPUTED_VALUE"""),"6.1.5.2")</f>
        <v>6.1.5.2</v>
      </c>
      <c r="B863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63" s="79" t="str">
        <f ca="1">IFERROR(__xludf.DUMMYFUNCTION("""COMPUTED_VALUE"""),"5. Inclusión")</f>
        <v>5. Inclusión</v>
      </c>
      <c r="D863" s="79" t="str">
        <f ca="1">IFERROR(__xludf.DUMMYFUNCTION("""COMPUTED_VALUE"""),"Guadalajara sin Barreras")</f>
        <v>Guadalajara sin Barreras</v>
      </c>
      <c r="E863" s="79" t="str">
        <f ca="1">IFERROR(__xludf.DUMMYFUNCTION("""COMPUTED_VALUE"""),"Atención Integral para Personas con Discapacidad")</f>
        <v>Atención Integral para Personas con Discapacidad</v>
      </c>
      <c r="F863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63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63" s="79" t="str">
        <f ca="1">IFERROR(__xludf.DUMMYFUNCTION("""COMPUTED_VALUE"""),"HOM Agosto")</f>
        <v>HOM Agosto</v>
      </c>
      <c r="I863" s="79" t="str">
        <f ca="1">IFERROR(__xludf.DUMMYFUNCTION("""COMPUTED_VALUE"""),"Agosto")</f>
        <v>Agosto</v>
      </c>
      <c r="J863" s="79" t="str">
        <f ca="1">IFERROR(__xludf.DUMMYFUNCTION("""COMPUTED_VALUE"""),"HOM")</f>
        <v>HOM</v>
      </c>
      <c r="K863" s="80">
        <f ca="1">IFERROR(__xludf.DUMMYFUNCTION("""COMPUTED_VALUE"""),27)</f>
        <v>27</v>
      </c>
      <c r="L863" s="79" t="str">
        <f ca="1">IFERROR(__xludf.DUMMYFUNCTION("""COMPUTED_VALUE"""),"TRIMESTRE 3")</f>
        <v>TRIMESTRE 3</v>
      </c>
      <c r="M863" s="79" t="str">
        <f ca="1">IFERROR(__xludf.DUMMYFUNCTION("""COMPUTED_VALUE"""),"HOMBRES ADULTOS")</f>
        <v>HOMBRES ADULTOS</v>
      </c>
    </row>
    <row r="864" spans="1:13">
      <c r="A864" s="79" t="str">
        <f ca="1">IFERROR(__xludf.DUMMYFUNCTION("""COMPUTED_VALUE"""),"6.1.5.2")</f>
        <v>6.1.5.2</v>
      </c>
      <c r="B864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64" s="79" t="str">
        <f ca="1">IFERROR(__xludf.DUMMYFUNCTION("""COMPUTED_VALUE"""),"5. Inclusión")</f>
        <v>5. Inclusión</v>
      </c>
      <c r="D864" s="79" t="str">
        <f ca="1">IFERROR(__xludf.DUMMYFUNCTION("""COMPUTED_VALUE"""),"Guadalajara sin Barreras")</f>
        <v>Guadalajara sin Barreras</v>
      </c>
      <c r="E864" s="79" t="str">
        <f ca="1">IFERROR(__xludf.DUMMYFUNCTION("""COMPUTED_VALUE"""),"Atención Integral para Personas con Discapacidad")</f>
        <v>Atención Integral para Personas con Discapacidad</v>
      </c>
      <c r="F864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64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64" s="79" t="str">
        <f ca="1">IFERROR(__xludf.DUMMYFUNCTION("""COMPUTED_VALUE"""),"AMM Agosto")</f>
        <v>AMM Agosto</v>
      </c>
      <c r="I864" s="79" t="str">
        <f ca="1">IFERROR(__xludf.DUMMYFUNCTION("""COMPUTED_VALUE"""),"Agosto")</f>
        <v>Agosto</v>
      </c>
      <c r="J864" s="79" t="str">
        <f ca="1">IFERROR(__xludf.DUMMYFUNCTION("""COMPUTED_VALUE"""),"AMM")</f>
        <v>AMM</v>
      </c>
      <c r="K864" s="80">
        <f ca="1">IFERROR(__xludf.DUMMYFUNCTION("""COMPUTED_VALUE"""),66)</f>
        <v>66</v>
      </c>
      <c r="L864" s="79" t="str">
        <f ca="1">IFERROR(__xludf.DUMMYFUNCTION("""COMPUTED_VALUE"""),"TRIMESTRE 3")</f>
        <v>TRIMESTRE 3</v>
      </c>
      <c r="M864" s="79" t="str">
        <f ca="1">IFERROR(__xludf.DUMMYFUNCTION("""COMPUTED_VALUE"""),"ADULTA MAYOR MUJER")</f>
        <v>ADULTA MAYOR MUJER</v>
      </c>
    </row>
    <row r="865" spans="1:13">
      <c r="A865" s="79" t="str">
        <f ca="1">IFERROR(__xludf.DUMMYFUNCTION("""COMPUTED_VALUE"""),"6.1.5.2")</f>
        <v>6.1.5.2</v>
      </c>
      <c r="B865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65" s="79" t="str">
        <f ca="1">IFERROR(__xludf.DUMMYFUNCTION("""COMPUTED_VALUE"""),"5. Inclusión")</f>
        <v>5. Inclusión</v>
      </c>
      <c r="D865" s="79" t="str">
        <f ca="1">IFERROR(__xludf.DUMMYFUNCTION("""COMPUTED_VALUE"""),"Guadalajara sin Barreras")</f>
        <v>Guadalajara sin Barreras</v>
      </c>
      <c r="E865" s="79" t="str">
        <f ca="1">IFERROR(__xludf.DUMMYFUNCTION("""COMPUTED_VALUE"""),"Atención Integral para Personas con Discapacidad")</f>
        <v>Atención Integral para Personas con Discapacidad</v>
      </c>
      <c r="F865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65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65" s="79" t="str">
        <f ca="1">IFERROR(__xludf.DUMMYFUNCTION("""COMPUTED_VALUE"""),"AMH Agosto")</f>
        <v>AMH Agosto</v>
      </c>
      <c r="I865" s="79" t="str">
        <f ca="1">IFERROR(__xludf.DUMMYFUNCTION("""COMPUTED_VALUE"""),"Agosto")</f>
        <v>Agosto</v>
      </c>
      <c r="J865" s="79" t="str">
        <f ca="1">IFERROR(__xludf.DUMMYFUNCTION("""COMPUTED_VALUE"""),"AMH")</f>
        <v>AMH</v>
      </c>
      <c r="K865" s="80">
        <f ca="1">IFERROR(__xludf.DUMMYFUNCTION("""COMPUTED_VALUE"""),16)</f>
        <v>16</v>
      </c>
      <c r="L865" s="79" t="str">
        <f ca="1">IFERROR(__xludf.DUMMYFUNCTION("""COMPUTED_VALUE"""),"TRIMESTRE 3")</f>
        <v>TRIMESTRE 3</v>
      </c>
      <c r="M865" s="79" t="str">
        <f ca="1">IFERROR(__xludf.DUMMYFUNCTION("""COMPUTED_VALUE"""),"ADULTO MAYOR HOMBRE")</f>
        <v>ADULTO MAYOR HOMBRE</v>
      </c>
    </row>
    <row r="866" spans="1:13">
      <c r="A866" s="79" t="str">
        <f ca="1">IFERROR(__xludf.DUMMYFUNCTION("""COMPUTED_VALUE"""),"6.1.5.0")</f>
        <v>6.1.5.0</v>
      </c>
      <c r="B866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66" s="79" t="str">
        <f ca="1">IFERROR(__xludf.DUMMYFUNCTION("""COMPUTED_VALUE"""),"5. Inclusión")</f>
        <v>5. Inclusión</v>
      </c>
      <c r="D866" s="79" t="str">
        <f ca="1">IFERROR(__xludf.DUMMYFUNCTION("""COMPUTED_VALUE"""),"Guadalajara sin Barreras")</f>
        <v>Guadalajara sin Barreras</v>
      </c>
      <c r="E866" s="79" t="str">
        <f ca="1">IFERROR(__xludf.DUMMYFUNCTION("""COMPUTED_VALUE"""),"Atención Integral para Personas con Discapacidad")</f>
        <v>Atención Integral para Personas con Discapacidad</v>
      </c>
      <c r="F866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66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66" s="79" t="str">
        <f ca="1">IFERROR(__xludf.DUMMYFUNCTION("""COMPUTED_VALUE"""),"NAS Septiembre")</f>
        <v>NAS Septiembre</v>
      </c>
      <c r="I866" s="79" t="str">
        <f ca="1">IFERROR(__xludf.DUMMYFUNCTION("""COMPUTED_VALUE"""),"Septiembre")</f>
        <v>Septiembre</v>
      </c>
      <c r="J866" s="79" t="str">
        <f ca="1">IFERROR(__xludf.DUMMYFUNCTION("""COMPUTED_VALUE"""),"NAS")</f>
        <v>NAS</v>
      </c>
      <c r="K866" s="80">
        <f ca="1">IFERROR(__xludf.DUMMYFUNCTION("""COMPUTED_VALUE"""),5)</f>
        <v>5</v>
      </c>
      <c r="L866" s="79" t="str">
        <f ca="1">IFERROR(__xludf.DUMMYFUNCTION("""COMPUTED_VALUE"""),"TRIMESTRE 3")</f>
        <v>TRIMESTRE 3</v>
      </c>
      <c r="M866" s="79" t="str">
        <f ca="1">IFERROR(__xludf.DUMMYFUNCTION("""COMPUTED_VALUE"""),"NIÑAS")</f>
        <v>NIÑAS</v>
      </c>
    </row>
    <row r="867" spans="1:13">
      <c r="A867" s="79" t="str">
        <f ca="1">IFERROR(__xludf.DUMMYFUNCTION("""COMPUTED_VALUE"""),"6.1.5.0")</f>
        <v>6.1.5.0</v>
      </c>
      <c r="B867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67" s="79" t="str">
        <f ca="1">IFERROR(__xludf.DUMMYFUNCTION("""COMPUTED_VALUE"""),"5. Inclusión")</f>
        <v>5. Inclusión</v>
      </c>
      <c r="D867" s="79" t="str">
        <f ca="1">IFERROR(__xludf.DUMMYFUNCTION("""COMPUTED_VALUE"""),"Guadalajara sin Barreras")</f>
        <v>Guadalajara sin Barreras</v>
      </c>
      <c r="E867" s="79" t="str">
        <f ca="1">IFERROR(__xludf.DUMMYFUNCTION("""COMPUTED_VALUE"""),"Atención Integral para Personas con Discapacidad")</f>
        <v>Atención Integral para Personas con Discapacidad</v>
      </c>
      <c r="F867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67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67" s="79" t="str">
        <f ca="1">IFERROR(__xludf.DUMMYFUNCTION("""COMPUTED_VALUE"""),"NOS Septiembre")</f>
        <v>NOS Septiembre</v>
      </c>
      <c r="I867" s="79" t="str">
        <f ca="1">IFERROR(__xludf.DUMMYFUNCTION("""COMPUTED_VALUE"""),"Septiembre")</f>
        <v>Septiembre</v>
      </c>
      <c r="J867" s="79" t="str">
        <f ca="1">IFERROR(__xludf.DUMMYFUNCTION("""COMPUTED_VALUE"""),"NOS")</f>
        <v>NOS</v>
      </c>
      <c r="K867" s="80">
        <f ca="1">IFERROR(__xludf.DUMMYFUNCTION("""COMPUTED_VALUE"""),7)</f>
        <v>7</v>
      </c>
      <c r="L867" s="79" t="str">
        <f ca="1">IFERROR(__xludf.DUMMYFUNCTION("""COMPUTED_VALUE"""),"TRIMESTRE 3")</f>
        <v>TRIMESTRE 3</v>
      </c>
      <c r="M867" s="79" t="str">
        <f ca="1">IFERROR(__xludf.DUMMYFUNCTION("""COMPUTED_VALUE"""),"NIÑOS")</f>
        <v>NIÑOS</v>
      </c>
    </row>
    <row r="868" spans="1:13">
      <c r="A868" s="79" t="str">
        <f ca="1">IFERROR(__xludf.DUMMYFUNCTION("""COMPUTED_VALUE"""),"6.1.5.0")</f>
        <v>6.1.5.0</v>
      </c>
      <c r="B868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68" s="79" t="str">
        <f ca="1">IFERROR(__xludf.DUMMYFUNCTION("""COMPUTED_VALUE"""),"5. Inclusión")</f>
        <v>5. Inclusión</v>
      </c>
      <c r="D868" s="79" t="str">
        <f ca="1">IFERROR(__xludf.DUMMYFUNCTION("""COMPUTED_VALUE"""),"Guadalajara sin Barreras")</f>
        <v>Guadalajara sin Barreras</v>
      </c>
      <c r="E868" s="79" t="str">
        <f ca="1">IFERROR(__xludf.DUMMYFUNCTION("""COMPUTED_VALUE"""),"Atención Integral para Personas con Discapacidad")</f>
        <v>Atención Integral para Personas con Discapacidad</v>
      </c>
      <c r="F868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68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68" s="79" t="str">
        <f ca="1">IFERROR(__xludf.DUMMYFUNCTION("""COMPUTED_VALUE"""),"AM SEPTIEMBRE")</f>
        <v>AM SEPTIEMBRE</v>
      </c>
      <c r="I868" s="79" t="str">
        <f ca="1">IFERROR(__xludf.DUMMYFUNCTION("""COMPUTED_VALUE"""),"Septiembre")</f>
        <v>Septiembre</v>
      </c>
      <c r="J868" s="79" t="str">
        <f ca="1">IFERROR(__xludf.DUMMYFUNCTION("""COMPUTED_VALUE"""),"AM")</f>
        <v>AM</v>
      </c>
      <c r="K868" s="80">
        <f ca="1">IFERROR(__xludf.DUMMYFUNCTION("""COMPUTED_VALUE"""),1)</f>
        <v>1</v>
      </c>
      <c r="L868" s="79" t="str">
        <f ca="1">IFERROR(__xludf.DUMMYFUNCTION("""COMPUTED_VALUE"""),"TRIMESTRE 3")</f>
        <v>TRIMESTRE 3</v>
      </c>
      <c r="M868" s="79" t="str">
        <f ca="1">IFERROR(__xludf.DUMMYFUNCTION("""COMPUTED_VALUE"""),"ADOLESCENTES MUJERES")</f>
        <v>ADOLESCENTES MUJERES</v>
      </c>
    </row>
    <row r="869" spans="1:13">
      <c r="A869" s="79" t="str">
        <f ca="1">IFERROR(__xludf.DUMMYFUNCTION("""COMPUTED_VALUE"""),"6.1.5.0")</f>
        <v>6.1.5.0</v>
      </c>
      <c r="B869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69" s="79" t="str">
        <f ca="1">IFERROR(__xludf.DUMMYFUNCTION("""COMPUTED_VALUE"""),"5. Inclusión")</f>
        <v>5. Inclusión</v>
      </c>
      <c r="D869" s="79" t="str">
        <f ca="1">IFERROR(__xludf.DUMMYFUNCTION("""COMPUTED_VALUE"""),"Guadalajara sin Barreras")</f>
        <v>Guadalajara sin Barreras</v>
      </c>
      <c r="E869" s="79" t="str">
        <f ca="1">IFERROR(__xludf.DUMMYFUNCTION("""COMPUTED_VALUE"""),"Atención Integral para Personas con Discapacidad")</f>
        <v>Atención Integral para Personas con Discapacidad</v>
      </c>
      <c r="F869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69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69" s="79" t="str">
        <f ca="1">IFERROR(__xludf.DUMMYFUNCTION("""COMPUTED_VALUE"""),"AH SEPTIEMBRE")</f>
        <v>AH SEPTIEMBRE</v>
      </c>
      <c r="I869" s="79" t="str">
        <f ca="1">IFERROR(__xludf.DUMMYFUNCTION("""COMPUTED_VALUE"""),"Septiembre")</f>
        <v>Septiembre</v>
      </c>
      <c r="J869" s="79" t="str">
        <f ca="1">IFERROR(__xludf.DUMMYFUNCTION("""COMPUTED_VALUE"""),"AH")</f>
        <v>AH</v>
      </c>
      <c r="K869" s="80">
        <f ca="1">IFERROR(__xludf.DUMMYFUNCTION("""COMPUTED_VALUE"""),12)</f>
        <v>12</v>
      </c>
      <c r="L869" s="79" t="str">
        <f ca="1">IFERROR(__xludf.DUMMYFUNCTION("""COMPUTED_VALUE"""),"TRIMESTRE 3")</f>
        <v>TRIMESTRE 3</v>
      </c>
      <c r="M869" s="79" t="str">
        <f ca="1">IFERROR(__xludf.DUMMYFUNCTION("""COMPUTED_VALUE"""),"ADOLESCENTES HOMBRES")</f>
        <v>ADOLESCENTES HOMBRES</v>
      </c>
    </row>
    <row r="870" spans="1:13">
      <c r="A870" s="79" t="str">
        <f ca="1">IFERROR(__xludf.DUMMYFUNCTION("""COMPUTED_VALUE"""),"6.1.5.0")</f>
        <v>6.1.5.0</v>
      </c>
      <c r="B870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70" s="79" t="str">
        <f ca="1">IFERROR(__xludf.DUMMYFUNCTION("""COMPUTED_VALUE"""),"5. Inclusión")</f>
        <v>5. Inclusión</v>
      </c>
      <c r="D870" s="79" t="str">
        <f ca="1">IFERROR(__xludf.DUMMYFUNCTION("""COMPUTED_VALUE"""),"Guadalajara sin Barreras")</f>
        <v>Guadalajara sin Barreras</v>
      </c>
      <c r="E870" s="79" t="str">
        <f ca="1">IFERROR(__xludf.DUMMYFUNCTION("""COMPUTED_VALUE"""),"Atención Integral para Personas con Discapacidad")</f>
        <v>Atención Integral para Personas con Discapacidad</v>
      </c>
      <c r="F870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70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70" s="79" t="str">
        <f ca="1">IFERROR(__xludf.DUMMYFUNCTION("""COMPUTED_VALUE"""),"MUJ Septiembre")</f>
        <v>MUJ Septiembre</v>
      </c>
      <c r="I870" s="79" t="str">
        <f ca="1">IFERROR(__xludf.DUMMYFUNCTION("""COMPUTED_VALUE"""),"Septiembre")</f>
        <v>Septiembre</v>
      </c>
      <c r="J870" s="79" t="str">
        <f ca="1">IFERROR(__xludf.DUMMYFUNCTION("""COMPUTED_VALUE"""),"MUJ")</f>
        <v>MUJ</v>
      </c>
      <c r="K870" s="80">
        <f ca="1">IFERROR(__xludf.DUMMYFUNCTION("""COMPUTED_VALUE"""),95)</f>
        <v>95</v>
      </c>
      <c r="L870" s="79" t="str">
        <f ca="1">IFERROR(__xludf.DUMMYFUNCTION("""COMPUTED_VALUE"""),"TRIMESTRE 3")</f>
        <v>TRIMESTRE 3</v>
      </c>
      <c r="M870" s="79" t="str">
        <f ca="1">IFERROR(__xludf.DUMMYFUNCTION("""COMPUTED_VALUE"""),"MUJERES ADULTAS")</f>
        <v>MUJERES ADULTAS</v>
      </c>
    </row>
    <row r="871" spans="1:13">
      <c r="A871" s="79" t="str">
        <f ca="1">IFERROR(__xludf.DUMMYFUNCTION("""COMPUTED_VALUE"""),"6.1.5.0")</f>
        <v>6.1.5.0</v>
      </c>
      <c r="B871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71" s="79" t="str">
        <f ca="1">IFERROR(__xludf.DUMMYFUNCTION("""COMPUTED_VALUE"""),"5. Inclusión")</f>
        <v>5. Inclusión</v>
      </c>
      <c r="D871" s="79" t="str">
        <f ca="1">IFERROR(__xludf.DUMMYFUNCTION("""COMPUTED_VALUE"""),"Guadalajara sin Barreras")</f>
        <v>Guadalajara sin Barreras</v>
      </c>
      <c r="E871" s="79" t="str">
        <f ca="1">IFERROR(__xludf.DUMMYFUNCTION("""COMPUTED_VALUE"""),"Atención Integral para Personas con Discapacidad")</f>
        <v>Atención Integral para Personas con Discapacidad</v>
      </c>
      <c r="F871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71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71" s="79" t="str">
        <f ca="1">IFERROR(__xludf.DUMMYFUNCTION("""COMPUTED_VALUE"""),"HOM Septiembre")</f>
        <v>HOM Septiembre</v>
      </c>
      <c r="I871" s="79" t="str">
        <f ca="1">IFERROR(__xludf.DUMMYFUNCTION("""COMPUTED_VALUE"""),"Septiembre")</f>
        <v>Septiembre</v>
      </c>
      <c r="J871" s="79" t="str">
        <f ca="1">IFERROR(__xludf.DUMMYFUNCTION("""COMPUTED_VALUE"""),"HOM")</f>
        <v>HOM</v>
      </c>
      <c r="K871" s="80">
        <f ca="1">IFERROR(__xludf.DUMMYFUNCTION("""COMPUTED_VALUE"""),55)</f>
        <v>55</v>
      </c>
      <c r="L871" s="79" t="str">
        <f ca="1">IFERROR(__xludf.DUMMYFUNCTION("""COMPUTED_VALUE"""),"TRIMESTRE 3")</f>
        <v>TRIMESTRE 3</v>
      </c>
      <c r="M871" s="79" t="str">
        <f ca="1">IFERROR(__xludf.DUMMYFUNCTION("""COMPUTED_VALUE"""),"HOMBRES ADULTOS")</f>
        <v>HOMBRES ADULTOS</v>
      </c>
    </row>
    <row r="872" spans="1:13">
      <c r="A872" s="79" t="str">
        <f ca="1">IFERROR(__xludf.DUMMYFUNCTION("""COMPUTED_VALUE"""),"6.1.5.0")</f>
        <v>6.1.5.0</v>
      </c>
      <c r="B872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72" s="79" t="str">
        <f ca="1">IFERROR(__xludf.DUMMYFUNCTION("""COMPUTED_VALUE"""),"5. Inclusión")</f>
        <v>5. Inclusión</v>
      </c>
      <c r="D872" s="79" t="str">
        <f ca="1">IFERROR(__xludf.DUMMYFUNCTION("""COMPUTED_VALUE"""),"Guadalajara sin Barreras")</f>
        <v>Guadalajara sin Barreras</v>
      </c>
      <c r="E872" s="79" t="str">
        <f ca="1">IFERROR(__xludf.DUMMYFUNCTION("""COMPUTED_VALUE"""),"Atención Integral para Personas con Discapacidad")</f>
        <v>Atención Integral para Personas con Discapacidad</v>
      </c>
      <c r="F872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72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72" s="79" t="str">
        <f ca="1">IFERROR(__xludf.DUMMYFUNCTION("""COMPUTED_VALUE"""),"AMM Septiembre")</f>
        <v>AMM Septiembre</v>
      </c>
      <c r="I872" s="79" t="str">
        <f ca="1">IFERROR(__xludf.DUMMYFUNCTION("""COMPUTED_VALUE"""),"Septiembre")</f>
        <v>Septiembre</v>
      </c>
      <c r="J872" s="79" t="str">
        <f ca="1">IFERROR(__xludf.DUMMYFUNCTION("""COMPUTED_VALUE"""),"AMM")</f>
        <v>AMM</v>
      </c>
      <c r="K872" s="80">
        <f ca="1">IFERROR(__xludf.DUMMYFUNCTION("""COMPUTED_VALUE"""),158)</f>
        <v>158</v>
      </c>
      <c r="L872" s="79" t="str">
        <f ca="1">IFERROR(__xludf.DUMMYFUNCTION("""COMPUTED_VALUE"""),"TRIMESTRE 3")</f>
        <v>TRIMESTRE 3</v>
      </c>
      <c r="M872" s="79" t="str">
        <f ca="1">IFERROR(__xludf.DUMMYFUNCTION("""COMPUTED_VALUE"""),"ADULTA MAYOR MUJER")</f>
        <v>ADULTA MAYOR MUJER</v>
      </c>
    </row>
    <row r="873" spans="1:13">
      <c r="A873" s="79" t="str">
        <f ca="1">IFERROR(__xludf.DUMMYFUNCTION("""COMPUTED_VALUE"""),"6.1.5.0")</f>
        <v>6.1.5.0</v>
      </c>
      <c r="B873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73" s="79" t="str">
        <f ca="1">IFERROR(__xludf.DUMMYFUNCTION("""COMPUTED_VALUE"""),"5. Inclusión")</f>
        <v>5. Inclusión</v>
      </c>
      <c r="D873" s="79" t="str">
        <f ca="1">IFERROR(__xludf.DUMMYFUNCTION("""COMPUTED_VALUE"""),"Guadalajara sin Barreras")</f>
        <v>Guadalajara sin Barreras</v>
      </c>
      <c r="E873" s="79" t="str">
        <f ca="1">IFERROR(__xludf.DUMMYFUNCTION("""COMPUTED_VALUE"""),"Atención Integral para Personas con Discapacidad")</f>
        <v>Atención Integral para Personas con Discapacidad</v>
      </c>
      <c r="F873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73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73" s="79" t="str">
        <f ca="1">IFERROR(__xludf.DUMMYFUNCTION("""COMPUTED_VALUE"""),"AMH Septiembre")</f>
        <v>AMH Septiembre</v>
      </c>
      <c r="I873" s="79" t="str">
        <f ca="1">IFERROR(__xludf.DUMMYFUNCTION("""COMPUTED_VALUE"""),"Septiembre")</f>
        <v>Septiembre</v>
      </c>
      <c r="J873" s="79" t="str">
        <f ca="1">IFERROR(__xludf.DUMMYFUNCTION("""COMPUTED_VALUE"""),"AMH")</f>
        <v>AMH</v>
      </c>
      <c r="K873" s="80">
        <f ca="1">IFERROR(__xludf.DUMMYFUNCTION("""COMPUTED_VALUE"""),46)</f>
        <v>46</v>
      </c>
      <c r="L873" s="79" t="str">
        <f ca="1">IFERROR(__xludf.DUMMYFUNCTION("""COMPUTED_VALUE"""),"TRIMESTRE 3")</f>
        <v>TRIMESTRE 3</v>
      </c>
      <c r="M873" s="79" t="str">
        <f ca="1">IFERROR(__xludf.DUMMYFUNCTION("""COMPUTED_VALUE"""),"ADULTO MAYOR HOMBRE")</f>
        <v>ADULTO MAYOR HOMBRE</v>
      </c>
    </row>
    <row r="874" spans="1:13">
      <c r="A874" s="79" t="str">
        <f ca="1">IFERROR(__xludf.DUMMYFUNCTION("""COMPUTED_VALUE"""),"6.1.5.1")</f>
        <v>6.1.5.1</v>
      </c>
      <c r="B874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74" s="79" t="str">
        <f ca="1">IFERROR(__xludf.DUMMYFUNCTION("""COMPUTED_VALUE"""),"5. Inclusión")</f>
        <v>5. Inclusión</v>
      </c>
      <c r="D874" s="79" t="str">
        <f ca="1">IFERROR(__xludf.DUMMYFUNCTION("""COMPUTED_VALUE"""),"Guadalajara sin Barreras")</f>
        <v>Guadalajara sin Barreras</v>
      </c>
      <c r="E874" s="79" t="str">
        <f ca="1">IFERROR(__xludf.DUMMYFUNCTION("""COMPUTED_VALUE"""),"Atención Integral para Personas con Discapacidad")</f>
        <v>Atención Integral para Personas con Discapacidad</v>
      </c>
      <c r="F874" s="79" t="str">
        <f ca="1">IFERROR(__xludf.DUMMYFUNCTION("""COMPUTED_VALUE"""),"A1C5. Sesiones de terapia física brindadas en el Centro CAIPED en 2024")</f>
        <v>A1C5. Sesiones de terapia física brindadas en el Centro CAIPED en 2024</v>
      </c>
      <c r="G874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74" s="79" t="str">
        <f ca="1">IFERROR(__xludf.DUMMYFUNCTION("""COMPUTED_VALUE"""),"NAS Septiembre")</f>
        <v>NAS Septiembre</v>
      </c>
      <c r="I874" s="79" t="str">
        <f ca="1">IFERROR(__xludf.DUMMYFUNCTION("""COMPUTED_VALUE"""),"Septiembre")</f>
        <v>Septiembre</v>
      </c>
      <c r="J874" s="79" t="str">
        <f ca="1">IFERROR(__xludf.DUMMYFUNCTION("""COMPUTED_VALUE"""),"NAS")</f>
        <v>NAS</v>
      </c>
      <c r="K874" s="80">
        <f ca="1">IFERROR(__xludf.DUMMYFUNCTION("""COMPUTED_VALUE"""),1)</f>
        <v>1</v>
      </c>
      <c r="L874" s="79" t="str">
        <f ca="1">IFERROR(__xludf.DUMMYFUNCTION("""COMPUTED_VALUE"""),"TRIMESTRE 3")</f>
        <v>TRIMESTRE 3</v>
      </c>
      <c r="M874" s="79" t="str">
        <f ca="1">IFERROR(__xludf.DUMMYFUNCTION("""COMPUTED_VALUE"""),"NIÑAS")</f>
        <v>NIÑAS</v>
      </c>
    </row>
    <row r="875" spans="1:13">
      <c r="A875" s="79" t="str">
        <f ca="1">IFERROR(__xludf.DUMMYFUNCTION("""COMPUTED_VALUE"""),"6.1.5.1")</f>
        <v>6.1.5.1</v>
      </c>
      <c r="B875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75" s="79" t="str">
        <f ca="1">IFERROR(__xludf.DUMMYFUNCTION("""COMPUTED_VALUE"""),"5. Inclusión")</f>
        <v>5. Inclusión</v>
      </c>
      <c r="D875" s="79" t="str">
        <f ca="1">IFERROR(__xludf.DUMMYFUNCTION("""COMPUTED_VALUE"""),"Guadalajara sin Barreras")</f>
        <v>Guadalajara sin Barreras</v>
      </c>
      <c r="E875" s="79" t="str">
        <f ca="1">IFERROR(__xludf.DUMMYFUNCTION("""COMPUTED_VALUE"""),"Atención Integral para Personas con Discapacidad")</f>
        <v>Atención Integral para Personas con Discapacidad</v>
      </c>
      <c r="F875" s="79" t="str">
        <f ca="1">IFERROR(__xludf.DUMMYFUNCTION("""COMPUTED_VALUE"""),"A1C5. Sesiones de terapia física brindadas en el Centro CAIPED en 2024")</f>
        <v>A1C5. Sesiones de terapia física brindadas en el Centro CAIPED en 2024</v>
      </c>
      <c r="G875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75" s="79" t="str">
        <f ca="1">IFERROR(__xludf.DUMMYFUNCTION("""COMPUTED_VALUE"""),"NOS Septiembre")</f>
        <v>NOS Septiembre</v>
      </c>
      <c r="I875" s="79" t="str">
        <f ca="1">IFERROR(__xludf.DUMMYFUNCTION("""COMPUTED_VALUE"""),"Septiembre")</f>
        <v>Septiembre</v>
      </c>
      <c r="J875" s="79" t="str">
        <f ca="1">IFERROR(__xludf.DUMMYFUNCTION("""COMPUTED_VALUE"""),"NOS")</f>
        <v>NOS</v>
      </c>
      <c r="K875" s="80">
        <f ca="1">IFERROR(__xludf.DUMMYFUNCTION("""COMPUTED_VALUE"""),5)</f>
        <v>5</v>
      </c>
      <c r="L875" s="79" t="str">
        <f ca="1">IFERROR(__xludf.DUMMYFUNCTION("""COMPUTED_VALUE"""),"TRIMESTRE 3")</f>
        <v>TRIMESTRE 3</v>
      </c>
      <c r="M875" s="79" t="str">
        <f ca="1">IFERROR(__xludf.DUMMYFUNCTION("""COMPUTED_VALUE"""),"NIÑOS")</f>
        <v>NIÑOS</v>
      </c>
    </row>
    <row r="876" spans="1:13">
      <c r="A876" s="79" t="str">
        <f ca="1">IFERROR(__xludf.DUMMYFUNCTION("""COMPUTED_VALUE"""),"6.1.5.1")</f>
        <v>6.1.5.1</v>
      </c>
      <c r="B876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76" s="79" t="str">
        <f ca="1">IFERROR(__xludf.DUMMYFUNCTION("""COMPUTED_VALUE"""),"5. Inclusión")</f>
        <v>5. Inclusión</v>
      </c>
      <c r="D876" s="79" t="str">
        <f ca="1">IFERROR(__xludf.DUMMYFUNCTION("""COMPUTED_VALUE"""),"Guadalajara sin Barreras")</f>
        <v>Guadalajara sin Barreras</v>
      </c>
      <c r="E876" s="79" t="str">
        <f ca="1">IFERROR(__xludf.DUMMYFUNCTION("""COMPUTED_VALUE"""),"Atención Integral para Personas con Discapacidad")</f>
        <v>Atención Integral para Personas con Discapacidad</v>
      </c>
      <c r="F876" s="79" t="str">
        <f ca="1">IFERROR(__xludf.DUMMYFUNCTION("""COMPUTED_VALUE"""),"A1C5. Sesiones de terapia física brindadas en el Centro CAIPED en 2024")</f>
        <v>A1C5. Sesiones de terapia física brindadas en el Centro CAIPED en 2024</v>
      </c>
      <c r="G876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76" s="79" t="str">
        <f ca="1">IFERROR(__xludf.DUMMYFUNCTION("""COMPUTED_VALUE"""),"AM SEPTIEMBRE")</f>
        <v>AM SEPTIEMBRE</v>
      </c>
      <c r="I876" s="79" t="str">
        <f ca="1">IFERROR(__xludf.DUMMYFUNCTION("""COMPUTED_VALUE"""),"Septiembre")</f>
        <v>Septiembre</v>
      </c>
      <c r="J876" s="79" t="str">
        <f ca="1">IFERROR(__xludf.DUMMYFUNCTION("""COMPUTED_VALUE"""),"AM")</f>
        <v>AM</v>
      </c>
      <c r="K876" s="80">
        <f ca="1">IFERROR(__xludf.DUMMYFUNCTION("""COMPUTED_VALUE"""),0)</f>
        <v>0</v>
      </c>
      <c r="L876" s="79" t="str">
        <f ca="1">IFERROR(__xludf.DUMMYFUNCTION("""COMPUTED_VALUE"""),"TRIMESTRE 3")</f>
        <v>TRIMESTRE 3</v>
      </c>
      <c r="M876" s="79" t="str">
        <f ca="1">IFERROR(__xludf.DUMMYFUNCTION("""COMPUTED_VALUE"""),"ADOLESCENTES MUJERES")</f>
        <v>ADOLESCENTES MUJERES</v>
      </c>
    </row>
    <row r="877" spans="1:13">
      <c r="A877" s="79" t="str">
        <f ca="1">IFERROR(__xludf.DUMMYFUNCTION("""COMPUTED_VALUE"""),"6.1.5.1")</f>
        <v>6.1.5.1</v>
      </c>
      <c r="B877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77" s="79" t="str">
        <f ca="1">IFERROR(__xludf.DUMMYFUNCTION("""COMPUTED_VALUE"""),"5. Inclusión")</f>
        <v>5. Inclusión</v>
      </c>
      <c r="D877" s="79" t="str">
        <f ca="1">IFERROR(__xludf.DUMMYFUNCTION("""COMPUTED_VALUE"""),"Guadalajara sin Barreras")</f>
        <v>Guadalajara sin Barreras</v>
      </c>
      <c r="E877" s="79" t="str">
        <f ca="1">IFERROR(__xludf.DUMMYFUNCTION("""COMPUTED_VALUE"""),"Atención Integral para Personas con Discapacidad")</f>
        <v>Atención Integral para Personas con Discapacidad</v>
      </c>
      <c r="F877" s="79" t="str">
        <f ca="1">IFERROR(__xludf.DUMMYFUNCTION("""COMPUTED_VALUE"""),"A1C5. Sesiones de terapia física brindadas en el Centro CAIPED en 2024")</f>
        <v>A1C5. Sesiones de terapia física brindadas en el Centro CAIPED en 2024</v>
      </c>
      <c r="G877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77" s="79" t="str">
        <f ca="1">IFERROR(__xludf.DUMMYFUNCTION("""COMPUTED_VALUE"""),"AH SEPTIEMBRE")</f>
        <v>AH SEPTIEMBRE</v>
      </c>
      <c r="I877" s="79" t="str">
        <f ca="1">IFERROR(__xludf.DUMMYFUNCTION("""COMPUTED_VALUE"""),"Septiembre")</f>
        <v>Septiembre</v>
      </c>
      <c r="J877" s="79" t="str">
        <f ca="1">IFERROR(__xludf.DUMMYFUNCTION("""COMPUTED_VALUE"""),"AH")</f>
        <v>AH</v>
      </c>
      <c r="K877" s="80">
        <f ca="1">IFERROR(__xludf.DUMMYFUNCTION("""COMPUTED_VALUE"""),8)</f>
        <v>8</v>
      </c>
      <c r="L877" s="79" t="str">
        <f ca="1">IFERROR(__xludf.DUMMYFUNCTION("""COMPUTED_VALUE"""),"TRIMESTRE 3")</f>
        <v>TRIMESTRE 3</v>
      </c>
      <c r="M877" s="79" t="str">
        <f ca="1">IFERROR(__xludf.DUMMYFUNCTION("""COMPUTED_VALUE"""),"ADOLESCENTES HOMBRES")</f>
        <v>ADOLESCENTES HOMBRES</v>
      </c>
    </row>
    <row r="878" spans="1:13">
      <c r="A878" s="79" t="str">
        <f ca="1">IFERROR(__xludf.DUMMYFUNCTION("""COMPUTED_VALUE"""),"6.1.5.1")</f>
        <v>6.1.5.1</v>
      </c>
      <c r="B878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78" s="79" t="str">
        <f ca="1">IFERROR(__xludf.DUMMYFUNCTION("""COMPUTED_VALUE"""),"5. Inclusión")</f>
        <v>5. Inclusión</v>
      </c>
      <c r="D878" s="79" t="str">
        <f ca="1">IFERROR(__xludf.DUMMYFUNCTION("""COMPUTED_VALUE"""),"Guadalajara sin Barreras")</f>
        <v>Guadalajara sin Barreras</v>
      </c>
      <c r="E878" s="79" t="str">
        <f ca="1">IFERROR(__xludf.DUMMYFUNCTION("""COMPUTED_VALUE"""),"Atención Integral para Personas con Discapacidad")</f>
        <v>Atención Integral para Personas con Discapacidad</v>
      </c>
      <c r="F878" s="79" t="str">
        <f ca="1">IFERROR(__xludf.DUMMYFUNCTION("""COMPUTED_VALUE"""),"A1C5. Sesiones de terapia física brindadas en el Centro CAIPED en 2024")</f>
        <v>A1C5. Sesiones de terapia física brindadas en el Centro CAIPED en 2024</v>
      </c>
      <c r="G878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78" s="79" t="str">
        <f ca="1">IFERROR(__xludf.DUMMYFUNCTION("""COMPUTED_VALUE"""),"MUJ Septiembre")</f>
        <v>MUJ Septiembre</v>
      </c>
      <c r="I878" s="79" t="str">
        <f ca="1">IFERROR(__xludf.DUMMYFUNCTION("""COMPUTED_VALUE"""),"Septiembre")</f>
        <v>Septiembre</v>
      </c>
      <c r="J878" s="79" t="str">
        <f ca="1">IFERROR(__xludf.DUMMYFUNCTION("""COMPUTED_VALUE"""),"MUJ")</f>
        <v>MUJ</v>
      </c>
      <c r="K878" s="80">
        <f ca="1">IFERROR(__xludf.DUMMYFUNCTION("""COMPUTED_VALUE"""),65)</f>
        <v>65</v>
      </c>
      <c r="L878" s="79" t="str">
        <f ca="1">IFERROR(__xludf.DUMMYFUNCTION("""COMPUTED_VALUE"""),"TRIMESTRE 3")</f>
        <v>TRIMESTRE 3</v>
      </c>
      <c r="M878" s="79" t="str">
        <f ca="1">IFERROR(__xludf.DUMMYFUNCTION("""COMPUTED_VALUE"""),"MUJERES ADULTAS")</f>
        <v>MUJERES ADULTAS</v>
      </c>
    </row>
    <row r="879" spans="1:13">
      <c r="A879" s="79" t="str">
        <f ca="1">IFERROR(__xludf.DUMMYFUNCTION("""COMPUTED_VALUE"""),"6.1.5.1")</f>
        <v>6.1.5.1</v>
      </c>
      <c r="B879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79" s="79" t="str">
        <f ca="1">IFERROR(__xludf.DUMMYFUNCTION("""COMPUTED_VALUE"""),"5. Inclusión")</f>
        <v>5. Inclusión</v>
      </c>
      <c r="D879" s="79" t="str">
        <f ca="1">IFERROR(__xludf.DUMMYFUNCTION("""COMPUTED_VALUE"""),"Guadalajara sin Barreras")</f>
        <v>Guadalajara sin Barreras</v>
      </c>
      <c r="E879" s="79" t="str">
        <f ca="1">IFERROR(__xludf.DUMMYFUNCTION("""COMPUTED_VALUE"""),"Atención Integral para Personas con Discapacidad")</f>
        <v>Atención Integral para Personas con Discapacidad</v>
      </c>
      <c r="F879" s="79" t="str">
        <f ca="1">IFERROR(__xludf.DUMMYFUNCTION("""COMPUTED_VALUE"""),"A1C5. Sesiones de terapia física brindadas en el Centro CAIPED en 2024")</f>
        <v>A1C5. Sesiones de terapia física brindadas en el Centro CAIPED en 2024</v>
      </c>
      <c r="G879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79" s="79" t="str">
        <f ca="1">IFERROR(__xludf.DUMMYFUNCTION("""COMPUTED_VALUE"""),"HOM Septiembre")</f>
        <v>HOM Septiembre</v>
      </c>
      <c r="I879" s="79" t="str">
        <f ca="1">IFERROR(__xludf.DUMMYFUNCTION("""COMPUTED_VALUE"""),"Septiembre")</f>
        <v>Septiembre</v>
      </c>
      <c r="J879" s="79" t="str">
        <f ca="1">IFERROR(__xludf.DUMMYFUNCTION("""COMPUTED_VALUE"""),"HOM")</f>
        <v>HOM</v>
      </c>
      <c r="K879" s="80">
        <f ca="1">IFERROR(__xludf.DUMMYFUNCTION("""COMPUTED_VALUE"""),40)</f>
        <v>40</v>
      </c>
      <c r="L879" s="79" t="str">
        <f ca="1">IFERROR(__xludf.DUMMYFUNCTION("""COMPUTED_VALUE"""),"TRIMESTRE 3")</f>
        <v>TRIMESTRE 3</v>
      </c>
      <c r="M879" s="79" t="str">
        <f ca="1">IFERROR(__xludf.DUMMYFUNCTION("""COMPUTED_VALUE"""),"HOMBRES ADULTOS")</f>
        <v>HOMBRES ADULTOS</v>
      </c>
    </row>
    <row r="880" spans="1:13">
      <c r="A880" s="79" t="str">
        <f ca="1">IFERROR(__xludf.DUMMYFUNCTION("""COMPUTED_VALUE"""),"6.1.5.1")</f>
        <v>6.1.5.1</v>
      </c>
      <c r="B880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0" s="79" t="str">
        <f ca="1">IFERROR(__xludf.DUMMYFUNCTION("""COMPUTED_VALUE"""),"5. Inclusión")</f>
        <v>5. Inclusión</v>
      </c>
      <c r="D880" s="79" t="str">
        <f ca="1">IFERROR(__xludf.DUMMYFUNCTION("""COMPUTED_VALUE"""),"Guadalajara sin Barreras")</f>
        <v>Guadalajara sin Barreras</v>
      </c>
      <c r="E880" s="79" t="str">
        <f ca="1">IFERROR(__xludf.DUMMYFUNCTION("""COMPUTED_VALUE"""),"Atención Integral para Personas con Discapacidad")</f>
        <v>Atención Integral para Personas con Discapacidad</v>
      </c>
      <c r="F880" s="79" t="str">
        <f ca="1">IFERROR(__xludf.DUMMYFUNCTION("""COMPUTED_VALUE"""),"A1C5. Sesiones de terapia física brindadas en el Centro CAIPED en 2024")</f>
        <v>A1C5. Sesiones de terapia física brindadas en el Centro CAIPED en 2024</v>
      </c>
      <c r="G880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80" s="79" t="str">
        <f ca="1">IFERROR(__xludf.DUMMYFUNCTION("""COMPUTED_VALUE"""),"AMM Septiembre")</f>
        <v>AMM Septiembre</v>
      </c>
      <c r="I880" s="79" t="str">
        <f ca="1">IFERROR(__xludf.DUMMYFUNCTION("""COMPUTED_VALUE"""),"Septiembre")</f>
        <v>Septiembre</v>
      </c>
      <c r="J880" s="79" t="str">
        <f ca="1">IFERROR(__xludf.DUMMYFUNCTION("""COMPUTED_VALUE"""),"AMM")</f>
        <v>AMM</v>
      </c>
      <c r="K880" s="80">
        <f ca="1">IFERROR(__xludf.DUMMYFUNCTION("""COMPUTED_VALUE"""),109)</f>
        <v>109</v>
      </c>
      <c r="L880" s="79" t="str">
        <f ca="1">IFERROR(__xludf.DUMMYFUNCTION("""COMPUTED_VALUE"""),"TRIMESTRE 3")</f>
        <v>TRIMESTRE 3</v>
      </c>
      <c r="M880" s="79" t="str">
        <f ca="1">IFERROR(__xludf.DUMMYFUNCTION("""COMPUTED_VALUE"""),"ADULTA MAYOR MUJER")</f>
        <v>ADULTA MAYOR MUJER</v>
      </c>
    </row>
    <row r="881" spans="1:13">
      <c r="A881" s="79" t="str">
        <f ca="1">IFERROR(__xludf.DUMMYFUNCTION("""COMPUTED_VALUE"""),"6.1.5.1")</f>
        <v>6.1.5.1</v>
      </c>
      <c r="B881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1" s="79" t="str">
        <f ca="1">IFERROR(__xludf.DUMMYFUNCTION("""COMPUTED_VALUE"""),"5. Inclusión")</f>
        <v>5. Inclusión</v>
      </c>
      <c r="D881" s="79" t="str">
        <f ca="1">IFERROR(__xludf.DUMMYFUNCTION("""COMPUTED_VALUE"""),"Guadalajara sin Barreras")</f>
        <v>Guadalajara sin Barreras</v>
      </c>
      <c r="E881" s="79" t="str">
        <f ca="1">IFERROR(__xludf.DUMMYFUNCTION("""COMPUTED_VALUE"""),"Atención Integral para Personas con Discapacidad")</f>
        <v>Atención Integral para Personas con Discapacidad</v>
      </c>
      <c r="F881" s="79" t="str">
        <f ca="1">IFERROR(__xludf.DUMMYFUNCTION("""COMPUTED_VALUE"""),"A1C5. Sesiones de terapia física brindadas en el Centro CAIPED en 2024")</f>
        <v>A1C5. Sesiones de terapia física brindadas en el Centro CAIPED en 2024</v>
      </c>
      <c r="G881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81" s="79" t="str">
        <f ca="1">IFERROR(__xludf.DUMMYFUNCTION("""COMPUTED_VALUE"""),"AMH Septiembre")</f>
        <v>AMH Septiembre</v>
      </c>
      <c r="I881" s="79" t="str">
        <f ca="1">IFERROR(__xludf.DUMMYFUNCTION("""COMPUTED_VALUE"""),"Septiembre")</f>
        <v>Septiembre</v>
      </c>
      <c r="J881" s="79" t="str">
        <f ca="1">IFERROR(__xludf.DUMMYFUNCTION("""COMPUTED_VALUE"""),"AMH")</f>
        <v>AMH</v>
      </c>
      <c r="K881" s="80">
        <f ca="1">IFERROR(__xludf.DUMMYFUNCTION("""COMPUTED_VALUE"""),29)</f>
        <v>29</v>
      </c>
      <c r="L881" s="79" t="str">
        <f ca="1">IFERROR(__xludf.DUMMYFUNCTION("""COMPUTED_VALUE"""),"TRIMESTRE 3")</f>
        <v>TRIMESTRE 3</v>
      </c>
      <c r="M881" s="79" t="str">
        <f ca="1">IFERROR(__xludf.DUMMYFUNCTION("""COMPUTED_VALUE"""),"ADULTO MAYOR HOMBRE")</f>
        <v>ADULTO MAYOR HOMBRE</v>
      </c>
    </row>
    <row r="882" spans="1:13">
      <c r="A882" s="79" t="str">
        <f ca="1">IFERROR(__xludf.DUMMYFUNCTION("""COMPUTED_VALUE"""),"6.1.5.2")</f>
        <v>6.1.5.2</v>
      </c>
      <c r="B882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2" s="79" t="str">
        <f ca="1">IFERROR(__xludf.DUMMYFUNCTION("""COMPUTED_VALUE"""),"5. Inclusión")</f>
        <v>5. Inclusión</v>
      </c>
      <c r="D882" s="79" t="str">
        <f ca="1">IFERROR(__xludf.DUMMYFUNCTION("""COMPUTED_VALUE"""),"Guadalajara sin Barreras")</f>
        <v>Guadalajara sin Barreras</v>
      </c>
      <c r="E882" s="79" t="str">
        <f ca="1">IFERROR(__xludf.DUMMYFUNCTION("""COMPUTED_VALUE"""),"Atención Integral para Personas con Discapacidad")</f>
        <v>Atención Integral para Personas con Discapacidad</v>
      </c>
      <c r="F882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82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2" s="79" t="str">
        <f ca="1">IFERROR(__xludf.DUMMYFUNCTION("""COMPUTED_VALUE"""),"NAS Septiembre")</f>
        <v>NAS Septiembre</v>
      </c>
      <c r="I882" s="79" t="str">
        <f ca="1">IFERROR(__xludf.DUMMYFUNCTION("""COMPUTED_VALUE"""),"Septiembre")</f>
        <v>Septiembre</v>
      </c>
      <c r="J882" s="79" t="str">
        <f ca="1">IFERROR(__xludf.DUMMYFUNCTION("""COMPUTED_VALUE"""),"NAS")</f>
        <v>NAS</v>
      </c>
      <c r="K882" s="80">
        <f ca="1">IFERROR(__xludf.DUMMYFUNCTION("""COMPUTED_VALUE"""),4)</f>
        <v>4</v>
      </c>
      <c r="L882" s="79" t="str">
        <f ca="1">IFERROR(__xludf.DUMMYFUNCTION("""COMPUTED_VALUE"""),"TRIMESTRE 3")</f>
        <v>TRIMESTRE 3</v>
      </c>
      <c r="M882" s="79" t="str">
        <f ca="1">IFERROR(__xludf.DUMMYFUNCTION("""COMPUTED_VALUE"""),"NIÑAS")</f>
        <v>NIÑAS</v>
      </c>
    </row>
    <row r="883" spans="1:13">
      <c r="A883" s="79" t="str">
        <f ca="1">IFERROR(__xludf.DUMMYFUNCTION("""COMPUTED_VALUE"""),"6.1.5.2")</f>
        <v>6.1.5.2</v>
      </c>
      <c r="B883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3" s="79" t="str">
        <f ca="1">IFERROR(__xludf.DUMMYFUNCTION("""COMPUTED_VALUE"""),"5. Inclusión")</f>
        <v>5. Inclusión</v>
      </c>
      <c r="D883" s="79" t="str">
        <f ca="1">IFERROR(__xludf.DUMMYFUNCTION("""COMPUTED_VALUE"""),"Guadalajara sin Barreras")</f>
        <v>Guadalajara sin Barreras</v>
      </c>
      <c r="E883" s="79" t="str">
        <f ca="1">IFERROR(__xludf.DUMMYFUNCTION("""COMPUTED_VALUE"""),"Atención Integral para Personas con Discapacidad")</f>
        <v>Atención Integral para Personas con Discapacidad</v>
      </c>
      <c r="F883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83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3" s="79" t="str">
        <f ca="1">IFERROR(__xludf.DUMMYFUNCTION("""COMPUTED_VALUE"""),"NOS Septiembre")</f>
        <v>NOS Septiembre</v>
      </c>
      <c r="I883" s="79" t="str">
        <f ca="1">IFERROR(__xludf.DUMMYFUNCTION("""COMPUTED_VALUE"""),"Septiembre")</f>
        <v>Septiembre</v>
      </c>
      <c r="J883" s="79" t="str">
        <f ca="1">IFERROR(__xludf.DUMMYFUNCTION("""COMPUTED_VALUE"""),"NOS")</f>
        <v>NOS</v>
      </c>
      <c r="K883" s="80">
        <f ca="1">IFERROR(__xludf.DUMMYFUNCTION("""COMPUTED_VALUE"""),2)</f>
        <v>2</v>
      </c>
      <c r="L883" s="79" t="str">
        <f ca="1">IFERROR(__xludf.DUMMYFUNCTION("""COMPUTED_VALUE"""),"TRIMESTRE 3")</f>
        <v>TRIMESTRE 3</v>
      </c>
      <c r="M883" s="79" t="str">
        <f ca="1">IFERROR(__xludf.DUMMYFUNCTION("""COMPUTED_VALUE"""),"NIÑOS")</f>
        <v>NIÑOS</v>
      </c>
    </row>
    <row r="884" spans="1:13">
      <c r="A884" s="79" t="str">
        <f ca="1">IFERROR(__xludf.DUMMYFUNCTION("""COMPUTED_VALUE"""),"6.1.5.2")</f>
        <v>6.1.5.2</v>
      </c>
      <c r="B884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4" s="79" t="str">
        <f ca="1">IFERROR(__xludf.DUMMYFUNCTION("""COMPUTED_VALUE"""),"5. Inclusión")</f>
        <v>5. Inclusión</v>
      </c>
      <c r="D884" s="79" t="str">
        <f ca="1">IFERROR(__xludf.DUMMYFUNCTION("""COMPUTED_VALUE"""),"Guadalajara sin Barreras")</f>
        <v>Guadalajara sin Barreras</v>
      </c>
      <c r="E884" s="79" t="str">
        <f ca="1">IFERROR(__xludf.DUMMYFUNCTION("""COMPUTED_VALUE"""),"Atención Integral para Personas con Discapacidad")</f>
        <v>Atención Integral para Personas con Discapacidad</v>
      </c>
      <c r="F884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84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4" s="79" t="str">
        <f ca="1">IFERROR(__xludf.DUMMYFUNCTION("""COMPUTED_VALUE"""),"AM SEPTIEMBRE")</f>
        <v>AM SEPTIEMBRE</v>
      </c>
      <c r="I884" s="79" t="str">
        <f ca="1">IFERROR(__xludf.DUMMYFUNCTION("""COMPUTED_VALUE"""),"Septiembre")</f>
        <v>Septiembre</v>
      </c>
      <c r="J884" s="79" t="str">
        <f ca="1">IFERROR(__xludf.DUMMYFUNCTION("""COMPUTED_VALUE"""),"AM")</f>
        <v>AM</v>
      </c>
      <c r="K884" s="80">
        <f ca="1">IFERROR(__xludf.DUMMYFUNCTION("""COMPUTED_VALUE"""),1)</f>
        <v>1</v>
      </c>
      <c r="L884" s="79" t="str">
        <f ca="1">IFERROR(__xludf.DUMMYFUNCTION("""COMPUTED_VALUE"""),"TRIMESTRE 3")</f>
        <v>TRIMESTRE 3</v>
      </c>
      <c r="M884" s="79" t="str">
        <f ca="1">IFERROR(__xludf.DUMMYFUNCTION("""COMPUTED_VALUE"""),"ADOLESCENTES MUJERES")</f>
        <v>ADOLESCENTES MUJERES</v>
      </c>
    </row>
    <row r="885" spans="1:13">
      <c r="A885" s="79" t="str">
        <f ca="1">IFERROR(__xludf.DUMMYFUNCTION("""COMPUTED_VALUE"""),"6.1.5.2")</f>
        <v>6.1.5.2</v>
      </c>
      <c r="B885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5" s="79" t="str">
        <f ca="1">IFERROR(__xludf.DUMMYFUNCTION("""COMPUTED_VALUE"""),"5. Inclusión")</f>
        <v>5. Inclusión</v>
      </c>
      <c r="D885" s="79" t="str">
        <f ca="1">IFERROR(__xludf.DUMMYFUNCTION("""COMPUTED_VALUE"""),"Guadalajara sin Barreras")</f>
        <v>Guadalajara sin Barreras</v>
      </c>
      <c r="E885" s="79" t="str">
        <f ca="1">IFERROR(__xludf.DUMMYFUNCTION("""COMPUTED_VALUE"""),"Atención Integral para Personas con Discapacidad")</f>
        <v>Atención Integral para Personas con Discapacidad</v>
      </c>
      <c r="F885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85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5" s="79" t="str">
        <f ca="1">IFERROR(__xludf.DUMMYFUNCTION("""COMPUTED_VALUE"""),"AH SEPTIEMBRE")</f>
        <v>AH SEPTIEMBRE</v>
      </c>
      <c r="I885" s="79" t="str">
        <f ca="1">IFERROR(__xludf.DUMMYFUNCTION("""COMPUTED_VALUE"""),"Septiembre")</f>
        <v>Septiembre</v>
      </c>
      <c r="J885" s="79" t="str">
        <f ca="1">IFERROR(__xludf.DUMMYFUNCTION("""COMPUTED_VALUE"""),"AH")</f>
        <v>AH</v>
      </c>
      <c r="K885" s="80">
        <f ca="1">IFERROR(__xludf.DUMMYFUNCTION("""COMPUTED_VALUE"""),4)</f>
        <v>4</v>
      </c>
      <c r="L885" s="79" t="str">
        <f ca="1">IFERROR(__xludf.DUMMYFUNCTION("""COMPUTED_VALUE"""),"TRIMESTRE 3")</f>
        <v>TRIMESTRE 3</v>
      </c>
      <c r="M885" s="79" t="str">
        <f ca="1">IFERROR(__xludf.DUMMYFUNCTION("""COMPUTED_VALUE"""),"ADOLESCENTES HOMBRES")</f>
        <v>ADOLESCENTES HOMBRES</v>
      </c>
    </row>
    <row r="886" spans="1:13">
      <c r="A886" s="79" t="str">
        <f ca="1">IFERROR(__xludf.DUMMYFUNCTION("""COMPUTED_VALUE"""),"6.1.5.2")</f>
        <v>6.1.5.2</v>
      </c>
      <c r="B886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6" s="79" t="str">
        <f ca="1">IFERROR(__xludf.DUMMYFUNCTION("""COMPUTED_VALUE"""),"5. Inclusión")</f>
        <v>5. Inclusión</v>
      </c>
      <c r="D886" s="79" t="str">
        <f ca="1">IFERROR(__xludf.DUMMYFUNCTION("""COMPUTED_VALUE"""),"Guadalajara sin Barreras")</f>
        <v>Guadalajara sin Barreras</v>
      </c>
      <c r="E886" s="79" t="str">
        <f ca="1">IFERROR(__xludf.DUMMYFUNCTION("""COMPUTED_VALUE"""),"Atención Integral para Personas con Discapacidad")</f>
        <v>Atención Integral para Personas con Discapacidad</v>
      </c>
      <c r="F886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86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6" s="79" t="str">
        <f ca="1">IFERROR(__xludf.DUMMYFUNCTION("""COMPUTED_VALUE"""),"MUJ Septiembre")</f>
        <v>MUJ Septiembre</v>
      </c>
      <c r="I886" s="79" t="str">
        <f ca="1">IFERROR(__xludf.DUMMYFUNCTION("""COMPUTED_VALUE"""),"Septiembre")</f>
        <v>Septiembre</v>
      </c>
      <c r="J886" s="79" t="str">
        <f ca="1">IFERROR(__xludf.DUMMYFUNCTION("""COMPUTED_VALUE"""),"MUJ")</f>
        <v>MUJ</v>
      </c>
      <c r="K886" s="80">
        <f ca="1">IFERROR(__xludf.DUMMYFUNCTION("""COMPUTED_VALUE"""),30)</f>
        <v>30</v>
      </c>
      <c r="L886" s="79" t="str">
        <f ca="1">IFERROR(__xludf.DUMMYFUNCTION("""COMPUTED_VALUE"""),"TRIMESTRE 3")</f>
        <v>TRIMESTRE 3</v>
      </c>
      <c r="M886" s="79" t="str">
        <f ca="1">IFERROR(__xludf.DUMMYFUNCTION("""COMPUTED_VALUE"""),"MUJERES ADULTAS")</f>
        <v>MUJERES ADULTAS</v>
      </c>
    </row>
    <row r="887" spans="1:13">
      <c r="A887" s="79" t="str">
        <f ca="1">IFERROR(__xludf.DUMMYFUNCTION("""COMPUTED_VALUE"""),"6.1.5.2")</f>
        <v>6.1.5.2</v>
      </c>
      <c r="B887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7" s="79" t="str">
        <f ca="1">IFERROR(__xludf.DUMMYFUNCTION("""COMPUTED_VALUE"""),"5. Inclusión")</f>
        <v>5. Inclusión</v>
      </c>
      <c r="D887" s="79" t="str">
        <f ca="1">IFERROR(__xludf.DUMMYFUNCTION("""COMPUTED_VALUE"""),"Guadalajara sin Barreras")</f>
        <v>Guadalajara sin Barreras</v>
      </c>
      <c r="E887" s="79" t="str">
        <f ca="1">IFERROR(__xludf.DUMMYFUNCTION("""COMPUTED_VALUE"""),"Atención Integral para Personas con Discapacidad")</f>
        <v>Atención Integral para Personas con Discapacidad</v>
      </c>
      <c r="F887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87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7" s="79" t="str">
        <f ca="1">IFERROR(__xludf.DUMMYFUNCTION("""COMPUTED_VALUE"""),"HOM Septiembre")</f>
        <v>HOM Septiembre</v>
      </c>
      <c r="I887" s="79" t="str">
        <f ca="1">IFERROR(__xludf.DUMMYFUNCTION("""COMPUTED_VALUE"""),"Septiembre")</f>
        <v>Septiembre</v>
      </c>
      <c r="J887" s="79" t="str">
        <f ca="1">IFERROR(__xludf.DUMMYFUNCTION("""COMPUTED_VALUE"""),"HOM")</f>
        <v>HOM</v>
      </c>
      <c r="K887" s="80">
        <f ca="1">IFERROR(__xludf.DUMMYFUNCTION("""COMPUTED_VALUE"""),15)</f>
        <v>15</v>
      </c>
      <c r="L887" s="79" t="str">
        <f ca="1">IFERROR(__xludf.DUMMYFUNCTION("""COMPUTED_VALUE"""),"TRIMESTRE 3")</f>
        <v>TRIMESTRE 3</v>
      </c>
      <c r="M887" s="79" t="str">
        <f ca="1">IFERROR(__xludf.DUMMYFUNCTION("""COMPUTED_VALUE"""),"HOMBRES ADULTOS")</f>
        <v>HOMBRES ADULTOS</v>
      </c>
    </row>
    <row r="888" spans="1:13">
      <c r="A888" s="79" t="str">
        <f ca="1">IFERROR(__xludf.DUMMYFUNCTION("""COMPUTED_VALUE"""),"6.1.5.2")</f>
        <v>6.1.5.2</v>
      </c>
      <c r="B888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8" s="79" t="str">
        <f ca="1">IFERROR(__xludf.DUMMYFUNCTION("""COMPUTED_VALUE"""),"5. Inclusión")</f>
        <v>5. Inclusión</v>
      </c>
      <c r="D888" s="79" t="str">
        <f ca="1">IFERROR(__xludf.DUMMYFUNCTION("""COMPUTED_VALUE"""),"Guadalajara sin Barreras")</f>
        <v>Guadalajara sin Barreras</v>
      </c>
      <c r="E888" s="79" t="str">
        <f ca="1">IFERROR(__xludf.DUMMYFUNCTION("""COMPUTED_VALUE"""),"Atención Integral para Personas con Discapacidad")</f>
        <v>Atención Integral para Personas con Discapacidad</v>
      </c>
      <c r="F888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88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8" s="79" t="str">
        <f ca="1">IFERROR(__xludf.DUMMYFUNCTION("""COMPUTED_VALUE"""),"AMM Septiembre")</f>
        <v>AMM Septiembre</v>
      </c>
      <c r="I888" s="79" t="str">
        <f ca="1">IFERROR(__xludf.DUMMYFUNCTION("""COMPUTED_VALUE"""),"Septiembre")</f>
        <v>Septiembre</v>
      </c>
      <c r="J888" s="79" t="str">
        <f ca="1">IFERROR(__xludf.DUMMYFUNCTION("""COMPUTED_VALUE"""),"AMM")</f>
        <v>AMM</v>
      </c>
      <c r="K888" s="80">
        <f ca="1">IFERROR(__xludf.DUMMYFUNCTION("""COMPUTED_VALUE"""),49)</f>
        <v>49</v>
      </c>
      <c r="L888" s="79" t="str">
        <f ca="1">IFERROR(__xludf.DUMMYFUNCTION("""COMPUTED_VALUE"""),"TRIMESTRE 3")</f>
        <v>TRIMESTRE 3</v>
      </c>
      <c r="M888" s="79" t="str">
        <f ca="1">IFERROR(__xludf.DUMMYFUNCTION("""COMPUTED_VALUE"""),"ADULTA MAYOR MUJER")</f>
        <v>ADULTA MAYOR MUJER</v>
      </c>
    </row>
    <row r="889" spans="1:13">
      <c r="A889" s="79" t="str">
        <f ca="1">IFERROR(__xludf.DUMMYFUNCTION("""COMPUTED_VALUE"""),"6.1.5.2")</f>
        <v>6.1.5.2</v>
      </c>
      <c r="B889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89" s="79" t="str">
        <f ca="1">IFERROR(__xludf.DUMMYFUNCTION("""COMPUTED_VALUE"""),"5. Inclusión")</f>
        <v>5. Inclusión</v>
      </c>
      <c r="D889" s="79" t="str">
        <f ca="1">IFERROR(__xludf.DUMMYFUNCTION("""COMPUTED_VALUE"""),"Guadalajara sin Barreras")</f>
        <v>Guadalajara sin Barreras</v>
      </c>
      <c r="E889" s="79" t="str">
        <f ca="1">IFERROR(__xludf.DUMMYFUNCTION("""COMPUTED_VALUE"""),"Atención Integral para Personas con Discapacidad")</f>
        <v>Atención Integral para Personas con Discapacidad</v>
      </c>
      <c r="F889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889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889" s="79" t="str">
        <f ca="1">IFERROR(__xludf.DUMMYFUNCTION("""COMPUTED_VALUE"""),"AMH Septiembre")</f>
        <v>AMH Septiembre</v>
      </c>
      <c r="I889" s="79" t="str">
        <f ca="1">IFERROR(__xludf.DUMMYFUNCTION("""COMPUTED_VALUE"""),"Septiembre")</f>
        <v>Septiembre</v>
      </c>
      <c r="J889" s="79" t="str">
        <f ca="1">IFERROR(__xludf.DUMMYFUNCTION("""COMPUTED_VALUE"""),"AMH")</f>
        <v>AMH</v>
      </c>
      <c r="K889" s="80">
        <f ca="1">IFERROR(__xludf.DUMMYFUNCTION("""COMPUTED_VALUE"""),17)</f>
        <v>17</v>
      </c>
      <c r="L889" s="79" t="str">
        <f ca="1">IFERROR(__xludf.DUMMYFUNCTION("""COMPUTED_VALUE"""),"TRIMESTRE 3")</f>
        <v>TRIMESTRE 3</v>
      </c>
      <c r="M889" s="79" t="str">
        <f ca="1">IFERROR(__xludf.DUMMYFUNCTION("""COMPUTED_VALUE"""),"ADULTO MAYOR HOMBRE")</f>
        <v>ADULTO MAYOR HOMBRE</v>
      </c>
    </row>
    <row r="890" spans="1:13">
      <c r="A890" s="79" t="str">
        <f ca="1">IFERROR(__xludf.DUMMYFUNCTION("""COMPUTED_VALUE"""),"6.1.5.0")</f>
        <v>6.1.5.0</v>
      </c>
      <c r="B890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0" s="79" t="str">
        <f ca="1">IFERROR(__xludf.DUMMYFUNCTION("""COMPUTED_VALUE"""),"5. Inclusión")</f>
        <v>5. Inclusión</v>
      </c>
      <c r="D890" s="79" t="str">
        <f ca="1">IFERROR(__xludf.DUMMYFUNCTION("""COMPUTED_VALUE"""),"Guadalajara sin Barreras")</f>
        <v>Guadalajara sin Barreras</v>
      </c>
      <c r="E890" s="79" t="str">
        <f ca="1">IFERROR(__xludf.DUMMYFUNCTION("""COMPUTED_VALUE"""),"Atención Integral para Personas con Discapacidad")</f>
        <v>Atención Integral para Personas con Discapacidad</v>
      </c>
      <c r="F890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0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0" s="79" t="str">
        <f ca="1">IFERROR(__xludf.DUMMYFUNCTION("""COMPUTED_VALUE"""),"NAS Octubre")</f>
        <v>NAS Octubre</v>
      </c>
      <c r="I890" s="79" t="str">
        <f ca="1">IFERROR(__xludf.DUMMYFUNCTION("""COMPUTED_VALUE"""),"Octubre")</f>
        <v>Octubre</v>
      </c>
      <c r="J890" s="79" t="str">
        <f ca="1">IFERROR(__xludf.DUMMYFUNCTION("""COMPUTED_VALUE"""),"NAS")</f>
        <v>NAS</v>
      </c>
      <c r="K890" s="80">
        <f ca="1">IFERROR(__xludf.DUMMYFUNCTION("""COMPUTED_VALUE"""),8)</f>
        <v>8</v>
      </c>
      <c r="L890" s="79" t="str">
        <f ca="1">IFERROR(__xludf.DUMMYFUNCTION("""COMPUTED_VALUE"""),"TRIMESTRE 4")</f>
        <v>TRIMESTRE 4</v>
      </c>
      <c r="M890" s="79" t="str">
        <f ca="1">IFERROR(__xludf.DUMMYFUNCTION("""COMPUTED_VALUE"""),"NIÑAS")</f>
        <v>NIÑAS</v>
      </c>
    </row>
    <row r="891" spans="1:13">
      <c r="A891" s="79" t="str">
        <f ca="1">IFERROR(__xludf.DUMMYFUNCTION("""COMPUTED_VALUE"""),"6.1.5.0")</f>
        <v>6.1.5.0</v>
      </c>
      <c r="B891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1" s="79" t="str">
        <f ca="1">IFERROR(__xludf.DUMMYFUNCTION("""COMPUTED_VALUE"""),"5. Inclusión")</f>
        <v>5. Inclusión</v>
      </c>
      <c r="D891" s="79" t="str">
        <f ca="1">IFERROR(__xludf.DUMMYFUNCTION("""COMPUTED_VALUE"""),"Guadalajara sin Barreras")</f>
        <v>Guadalajara sin Barreras</v>
      </c>
      <c r="E891" s="79" t="str">
        <f ca="1">IFERROR(__xludf.DUMMYFUNCTION("""COMPUTED_VALUE"""),"Atención Integral para Personas con Discapacidad")</f>
        <v>Atención Integral para Personas con Discapacidad</v>
      </c>
      <c r="F891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1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1" s="79" t="str">
        <f ca="1">IFERROR(__xludf.DUMMYFUNCTION("""COMPUTED_VALUE"""),"NOS Octubre")</f>
        <v>NOS Octubre</v>
      </c>
      <c r="I891" s="79" t="str">
        <f ca="1">IFERROR(__xludf.DUMMYFUNCTION("""COMPUTED_VALUE"""),"Octubre")</f>
        <v>Octubre</v>
      </c>
      <c r="J891" s="79" t="str">
        <f ca="1">IFERROR(__xludf.DUMMYFUNCTION("""COMPUTED_VALUE"""),"NOS")</f>
        <v>NOS</v>
      </c>
      <c r="K891" s="80">
        <f ca="1">IFERROR(__xludf.DUMMYFUNCTION("""COMPUTED_VALUE"""),32)</f>
        <v>32</v>
      </c>
      <c r="L891" s="79" t="str">
        <f ca="1">IFERROR(__xludf.DUMMYFUNCTION("""COMPUTED_VALUE"""),"TRIMESTRE 4")</f>
        <v>TRIMESTRE 4</v>
      </c>
      <c r="M891" s="79" t="str">
        <f ca="1">IFERROR(__xludf.DUMMYFUNCTION("""COMPUTED_VALUE"""),"NIÑOS")</f>
        <v>NIÑOS</v>
      </c>
    </row>
    <row r="892" spans="1:13">
      <c r="A892" s="79" t="str">
        <f ca="1">IFERROR(__xludf.DUMMYFUNCTION("""COMPUTED_VALUE"""),"6.1.5.0")</f>
        <v>6.1.5.0</v>
      </c>
      <c r="B892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2" s="79" t="str">
        <f ca="1">IFERROR(__xludf.DUMMYFUNCTION("""COMPUTED_VALUE"""),"5. Inclusión")</f>
        <v>5. Inclusión</v>
      </c>
      <c r="D892" s="79" t="str">
        <f ca="1">IFERROR(__xludf.DUMMYFUNCTION("""COMPUTED_VALUE"""),"Guadalajara sin Barreras")</f>
        <v>Guadalajara sin Barreras</v>
      </c>
      <c r="E892" s="79" t="str">
        <f ca="1">IFERROR(__xludf.DUMMYFUNCTION("""COMPUTED_VALUE"""),"Atención Integral para Personas con Discapacidad")</f>
        <v>Atención Integral para Personas con Discapacidad</v>
      </c>
      <c r="F892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2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2" s="79" t="str">
        <f ca="1">IFERROR(__xludf.DUMMYFUNCTION("""COMPUTED_VALUE"""),"AM OCTUBRE")</f>
        <v>AM OCTUBRE</v>
      </c>
      <c r="I892" s="79" t="str">
        <f ca="1">IFERROR(__xludf.DUMMYFUNCTION("""COMPUTED_VALUE"""),"Octubre")</f>
        <v>Octubre</v>
      </c>
      <c r="J892" s="79" t="str">
        <f ca="1">IFERROR(__xludf.DUMMYFUNCTION("""COMPUTED_VALUE"""),"AM")</f>
        <v>AM</v>
      </c>
      <c r="K892" s="80">
        <f ca="1">IFERROR(__xludf.DUMMYFUNCTION("""COMPUTED_VALUE"""),2)</f>
        <v>2</v>
      </c>
      <c r="L892" s="79" t="str">
        <f ca="1">IFERROR(__xludf.DUMMYFUNCTION("""COMPUTED_VALUE"""),"TRIMESTRE 4")</f>
        <v>TRIMESTRE 4</v>
      </c>
      <c r="M892" s="79" t="str">
        <f ca="1">IFERROR(__xludf.DUMMYFUNCTION("""COMPUTED_VALUE"""),"ADOLESCENTES MUJERES")</f>
        <v>ADOLESCENTES MUJERES</v>
      </c>
    </row>
    <row r="893" spans="1:13">
      <c r="A893" s="79" t="str">
        <f ca="1">IFERROR(__xludf.DUMMYFUNCTION("""COMPUTED_VALUE"""),"6.1.5.0")</f>
        <v>6.1.5.0</v>
      </c>
      <c r="B893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3" s="79" t="str">
        <f ca="1">IFERROR(__xludf.DUMMYFUNCTION("""COMPUTED_VALUE"""),"5. Inclusión")</f>
        <v>5. Inclusión</v>
      </c>
      <c r="D893" s="79" t="str">
        <f ca="1">IFERROR(__xludf.DUMMYFUNCTION("""COMPUTED_VALUE"""),"Guadalajara sin Barreras")</f>
        <v>Guadalajara sin Barreras</v>
      </c>
      <c r="E893" s="79" t="str">
        <f ca="1">IFERROR(__xludf.DUMMYFUNCTION("""COMPUTED_VALUE"""),"Atención Integral para Personas con Discapacidad")</f>
        <v>Atención Integral para Personas con Discapacidad</v>
      </c>
      <c r="F893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3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3" s="79" t="str">
        <f ca="1">IFERROR(__xludf.DUMMYFUNCTION("""COMPUTED_VALUE"""),"AH OCTUBRE")</f>
        <v>AH OCTUBRE</v>
      </c>
      <c r="I893" s="79" t="str">
        <f ca="1">IFERROR(__xludf.DUMMYFUNCTION("""COMPUTED_VALUE"""),"Octubre")</f>
        <v>Octubre</v>
      </c>
      <c r="J893" s="79" t="str">
        <f ca="1">IFERROR(__xludf.DUMMYFUNCTION("""COMPUTED_VALUE"""),"AH")</f>
        <v>AH</v>
      </c>
      <c r="K893" s="80">
        <f ca="1">IFERROR(__xludf.DUMMYFUNCTION("""COMPUTED_VALUE"""),10)</f>
        <v>10</v>
      </c>
      <c r="L893" s="79" t="str">
        <f ca="1">IFERROR(__xludf.DUMMYFUNCTION("""COMPUTED_VALUE"""),"TRIMESTRE 4")</f>
        <v>TRIMESTRE 4</v>
      </c>
      <c r="M893" s="79" t="str">
        <f ca="1">IFERROR(__xludf.DUMMYFUNCTION("""COMPUTED_VALUE"""),"ADOLESCENTES HOMBRES")</f>
        <v>ADOLESCENTES HOMBRES</v>
      </c>
    </row>
    <row r="894" spans="1:13">
      <c r="A894" s="79" t="str">
        <f ca="1">IFERROR(__xludf.DUMMYFUNCTION("""COMPUTED_VALUE"""),"6.1.5.0")</f>
        <v>6.1.5.0</v>
      </c>
      <c r="B894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4" s="79" t="str">
        <f ca="1">IFERROR(__xludf.DUMMYFUNCTION("""COMPUTED_VALUE"""),"5. Inclusión")</f>
        <v>5. Inclusión</v>
      </c>
      <c r="D894" s="79" t="str">
        <f ca="1">IFERROR(__xludf.DUMMYFUNCTION("""COMPUTED_VALUE"""),"Guadalajara sin Barreras")</f>
        <v>Guadalajara sin Barreras</v>
      </c>
      <c r="E894" s="79" t="str">
        <f ca="1">IFERROR(__xludf.DUMMYFUNCTION("""COMPUTED_VALUE"""),"Atención Integral para Personas con Discapacidad")</f>
        <v>Atención Integral para Personas con Discapacidad</v>
      </c>
      <c r="F894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4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4" s="79" t="str">
        <f ca="1">IFERROR(__xludf.DUMMYFUNCTION("""COMPUTED_VALUE"""),"MUJ Octubre")</f>
        <v>MUJ Octubre</v>
      </c>
      <c r="I894" s="79" t="str">
        <f ca="1">IFERROR(__xludf.DUMMYFUNCTION("""COMPUTED_VALUE"""),"Octubre")</f>
        <v>Octubre</v>
      </c>
      <c r="J894" s="79" t="str">
        <f ca="1">IFERROR(__xludf.DUMMYFUNCTION("""COMPUTED_VALUE"""),"MUJ")</f>
        <v>MUJ</v>
      </c>
      <c r="K894" s="80">
        <f ca="1">IFERROR(__xludf.DUMMYFUNCTION("""COMPUTED_VALUE"""),137)</f>
        <v>137</v>
      </c>
      <c r="L894" s="79" t="str">
        <f ca="1">IFERROR(__xludf.DUMMYFUNCTION("""COMPUTED_VALUE"""),"TRIMESTRE 4")</f>
        <v>TRIMESTRE 4</v>
      </c>
      <c r="M894" s="79" t="str">
        <f ca="1">IFERROR(__xludf.DUMMYFUNCTION("""COMPUTED_VALUE"""),"MUJERES ADULTAS")</f>
        <v>MUJERES ADULTAS</v>
      </c>
    </row>
    <row r="895" spans="1:13">
      <c r="A895" s="79" t="str">
        <f ca="1">IFERROR(__xludf.DUMMYFUNCTION("""COMPUTED_VALUE"""),"6.1.5.0")</f>
        <v>6.1.5.0</v>
      </c>
      <c r="B895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5" s="79" t="str">
        <f ca="1">IFERROR(__xludf.DUMMYFUNCTION("""COMPUTED_VALUE"""),"5. Inclusión")</f>
        <v>5. Inclusión</v>
      </c>
      <c r="D895" s="79" t="str">
        <f ca="1">IFERROR(__xludf.DUMMYFUNCTION("""COMPUTED_VALUE"""),"Guadalajara sin Barreras")</f>
        <v>Guadalajara sin Barreras</v>
      </c>
      <c r="E895" s="79" t="str">
        <f ca="1">IFERROR(__xludf.DUMMYFUNCTION("""COMPUTED_VALUE"""),"Atención Integral para Personas con Discapacidad")</f>
        <v>Atención Integral para Personas con Discapacidad</v>
      </c>
      <c r="F895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5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5" s="79" t="str">
        <f ca="1">IFERROR(__xludf.DUMMYFUNCTION("""COMPUTED_VALUE"""),"HOM Octubre")</f>
        <v>HOM Octubre</v>
      </c>
      <c r="I895" s="79" t="str">
        <f ca="1">IFERROR(__xludf.DUMMYFUNCTION("""COMPUTED_VALUE"""),"Octubre")</f>
        <v>Octubre</v>
      </c>
      <c r="J895" s="79" t="str">
        <f ca="1">IFERROR(__xludf.DUMMYFUNCTION("""COMPUTED_VALUE"""),"HOM")</f>
        <v>HOM</v>
      </c>
      <c r="K895" s="80">
        <f ca="1">IFERROR(__xludf.DUMMYFUNCTION("""COMPUTED_VALUE"""),100)</f>
        <v>100</v>
      </c>
      <c r="L895" s="79" t="str">
        <f ca="1">IFERROR(__xludf.DUMMYFUNCTION("""COMPUTED_VALUE"""),"TRIMESTRE 4")</f>
        <v>TRIMESTRE 4</v>
      </c>
      <c r="M895" s="79" t="str">
        <f ca="1">IFERROR(__xludf.DUMMYFUNCTION("""COMPUTED_VALUE"""),"HOMBRES ADULTOS")</f>
        <v>HOMBRES ADULTOS</v>
      </c>
    </row>
    <row r="896" spans="1:13">
      <c r="A896" s="79" t="str">
        <f ca="1">IFERROR(__xludf.DUMMYFUNCTION("""COMPUTED_VALUE"""),"6.1.5.0")</f>
        <v>6.1.5.0</v>
      </c>
      <c r="B896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6" s="79" t="str">
        <f ca="1">IFERROR(__xludf.DUMMYFUNCTION("""COMPUTED_VALUE"""),"5. Inclusión")</f>
        <v>5. Inclusión</v>
      </c>
      <c r="D896" s="79" t="str">
        <f ca="1">IFERROR(__xludf.DUMMYFUNCTION("""COMPUTED_VALUE"""),"Guadalajara sin Barreras")</f>
        <v>Guadalajara sin Barreras</v>
      </c>
      <c r="E896" s="79" t="str">
        <f ca="1">IFERROR(__xludf.DUMMYFUNCTION("""COMPUTED_VALUE"""),"Atención Integral para Personas con Discapacidad")</f>
        <v>Atención Integral para Personas con Discapacidad</v>
      </c>
      <c r="F896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6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6" s="79" t="str">
        <f ca="1">IFERROR(__xludf.DUMMYFUNCTION("""COMPUTED_VALUE"""),"AMM Octubre")</f>
        <v>AMM Octubre</v>
      </c>
      <c r="I896" s="79" t="str">
        <f ca="1">IFERROR(__xludf.DUMMYFUNCTION("""COMPUTED_VALUE"""),"Octubre")</f>
        <v>Octubre</v>
      </c>
      <c r="J896" s="79" t="str">
        <f ca="1">IFERROR(__xludf.DUMMYFUNCTION("""COMPUTED_VALUE"""),"AMM")</f>
        <v>AMM</v>
      </c>
      <c r="K896" s="80">
        <f ca="1">IFERROR(__xludf.DUMMYFUNCTION("""COMPUTED_VALUE"""),384)</f>
        <v>384</v>
      </c>
      <c r="L896" s="79" t="str">
        <f ca="1">IFERROR(__xludf.DUMMYFUNCTION("""COMPUTED_VALUE"""),"TRIMESTRE 4")</f>
        <v>TRIMESTRE 4</v>
      </c>
      <c r="M896" s="79" t="str">
        <f ca="1">IFERROR(__xludf.DUMMYFUNCTION("""COMPUTED_VALUE"""),"ADULTA MAYOR MUJER")</f>
        <v>ADULTA MAYOR MUJER</v>
      </c>
    </row>
    <row r="897" spans="1:13">
      <c r="A897" s="79" t="str">
        <f ca="1">IFERROR(__xludf.DUMMYFUNCTION("""COMPUTED_VALUE"""),"6.1.5.0")</f>
        <v>6.1.5.0</v>
      </c>
      <c r="B897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897" s="79" t="str">
        <f ca="1">IFERROR(__xludf.DUMMYFUNCTION("""COMPUTED_VALUE"""),"5. Inclusión")</f>
        <v>5. Inclusión</v>
      </c>
      <c r="D897" s="79" t="str">
        <f ca="1">IFERROR(__xludf.DUMMYFUNCTION("""COMPUTED_VALUE"""),"Guadalajara sin Barreras")</f>
        <v>Guadalajara sin Barreras</v>
      </c>
      <c r="E897" s="79" t="str">
        <f ca="1">IFERROR(__xludf.DUMMYFUNCTION("""COMPUTED_VALUE"""),"Atención Integral para Personas con Discapacidad")</f>
        <v>Atención Integral para Personas con Discapacidad</v>
      </c>
      <c r="F897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897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897" s="79" t="str">
        <f ca="1">IFERROR(__xludf.DUMMYFUNCTION("""COMPUTED_VALUE"""),"AMH Octubre")</f>
        <v>AMH Octubre</v>
      </c>
      <c r="I897" s="79" t="str">
        <f ca="1">IFERROR(__xludf.DUMMYFUNCTION("""COMPUTED_VALUE"""),"Octubre")</f>
        <v>Octubre</v>
      </c>
      <c r="J897" s="79" t="str">
        <f ca="1">IFERROR(__xludf.DUMMYFUNCTION("""COMPUTED_VALUE"""),"AMH")</f>
        <v>AMH</v>
      </c>
      <c r="K897" s="80">
        <f ca="1">IFERROR(__xludf.DUMMYFUNCTION("""COMPUTED_VALUE"""),98)</f>
        <v>98</v>
      </c>
      <c r="L897" s="79" t="str">
        <f ca="1">IFERROR(__xludf.DUMMYFUNCTION("""COMPUTED_VALUE"""),"TRIMESTRE 4")</f>
        <v>TRIMESTRE 4</v>
      </c>
      <c r="M897" s="79" t="str">
        <f ca="1">IFERROR(__xludf.DUMMYFUNCTION("""COMPUTED_VALUE"""),"ADULTO MAYOR HOMBRE")</f>
        <v>ADULTO MAYOR HOMBRE</v>
      </c>
    </row>
    <row r="898" spans="1:13">
      <c r="A898" s="79" t="str">
        <f ca="1">IFERROR(__xludf.DUMMYFUNCTION("""COMPUTED_VALUE"""),"6.1.5.1")</f>
        <v>6.1.5.1</v>
      </c>
      <c r="B898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98" s="79" t="str">
        <f ca="1">IFERROR(__xludf.DUMMYFUNCTION("""COMPUTED_VALUE"""),"5. Inclusión")</f>
        <v>5. Inclusión</v>
      </c>
      <c r="D898" s="79" t="str">
        <f ca="1">IFERROR(__xludf.DUMMYFUNCTION("""COMPUTED_VALUE"""),"Guadalajara sin Barreras")</f>
        <v>Guadalajara sin Barreras</v>
      </c>
      <c r="E898" s="79" t="str">
        <f ca="1">IFERROR(__xludf.DUMMYFUNCTION("""COMPUTED_VALUE"""),"Atención Integral para Personas con Discapacidad")</f>
        <v>Atención Integral para Personas con Discapacidad</v>
      </c>
      <c r="F898" s="79" t="str">
        <f ca="1">IFERROR(__xludf.DUMMYFUNCTION("""COMPUTED_VALUE"""),"A1C5. Sesiones de terapia física brindadas en el Centro CAIPED en 2024")</f>
        <v>A1C5. Sesiones de terapia física brindadas en el Centro CAIPED en 2024</v>
      </c>
      <c r="G898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98" s="79" t="str">
        <f ca="1">IFERROR(__xludf.DUMMYFUNCTION("""COMPUTED_VALUE"""),"NAS Octubre")</f>
        <v>NAS Octubre</v>
      </c>
      <c r="I898" s="79" t="str">
        <f ca="1">IFERROR(__xludf.DUMMYFUNCTION("""COMPUTED_VALUE"""),"Octubre")</f>
        <v>Octubre</v>
      </c>
      <c r="J898" s="79" t="str">
        <f ca="1">IFERROR(__xludf.DUMMYFUNCTION("""COMPUTED_VALUE"""),"NAS")</f>
        <v>NAS</v>
      </c>
      <c r="K898" s="80">
        <f ca="1">IFERROR(__xludf.DUMMYFUNCTION("""COMPUTED_VALUE"""),5)</f>
        <v>5</v>
      </c>
      <c r="L898" s="79" t="str">
        <f ca="1">IFERROR(__xludf.DUMMYFUNCTION("""COMPUTED_VALUE"""),"TRIMESTRE 4")</f>
        <v>TRIMESTRE 4</v>
      </c>
      <c r="M898" s="79" t="str">
        <f ca="1">IFERROR(__xludf.DUMMYFUNCTION("""COMPUTED_VALUE"""),"NIÑAS")</f>
        <v>NIÑAS</v>
      </c>
    </row>
    <row r="899" spans="1:13">
      <c r="A899" s="79" t="str">
        <f ca="1">IFERROR(__xludf.DUMMYFUNCTION("""COMPUTED_VALUE"""),"6.1.5.1")</f>
        <v>6.1.5.1</v>
      </c>
      <c r="B899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899" s="79" t="str">
        <f ca="1">IFERROR(__xludf.DUMMYFUNCTION("""COMPUTED_VALUE"""),"5. Inclusión")</f>
        <v>5. Inclusión</v>
      </c>
      <c r="D899" s="79" t="str">
        <f ca="1">IFERROR(__xludf.DUMMYFUNCTION("""COMPUTED_VALUE"""),"Guadalajara sin Barreras")</f>
        <v>Guadalajara sin Barreras</v>
      </c>
      <c r="E899" s="79" t="str">
        <f ca="1">IFERROR(__xludf.DUMMYFUNCTION("""COMPUTED_VALUE"""),"Atención Integral para Personas con Discapacidad")</f>
        <v>Atención Integral para Personas con Discapacidad</v>
      </c>
      <c r="F899" s="79" t="str">
        <f ca="1">IFERROR(__xludf.DUMMYFUNCTION("""COMPUTED_VALUE"""),"A1C5. Sesiones de terapia física brindadas en el Centro CAIPED en 2024")</f>
        <v>A1C5. Sesiones de terapia física brindadas en el Centro CAIPED en 2024</v>
      </c>
      <c r="G899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899" s="79" t="str">
        <f ca="1">IFERROR(__xludf.DUMMYFUNCTION("""COMPUTED_VALUE"""),"NOS Octubre")</f>
        <v>NOS Octubre</v>
      </c>
      <c r="I899" s="79" t="str">
        <f ca="1">IFERROR(__xludf.DUMMYFUNCTION("""COMPUTED_VALUE"""),"Octubre")</f>
        <v>Octubre</v>
      </c>
      <c r="J899" s="79" t="str">
        <f ca="1">IFERROR(__xludf.DUMMYFUNCTION("""COMPUTED_VALUE"""),"NOS")</f>
        <v>NOS</v>
      </c>
      <c r="K899" s="80">
        <f ca="1">IFERROR(__xludf.DUMMYFUNCTION("""COMPUTED_VALUE"""),21)</f>
        <v>21</v>
      </c>
      <c r="L899" s="79" t="str">
        <f ca="1">IFERROR(__xludf.DUMMYFUNCTION("""COMPUTED_VALUE"""),"TRIMESTRE 4")</f>
        <v>TRIMESTRE 4</v>
      </c>
      <c r="M899" s="79" t="str">
        <f ca="1">IFERROR(__xludf.DUMMYFUNCTION("""COMPUTED_VALUE"""),"NIÑOS")</f>
        <v>NIÑOS</v>
      </c>
    </row>
    <row r="900" spans="1:13">
      <c r="A900" s="79" t="str">
        <f ca="1">IFERROR(__xludf.DUMMYFUNCTION("""COMPUTED_VALUE"""),"6.1.5.1")</f>
        <v>6.1.5.1</v>
      </c>
      <c r="B900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0" s="79" t="str">
        <f ca="1">IFERROR(__xludf.DUMMYFUNCTION("""COMPUTED_VALUE"""),"5. Inclusión")</f>
        <v>5. Inclusión</v>
      </c>
      <c r="D900" s="79" t="str">
        <f ca="1">IFERROR(__xludf.DUMMYFUNCTION("""COMPUTED_VALUE"""),"Guadalajara sin Barreras")</f>
        <v>Guadalajara sin Barreras</v>
      </c>
      <c r="E900" s="79" t="str">
        <f ca="1">IFERROR(__xludf.DUMMYFUNCTION("""COMPUTED_VALUE"""),"Atención Integral para Personas con Discapacidad")</f>
        <v>Atención Integral para Personas con Discapacidad</v>
      </c>
      <c r="F900" s="79" t="str">
        <f ca="1">IFERROR(__xludf.DUMMYFUNCTION("""COMPUTED_VALUE"""),"A1C5. Sesiones de terapia física brindadas en el Centro CAIPED en 2024")</f>
        <v>A1C5. Sesiones de terapia física brindadas en el Centro CAIPED en 2024</v>
      </c>
      <c r="G900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00" s="79" t="str">
        <f ca="1">IFERROR(__xludf.DUMMYFUNCTION("""COMPUTED_VALUE"""),"AM OCTUBRE")</f>
        <v>AM OCTUBRE</v>
      </c>
      <c r="I900" s="79" t="str">
        <f ca="1">IFERROR(__xludf.DUMMYFUNCTION("""COMPUTED_VALUE"""),"Octubre")</f>
        <v>Octubre</v>
      </c>
      <c r="J900" s="79" t="str">
        <f ca="1">IFERROR(__xludf.DUMMYFUNCTION("""COMPUTED_VALUE"""),"AM")</f>
        <v>AM</v>
      </c>
      <c r="K900" s="80">
        <f ca="1">IFERROR(__xludf.DUMMYFUNCTION("""COMPUTED_VALUE"""),1)</f>
        <v>1</v>
      </c>
      <c r="L900" s="79" t="str">
        <f ca="1">IFERROR(__xludf.DUMMYFUNCTION("""COMPUTED_VALUE"""),"TRIMESTRE 4")</f>
        <v>TRIMESTRE 4</v>
      </c>
      <c r="M900" s="79" t="str">
        <f ca="1">IFERROR(__xludf.DUMMYFUNCTION("""COMPUTED_VALUE"""),"ADOLESCENTES MUJERES")</f>
        <v>ADOLESCENTES MUJERES</v>
      </c>
    </row>
    <row r="901" spans="1:13">
      <c r="A901" s="79" t="str">
        <f ca="1">IFERROR(__xludf.DUMMYFUNCTION("""COMPUTED_VALUE"""),"6.1.5.1")</f>
        <v>6.1.5.1</v>
      </c>
      <c r="B901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1" s="79" t="str">
        <f ca="1">IFERROR(__xludf.DUMMYFUNCTION("""COMPUTED_VALUE"""),"5. Inclusión")</f>
        <v>5. Inclusión</v>
      </c>
      <c r="D901" s="79" t="str">
        <f ca="1">IFERROR(__xludf.DUMMYFUNCTION("""COMPUTED_VALUE"""),"Guadalajara sin Barreras")</f>
        <v>Guadalajara sin Barreras</v>
      </c>
      <c r="E901" s="79" t="str">
        <f ca="1">IFERROR(__xludf.DUMMYFUNCTION("""COMPUTED_VALUE"""),"Atención Integral para Personas con Discapacidad")</f>
        <v>Atención Integral para Personas con Discapacidad</v>
      </c>
      <c r="F901" s="79" t="str">
        <f ca="1">IFERROR(__xludf.DUMMYFUNCTION("""COMPUTED_VALUE"""),"A1C5. Sesiones de terapia física brindadas en el Centro CAIPED en 2024")</f>
        <v>A1C5. Sesiones de terapia física brindadas en el Centro CAIPED en 2024</v>
      </c>
      <c r="G901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01" s="79" t="str">
        <f ca="1">IFERROR(__xludf.DUMMYFUNCTION("""COMPUTED_VALUE"""),"AH OCTUBRE")</f>
        <v>AH OCTUBRE</v>
      </c>
      <c r="I901" s="79" t="str">
        <f ca="1">IFERROR(__xludf.DUMMYFUNCTION("""COMPUTED_VALUE"""),"Octubre")</f>
        <v>Octubre</v>
      </c>
      <c r="J901" s="79" t="str">
        <f ca="1">IFERROR(__xludf.DUMMYFUNCTION("""COMPUTED_VALUE"""),"AH")</f>
        <v>AH</v>
      </c>
      <c r="K901" s="80">
        <f ca="1">IFERROR(__xludf.DUMMYFUNCTION("""COMPUTED_VALUE"""),6)</f>
        <v>6</v>
      </c>
      <c r="L901" s="79" t="str">
        <f ca="1">IFERROR(__xludf.DUMMYFUNCTION("""COMPUTED_VALUE"""),"TRIMESTRE 4")</f>
        <v>TRIMESTRE 4</v>
      </c>
      <c r="M901" s="79" t="str">
        <f ca="1">IFERROR(__xludf.DUMMYFUNCTION("""COMPUTED_VALUE"""),"ADOLESCENTES HOMBRES")</f>
        <v>ADOLESCENTES HOMBRES</v>
      </c>
    </row>
    <row r="902" spans="1:13">
      <c r="A902" s="79" t="str">
        <f ca="1">IFERROR(__xludf.DUMMYFUNCTION("""COMPUTED_VALUE"""),"6.1.5.1")</f>
        <v>6.1.5.1</v>
      </c>
      <c r="B902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2" s="79" t="str">
        <f ca="1">IFERROR(__xludf.DUMMYFUNCTION("""COMPUTED_VALUE"""),"5. Inclusión")</f>
        <v>5. Inclusión</v>
      </c>
      <c r="D902" s="79" t="str">
        <f ca="1">IFERROR(__xludf.DUMMYFUNCTION("""COMPUTED_VALUE"""),"Guadalajara sin Barreras")</f>
        <v>Guadalajara sin Barreras</v>
      </c>
      <c r="E902" s="79" t="str">
        <f ca="1">IFERROR(__xludf.DUMMYFUNCTION("""COMPUTED_VALUE"""),"Atención Integral para Personas con Discapacidad")</f>
        <v>Atención Integral para Personas con Discapacidad</v>
      </c>
      <c r="F902" s="79" t="str">
        <f ca="1">IFERROR(__xludf.DUMMYFUNCTION("""COMPUTED_VALUE"""),"A1C5. Sesiones de terapia física brindadas en el Centro CAIPED en 2024")</f>
        <v>A1C5. Sesiones de terapia física brindadas en el Centro CAIPED en 2024</v>
      </c>
      <c r="G902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02" s="79" t="str">
        <f ca="1">IFERROR(__xludf.DUMMYFUNCTION("""COMPUTED_VALUE"""),"MUJ Octubre")</f>
        <v>MUJ Octubre</v>
      </c>
      <c r="I902" s="79" t="str">
        <f ca="1">IFERROR(__xludf.DUMMYFUNCTION("""COMPUTED_VALUE"""),"Octubre")</f>
        <v>Octubre</v>
      </c>
      <c r="J902" s="79" t="str">
        <f ca="1">IFERROR(__xludf.DUMMYFUNCTION("""COMPUTED_VALUE"""),"MUJ")</f>
        <v>MUJ</v>
      </c>
      <c r="K902" s="80">
        <f ca="1">IFERROR(__xludf.DUMMYFUNCTION("""COMPUTED_VALUE"""),99)</f>
        <v>99</v>
      </c>
      <c r="L902" s="79" t="str">
        <f ca="1">IFERROR(__xludf.DUMMYFUNCTION("""COMPUTED_VALUE"""),"TRIMESTRE 4")</f>
        <v>TRIMESTRE 4</v>
      </c>
      <c r="M902" s="79" t="str">
        <f ca="1">IFERROR(__xludf.DUMMYFUNCTION("""COMPUTED_VALUE"""),"MUJERES ADULTAS")</f>
        <v>MUJERES ADULTAS</v>
      </c>
    </row>
    <row r="903" spans="1:13">
      <c r="A903" s="79" t="str">
        <f ca="1">IFERROR(__xludf.DUMMYFUNCTION("""COMPUTED_VALUE"""),"6.1.5.1")</f>
        <v>6.1.5.1</v>
      </c>
      <c r="B903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3" s="79" t="str">
        <f ca="1">IFERROR(__xludf.DUMMYFUNCTION("""COMPUTED_VALUE"""),"5. Inclusión")</f>
        <v>5. Inclusión</v>
      </c>
      <c r="D903" s="79" t="str">
        <f ca="1">IFERROR(__xludf.DUMMYFUNCTION("""COMPUTED_VALUE"""),"Guadalajara sin Barreras")</f>
        <v>Guadalajara sin Barreras</v>
      </c>
      <c r="E903" s="79" t="str">
        <f ca="1">IFERROR(__xludf.DUMMYFUNCTION("""COMPUTED_VALUE"""),"Atención Integral para Personas con Discapacidad")</f>
        <v>Atención Integral para Personas con Discapacidad</v>
      </c>
      <c r="F903" s="79" t="str">
        <f ca="1">IFERROR(__xludf.DUMMYFUNCTION("""COMPUTED_VALUE"""),"A1C5. Sesiones de terapia física brindadas en el Centro CAIPED en 2024")</f>
        <v>A1C5. Sesiones de terapia física brindadas en el Centro CAIPED en 2024</v>
      </c>
      <c r="G903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03" s="79" t="str">
        <f ca="1">IFERROR(__xludf.DUMMYFUNCTION("""COMPUTED_VALUE"""),"HOM Octubre")</f>
        <v>HOM Octubre</v>
      </c>
      <c r="I903" s="79" t="str">
        <f ca="1">IFERROR(__xludf.DUMMYFUNCTION("""COMPUTED_VALUE"""),"Octubre")</f>
        <v>Octubre</v>
      </c>
      <c r="J903" s="79" t="str">
        <f ca="1">IFERROR(__xludf.DUMMYFUNCTION("""COMPUTED_VALUE"""),"HOM")</f>
        <v>HOM</v>
      </c>
      <c r="K903" s="80">
        <f ca="1">IFERROR(__xludf.DUMMYFUNCTION("""COMPUTED_VALUE"""),66)</f>
        <v>66</v>
      </c>
      <c r="L903" s="79" t="str">
        <f ca="1">IFERROR(__xludf.DUMMYFUNCTION("""COMPUTED_VALUE"""),"TRIMESTRE 4")</f>
        <v>TRIMESTRE 4</v>
      </c>
      <c r="M903" s="79" t="str">
        <f ca="1">IFERROR(__xludf.DUMMYFUNCTION("""COMPUTED_VALUE"""),"HOMBRES ADULTOS")</f>
        <v>HOMBRES ADULTOS</v>
      </c>
    </row>
    <row r="904" spans="1:13">
      <c r="A904" s="79" t="str">
        <f ca="1">IFERROR(__xludf.DUMMYFUNCTION("""COMPUTED_VALUE"""),"6.1.5.1")</f>
        <v>6.1.5.1</v>
      </c>
      <c r="B904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4" s="79" t="str">
        <f ca="1">IFERROR(__xludf.DUMMYFUNCTION("""COMPUTED_VALUE"""),"5. Inclusión")</f>
        <v>5. Inclusión</v>
      </c>
      <c r="D904" s="79" t="str">
        <f ca="1">IFERROR(__xludf.DUMMYFUNCTION("""COMPUTED_VALUE"""),"Guadalajara sin Barreras")</f>
        <v>Guadalajara sin Barreras</v>
      </c>
      <c r="E904" s="79" t="str">
        <f ca="1">IFERROR(__xludf.DUMMYFUNCTION("""COMPUTED_VALUE"""),"Atención Integral para Personas con Discapacidad")</f>
        <v>Atención Integral para Personas con Discapacidad</v>
      </c>
      <c r="F904" s="79" t="str">
        <f ca="1">IFERROR(__xludf.DUMMYFUNCTION("""COMPUTED_VALUE"""),"A1C5. Sesiones de terapia física brindadas en el Centro CAIPED en 2024")</f>
        <v>A1C5. Sesiones de terapia física brindadas en el Centro CAIPED en 2024</v>
      </c>
      <c r="G904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04" s="79" t="str">
        <f ca="1">IFERROR(__xludf.DUMMYFUNCTION("""COMPUTED_VALUE"""),"AMM Octubre")</f>
        <v>AMM Octubre</v>
      </c>
      <c r="I904" s="79" t="str">
        <f ca="1">IFERROR(__xludf.DUMMYFUNCTION("""COMPUTED_VALUE"""),"Octubre")</f>
        <v>Octubre</v>
      </c>
      <c r="J904" s="79" t="str">
        <f ca="1">IFERROR(__xludf.DUMMYFUNCTION("""COMPUTED_VALUE"""),"AMM")</f>
        <v>AMM</v>
      </c>
      <c r="K904" s="80">
        <f ca="1">IFERROR(__xludf.DUMMYFUNCTION("""COMPUTED_VALUE"""),301)</f>
        <v>301</v>
      </c>
      <c r="L904" s="79" t="str">
        <f ca="1">IFERROR(__xludf.DUMMYFUNCTION("""COMPUTED_VALUE"""),"TRIMESTRE 4")</f>
        <v>TRIMESTRE 4</v>
      </c>
      <c r="M904" s="79" t="str">
        <f ca="1">IFERROR(__xludf.DUMMYFUNCTION("""COMPUTED_VALUE"""),"ADULTA MAYOR MUJER")</f>
        <v>ADULTA MAYOR MUJER</v>
      </c>
    </row>
    <row r="905" spans="1:13">
      <c r="A905" s="79" t="str">
        <f ca="1">IFERROR(__xludf.DUMMYFUNCTION("""COMPUTED_VALUE"""),"6.1.5.1")</f>
        <v>6.1.5.1</v>
      </c>
      <c r="B905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5" s="79" t="str">
        <f ca="1">IFERROR(__xludf.DUMMYFUNCTION("""COMPUTED_VALUE"""),"5. Inclusión")</f>
        <v>5. Inclusión</v>
      </c>
      <c r="D905" s="79" t="str">
        <f ca="1">IFERROR(__xludf.DUMMYFUNCTION("""COMPUTED_VALUE"""),"Guadalajara sin Barreras")</f>
        <v>Guadalajara sin Barreras</v>
      </c>
      <c r="E905" s="79" t="str">
        <f ca="1">IFERROR(__xludf.DUMMYFUNCTION("""COMPUTED_VALUE"""),"Atención Integral para Personas con Discapacidad")</f>
        <v>Atención Integral para Personas con Discapacidad</v>
      </c>
      <c r="F905" s="79" t="str">
        <f ca="1">IFERROR(__xludf.DUMMYFUNCTION("""COMPUTED_VALUE"""),"A1C5. Sesiones de terapia física brindadas en el Centro CAIPED en 2024")</f>
        <v>A1C5. Sesiones de terapia física brindadas en el Centro CAIPED en 2024</v>
      </c>
      <c r="G905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05" s="79" t="str">
        <f ca="1">IFERROR(__xludf.DUMMYFUNCTION("""COMPUTED_VALUE"""),"AMH Octubre")</f>
        <v>AMH Octubre</v>
      </c>
      <c r="I905" s="79" t="str">
        <f ca="1">IFERROR(__xludf.DUMMYFUNCTION("""COMPUTED_VALUE"""),"Octubre")</f>
        <v>Octubre</v>
      </c>
      <c r="J905" s="79" t="str">
        <f ca="1">IFERROR(__xludf.DUMMYFUNCTION("""COMPUTED_VALUE"""),"AMH")</f>
        <v>AMH</v>
      </c>
      <c r="K905" s="80">
        <f ca="1">IFERROR(__xludf.DUMMYFUNCTION("""COMPUTED_VALUE"""),74)</f>
        <v>74</v>
      </c>
      <c r="L905" s="79" t="str">
        <f ca="1">IFERROR(__xludf.DUMMYFUNCTION("""COMPUTED_VALUE"""),"TRIMESTRE 4")</f>
        <v>TRIMESTRE 4</v>
      </c>
      <c r="M905" s="79" t="str">
        <f ca="1">IFERROR(__xludf.DUMMYFUNCTION("""COMPUTED_VALUE"""),"ADULTO MAYOR HOMBRE")</f>
        <v>ADULTO MAYOR HOMBRE</v>
      </c>
    </row>
    <row r="906" spans="1:13">
      <c r="A906" s="79" t="str">
        <f ca="1">IFERROR(__xludf.DUMMYFUNCTION("""COMPUTED_VALUE"""),"6.1.5.2")</f>
        <v>6.1.5.2</v>
      </c>
      <c r="B906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6" s="79" t="str">
        <f ca="1">IFERROR(__xludf.DUMMYFUNCTION("""COMPUTED_VALUE"""),"5. Inclusión")</f>
        <v>5. Inclusión</v>
      </c>
      <c r="D906" s="79" t="str">
        <f ca="1">IFERROR(__xludf.DUMMYFUNCTION("""COMPUTED_VALUE"""),"Guadalajara sin Barreras")</f>
        <v>Guadalajara sin Barreras</v>
      </c>
      <c r="E906" s="79" t="str">
        <f ca="1">IFERROR(__xludf.DUMMYFUNCTION("""COMPUTED_VALUE"""),"Atención Integral para Personas con Discapacidad")</f>
        <v>Atención Integral para Personas con Discapacidad</v>
      </c>
      <c r="F906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06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06" s="79" t="str">
        <f ca="1">IFERROR(__xludf.DUMMYFUNCTION("""COMPUTED_VALUE"""),"NAS Octubre")</f>
        <v>NAS Octubre</v>
      </c>
      <c r="I906" s="79" t="str">
        <f ca="1">IFERROR(__xludf.DUMMYFUNCTION("""COMPUTED_VALUE"""),"Octubre")</f>
        <v>Octubre</v>
      </c>
      <c r="J906" s="79" t="str">
        <f ca="1">IFERROR(__xludf.DUMMYFUNCTION("""COMPUTED_VALUE"""),"NAS")</f>
        <v>NAS</v>
      </c>
      <c r="K906" s="80">
        <f ca="1">IFERROR(__xludf.DUMMYFUNCTION("""COMPUTED_VALUE"""),3)</f>
        <v>3</v>
      </c>
      <c r="L906" s="79" t="str">
        <f ca="1">IFERROR(__xludf.DUMMYFUNCTION("""COMPUTED_VALUE"""),"TRIMESTRE 4")</f>
        <v>TRIMESTRE 4</v>
      </c>
      <c r="M906" s="79" t="str">
        <f ca="1">IFERROR(__xludf.DUMMYFUNCTION("""COMPUTED_VALUE"""),"NIÑAS")</f>
        <v>NIÑAS</v>
      </c>
    </row>
    <row r="907" spans="1:13">
      <c r="A907" s="79" t="str">
        <f ca="1">IFERROR(__xludf.DUMMYFUNCTION("""COMPUTED_VALUE"""),"6.1.5.2")</f>
        <v>6.1.5.2</v>
      </c>
      <c r="B907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7" s="79" t="str">
        <f ca="1">IFERROR(__xludf.DUMMYFUNCTION("""COMPUTED_VALUE"""),"5. Inclusión")</f>
        <v>5. Inclusión</v>
      </c>
      <c r="D907" s="79" t="str">
        <f ca="1">IFERROR(__xludf.DUMMYFUNCTION("""COMPUTED_VALUE"""),"Guadalajara sin Barreras")</f>
        <v>Guadalajara sin Barreras</v>
      </c>
      <c r="E907" s="79" t="str">
        <f ca="1">IFERROR(__xludf.DUMMYFUNCTION("""COMPUTED_VALUE"""),"Atención Integral para Personas con Discapacidad")</f>
        <v>Atención Integral para Personas con Discapacidad</v>
      </c>
      <c r="F907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07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07" s="79" t="str">
        <f ca="1">IFERROR(__xludf.DUMMYFUNCTION("""COMPUTED_VALUE"""),"NOS Octubre")</f>
        <v>NOS Octubre</v>
      </c>
      <c r="I907" s="79" t="str">
        <f ca="1">IFERROR(__xludf.DUMMYFUNCTION("""COMPUTED_VALUE"""),"Octubre")</f>
        <v>Octubre</v>
      </c>
      <c r="J907" s="79" t="str">
        <f ca="1">IFERROR(__xludf.DUMMYFUNCTION("""COMPUTED_VALUE"""),"NOS")</f>
        <v>NOS</v>
      </c>
      <c r="K907" s="80">
        <f ca="1">IFERROR(__xludf.DUMMYFUNCTION("""COMPUTED_VALUE"""),11)</f>
        <v>11</v>
      </c>
      <c r="L907" s="79" t="str">
        <f ca="1">IFERROR(__xludf.DUMMYFUNCTION("""COMPUTED_VALUE"""),"TRIMESTRE 4")</f>
        <v>TRIMESTRE 4</v>
      </c>
      <c r="M907" s="79" t="str">
        <f ca="1">IFERROR(__xludf.DUMMYFUNCTION("""COMPUTED_VALUE"""),"NIÑOS")</f>
        <v>NIÑOS</v>
      </c>
    </row>
    <row r="908" spans="1:13">
      <c r="A908" s="79" t="str">
        <f ca="1">IFERROR(__xludf.DUMMYFUNCTION("""COMPUTED_VALUE"""),"6.1.5.2")</f>
        <v>6.1.5.2</v>
      </c>
      <c r="B908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8" s="79" t="str">
        <f ca="1">IFERROR(__xludf.DUMMYFUNCTION("""COMPUTED_VALUE"""),"5. Inclusión")</f>
        <v>5. Inclusión</v>
      </c>
      <c r="D908" s="79" t="str">
        <f ca="1">IFERROR(__xludf.DUMMYFUNCTION("""COMPUTED_VALUE"""),"Guadalajara sin Barreras")</f>
        <v>Guadalajara sin Barreras</v>
      </c>
      <c r="E908" s="79" t="str">
        <f ca="1">IFERROR(__xludf.DUMMYFUNCTION("""COMPUTED_VALUE"""),"Atención Integral para Personas con Discapacidad")</f>
        <v>Atención Integral para Personas con Discapacidad</v>
      </c>
      <c r="F908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08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08" s="79" t="str">
        <f ca="1">IFERROR(__xludf.DUMMYFUNCTION("""COMPUTED_VALUE"""),"AM OCTUBRE")</f>
        <v>AM OCTUBRE</v>
      </c>
      <c r="I908" s="79" t="str">
        <f ca="1">IFERROR(__xludf.DUMMYFUNCTION("""COMPUTED_VALUE"""),"Octubre")</f>
        <v>Octubre</v>
      </c>
      <c r="J908" s="79" t="str">
        <f ca="1">IFERROR(__xludf.DUMMYFUNCTION("""COMPUTED_VALUE"""),"AM")</f>
        <v>AM</v>
      </c>
      <c r="K908" s="80">
        <f ca="1">IFERROR(__xludf.DUMMYFUNCTION("""COMPUTED_VALUE"""),1)</f>
        <v>1</v>
      </c>
      <c r="L908" s="79" t="str">
        <f ca="1">IFERROR(__xludf.DUMMYFUNCTION("""COMPUTED_VALUE"""),"TRIMESTRE 4")</f>
        <v>TRIMESTRE 4</v>
      </c>
      <c r="M908" s="79" t="str">
        <f ca="1">IFERROR(__xludf.DUMMYFUNCTION("""COMPUTED_VALUE"""),"ADOLESCENTES MUJERES")</f>
        <v>ADOLESCENTES MUJERES</v>
      </c>
    </row>
    <row r="909" spans="1:13">
      <c r="A909" s="79" t="str">
        <f ca="1">IFERROR(__xludf.DUMMYFUNCTION("""COMPUTED_VALUE"""),"6.1.5.2")</f>
        <v>6.1.5.2</v>
      </c>
      <c r="B909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09" s="79" t="str">
        <f ca="1">IFERROR(__xludf.DUMMYFUNCTION("""COMPUTED_VALUE"""),"5. Inclusión")</f>
        <v>5. Inclusión</v>
      </c>
      <c r="D909" s="79" t="str">
        <f ca="1">IFERROR(__xludf.DUMMYFUNCTION("""COMPUTED_VALUE"""),"Guadalajara sin Barreras")</f>
        <v>Guadalajara sin Barreras</v>
      </c>
      <c r="E909" s="79" t="str">
        <f ca="1">IFERROR(__xludf.DUMMYFUNCTION("""COMPUTED_VALUE"""),"Atención Integral para Personas con Discapacidad")</f>
        <v>Atención Integral para Personas con Discapacidad</v>
      </c>
      <c r="F909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09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09" s="79" t="str">
        <f ca="1">IFERROR(__xludf.DUMMYFUNCTION("""COMPUTED_VALUE"""),"AH OCTUBRE")</f>
        <v>AH OCTUBRE</v>
      </c>
      <c r="I909" s="79" t="str">
        <f ca="1">IFERROR(__xludf.DUMMYFUNCTION("""COMPUTED_VALUE"""),"Octubre")</f>
        <v>Octubre</v>
      </c>
      <c r="J909" s="79" t="str">
        <f ca="1">IFERROR(__xludf.DUMMYFUNCTION("""COMPUTED_VALUE"""),"AH")</f>
        <v>AH</v>
      </c>
      <c r="K909" s="80">
        <f ca="1">IFERROR(__xludf.DUMMYFUNCTION("""COMPUTED_VALUE"""),4)</f>
        <v>4</v>
      </c>
      <c r="L909" s="79" t="str">
        <f ca="1">IFERROR(__xludf.DUMMYFUNCTION("""COMPUTED_VALUE"""),"TRIMESTRE 4")</f>
        <v>TRIMESTRE 4</v>
      </c>
      <c r="M909" s="79" t="str">
        <f ca="1">IFERROR(__xludf.DUMMYFUNCTION("""COMPUTED_VALUE"""),"ADOLESCENTES HOMBRES")</f>
        <v>ADOLESCENTES HOMBRES</v>
      </c>
    </row>
    <row r="910" spans="1:13">
      <c r="A910" s="79" t="str">
        <f ca="1">IFERROR(__xludf.DUMMYFUNCTION("""COMPUTED_VALUE"""),"6.1.5.2")</f>
        <v>6.1.5.2</v>
      </c>
      <c r="B910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10" s="79" t="str">
        <f ca="1">IFERROR(__xludf.DUMMYFUNCTION("""COMPUTED_VALUE"""),"5. Inclusión")</f>
        <v>5. Inclusión</v>
      </c>
      <c r="D910" s="79" t="str">
        <f ca="1">IFERROR(__xludf.DUMMYFUNCTION("""COMPUTED_VALUE"""),"Guadalajara sin Barreras")</f>
        <v>Guadalajara sin Barreras</v>
      </c>
      <c r="E910" s="79" t="str">
        <f ca="1">IFERROR(__xludf.DUMMYFUNCTION("""COMPUTED_VALUE"""),"Atención Integral para Personas con Discapacidad")</f>
        <v>Atención Integral para Personas con Discapacidad</v>
      </c>
      <c r="F910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10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10" s="79" t="str">
        <f ca="1">IFERROR(__xludf.DUMMYFUNCTION("""COMPUTED_VALUE"""),"MUJ Octubre")</f>
        <v>MUJ Octubre</v>
      </c>
      <c r="I910" s="79" t="str">
        <f ca="1">IFERROR(__xludf.DUMMYFUNCTION("""COMPUTED_VALUE"""),"Octubre")</f>
        <v>Octubre</v>
      </c>
      <c r="J910" s="79" t="str">
        <f ca="1">IFERROR(__xludf.DUMMYFUNCTION("""COMPUTED_VALUE"""),"MUJ")</f>
        <v>MUJ</v>
      </c>
      <c r="K910" s="80">
        <f ca="1">IFERROR(__xludf.DUMMYFUNCTION("""COMPUTED_VALUE"""),38)</f>
        <v>38</v>
      </c>
      <c r="L910" s="79" t="str">
        <f ca="1">IFERROR(__xludf.DUMMYFUNCTION("""COMPUTED_VALUE"""),"TRIMESTRE 4")</f>
        <v>TRIMESTRE 4</v>
      </c>
      <c r="M910" s="79" t="str">
        <f ca="1">IFERROR(__xludf.DUMMYFUNCTION("""COMPUTED_VALUE"""),"MUJERES ADULTAS")</f>
        <v>MUJERES ADULTAS</v>
      </c>
    </row>
    <row r="911" spans="1:13">
      <c r="A911" s="79" t="str">
        <f ca="1">IFERROR(__xludf.DUMMYFUNCTION("""COMPUTED_VALUE"""),"6.1.5.2")</f>
        <v>6.1.5.2</v>
      </c>
      <c r="B911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11" s="79" t="str">
        <f ca="1">IFERROR(__xludf.DUMMYFUNCTION("""COMPUTED_VALUE"""),"5. Inclusión")</f>
        <v>5. Inclusión</v>
      </c>
      <c r="D911" s="79" t="str">
        <f ca="1">IFERROR(__xludf.DUMMYFUNCTION("""COMPUTED_VALUE"""),"Guadalajara sin Barreras")</f>
        <v>Guadalajara sin Barreras</v>
      </c>
      <c r="E911" s="79" t="str">
        <f ca="1">IFERROR(__xludf.DUMMYFUNCTION("""COMPUTED_VALUE"""),"Atención Integral para Personas con Discapacidad")</f>
        <v>Atención Integral para Personas con Discapacidad</v>
      </c>
      <c r="F911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11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11" s="79" t="str">
        <f ca="1">IFERROR(__xludf.DUMMYFUNCTION("""COMPUTED_VALUE"""),"HOM Octubre")</f>
        <v>HOM Octubre</v>
      </c>
      <c r="I911" s="79" t="str">
        <f ca="1">IFERROR(__xludf.DUMMYFUNCTION("""COMPUTED_VALUE"""),"Octubre")</f>
        <v>Octubre</v>
      </c>
      <c r="J911" s="79" t="str">
        <f ca="1">IFERROR(__xludf.DUMMYFUNCTION("""COMPUTED_VALUE"""),"HOM")</f>
        <v>HOM</v>
      </c>
      <c r="K911" s="80">
        <f ca="1">IFERROR(__xludf.DUMMYFUNCTION("""COMPUTED_VALUE"""),34)</f>
        <v>34</v>
      </c>
      <c r="L911" s="79" t="str">
        <f ca="1">IFERROR(__xludf.DUMMYFUNCTION("""COMPUTED_VALUE"""),"TRIMESTRE 4")</f>
        <v>TRIMESTRE 4</v>
      </c>
      <c r="M911" s="79" t="str">
        <f ca="1">IFERROR(__xludf.DUMMYFUNCTION("""COMPUTED_VALUE"""),"HOMBRES ADULTOS")</f>
        <v>HOMBRES ADULTOS</v>
      </c>
    </row>
    <row r="912" spans="1:13">
      <c r="A912" s="79" t="str">
        <f ca="1">IFERROR(__xludf.DUMMYFUNCTION("""COMPUTED_VALUE"""),"6.1.5.2")</f>
        <v>6.1.5.2</v>
      </c>
      <c r="B912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12" s="79" t="str">
        <f ca="1">IFERROR(__xludf.DUMMYFUNCTION("""COMPUTED_VALUE"""),"5. Inclusión")</f>
        <v>5. Inclusión</v>
      </c>
      <c r="D912" s="79" t="str">
        <f ca="1">IFERROR(__xludf.DUMMYFUNCTION("""COMPUTED_VALUE"""),"Guadalajara sin Barreras")</f>
        <v>Guadalajara sin Barreras</v>
      </c>
      <c r="E912" s="79" t="str">
        <f ca="1">IFERROR(__xludf.DUMMYFUNCTION("""COMPUTED_VALUE"""),"Atención Integral para Personas con Discapacidad")</f>
        <v>Atención Integral para Personas con Discapacidad</v>
      </c>
      <c r="F912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12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12" s="79" t="str">
        <f ca="1">IFERROR(__xludf.DUMMYFUNCTION("""COMPUTED_VALUE"""),"AMM Octubre")</f>
        <v>AMM Octubre</v>
      </c>
      <c r="I912" s="79" t="str">
        <f ca="1">IFERROR(__xludf.DUMMYFUNCTION("""COMPUTED_VALUE"""),"Octubre")</f>
        <v>Octubre</v>
      </c>
      <c r="J912" s="79" t="str">
        <f ca="1">IFERROR(__xludf.DUMMYFUNCTION("""COMPUTED_VALUE"""),"AMM")</f>
        <v>AMM</v>
      </c>
      <c r="K912" s="80">
        <f ca="1">IFERROR(__xludf.DUMMYFUNCTION("""COMPUTED_VALUE"""),83)</f>
        <v>83</v>
      </c>
      <c r="L912" s="79" t="str">
        <f ca="1">IFERROR(__xludf.DUMMYFUNCTION("""COMPUTED_VALUE"""),"TRIMESTRE 4")</f>
        <v>TRIMESTRE 4</v>
      </c>
      <c r="M912" s="79" t="str">
        <f ca="1">IFERROR(__xludf.DUMMYFUNCTION("""COMPUTED_VALUE"""),"ADULTA MAYOR MUJER")</f>
        <v>ADULTA MAYOR MUJER</v>
      </c>
    </row>
    <row r="913" spans="1:13">
      <c r="A913" s="79" t="str">
        <f ca="1">IFERROR(__xludf.DUMMYFUNCTION("""COMPUTED_VALUE"""),"6.1.5.2")</f>
        <v>6.1.5.2</v>
      </c>
      <c r="B913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13" s="79" t="str">
        <f ca="1">IFERROR(__xludf.DUMMYFUNCTION("""COMPUTED_VALUE"""),"5. Inclusión")</f>
        <v>5. Inclusión</v>
      </c>
      <c r="D913" s="79" t="str">
        <f ca="1">IFERROR(__xludf.DUMMYFUNCTION("""COMPUTED_VALUE"""),"Guadalajara sin Barreras")</f>
        <v>Guadalajara sin Barreras</v>
      </c>
      <c r="E913" s="79" t="str">
        <f ca="1">IFERROR(__xludf.DUMMYFUNCTION("""COMPUTED_VALUE"""),"Atención Integral para Personas con Discapacidad")</f>
        <v>Atención Integral para Personas con Discapacidad</v>
      </c>
      <c r="F913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13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13" s="79" t="str">
        <f ca="1">IFERROR(__xludf.DUMMYFUNCTION("""COMPUTED_VALUE"""),"AMH Octubre")</f>
        <v>AMH Octubre</v>
      </c>
      <c r="I913" s="79" t="str">
        <f ca="1">IFERROR(__xludf.DUMMYFUNCTION("""COMPUTED_VALUE"""),"Octubre")</f>
        <v>Octubre</v>
      </c>
      <c r="J913" s="79" t="str">
        <f ca="1">IFERROR(__xludf.DUMMYFUNCTION("""COMPUTED_VALUE"""),"AMH")</f>
        <v>AMH</v>
      </c>
      <c r="K913" s="80">
        <f ca="1">IFERROR(__xludf.DUMMYFUNCTION("""COMPUTED_VALUE"""),24)</f>
        <v>24</v>
      </c>
      <c r="L913" s="79" t="str">
        <f ca="1">IFERROR(__xludf.DUMMYFUNCTION("""COMPUTED_VALUE"""),"TRIMESTRE 4")</f>
        <v>TRIMESTRE 4</v>
      </c>
      <c r="M913" s="79" t="str">
        <f ca="1">IFERROR(__xludf.DUMMYFUNCTION("""COMPUTED_VALUE"""),"ADULTO MAYOR HOMBRE")</f>
        <v>ADULTO MAYOR HOMBRE</v>
      </c>
    </row>
    <row r="914" spans="1:13">
      <c r="A914" s="79" t="str">
        <f ca="1">IFERROR(__xludf.DUMMYFUNCTION("""COMPUTED_VALUE"""),"6.1.5.0")</f>
        <v>6.1.5.0</v>
      </c>
      <c r="B914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14" s="79" t="str">
        <f ca="1">IFERROR(__xludf.DUMMYFUNCTION("""COMPUTED_VALUE"""),"5. Inclusión")</f>
        <v>5. Inclusión</v>
      </c>
      <c r="D914" s="79" t="str">
        <f ca="1">IFERROR(__xludf.DUMMYFUNCTION("""COMPUTED_VALUE"""),"Guadalajara sin Barreras")</f>
        <v>Guadalajara sin Barreras</v>
      </c>
      <c r="E914" s="79" t="str">
        <f ca="1">IFERROR(__xludf.DUMMYFUNCTION("""COMPUTED_VALUE"""),"Atención Integral para Personas con Discapacidad")</f>
        <v>Atención Integral para Personas con Discapacidad</v>
      </c>
      <c r="F914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14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14" s="79" t="str">
        <f ca="1">IFERROR(__xludf.DUMMYFUNCTION("""COMPUTED_VALUE"""),"NAS Noviembre")</f>
        <v>NAS Noviembre</v>
      </c>
      <c r="I914" s="79" t="str">
        <f ca="1">IFERROR(__xludf.DUMMYFUNCTION("""COMPUTED_VALUE"""),"Noviembre")</f>
        <v>Noviembre</v>
      </c>
      <c r="J914" s="79" t="str">
        <f ca="1">IFERROR(__xludf.DUMMYFUNCTION("""COMPUTED_VALUE"""),"NAS")</f>
        <v>NAS</v>
      </c>
      <c r="K914" s="80">
        <f ca="1">IFERROR(__xludf.DUMMYFUNCTION("""COMPUTED_VALUE"""),0)</f>
        <v>0</v>
      </c>
      <c r="L914" s="79" t="str">
        <f ca="1">IFERROR(__xludf.DUMMYFUNCTION("""COMPUTED_VALUE"""),"TRIMESTRE 4")</f>
        <v>TRIMESTRE 4</v>
      </c>
      <c r="M914" s="79" t="str">
        <f ca="1">IFERROR(__xludf.DUMMYFUNCTION("""COMPUTED_VALUE"""),"NIÑAS")</f>
        <v>NIÑAS</v>
      </c>
    </row>
    <row r="915" spans="1:13">
      <c r="A915" s="79" t="str">
        <f ca="1">IFERROR(__xludf.DUMMYFUNCTION("""COMPUTED_VALUE"""),"6.1.5.0")</f>
        <v>6.1.5.0</v>
      </c>
      <c r="B915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15" s="79" t="str">
        <f ca="1">IFERROR(__xludf.DUMMYFUNCTION("""COMPUTED_VALUE"""),"5. Inclusión")</f>
        <v>5. Inclusión</v>
      </c>
      <c r="D915" s="79" t="str">
        <f ca="1">IFERROR(__xludf.DUMMYFUNCTION("""COMPUTED_VALUE"""),"Guadalajara sin Barreras")</f>
        <v>Guadalajara sin Barreras</v>
      </c>
      <c r="E915" s="79" t="str">
        <f ca="1">IFERROR(__xludf.DUMMYFUNCTION("""COMPUTED_VALUE"""),"Atención Integral para Personas con Discapacidad")</f>
        <v>Atención Integral para Personas con Discapacidad</v>
      </c>
      <c r="F915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15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15" s="79" t="str">
        <f ca="1">IFERROR(__xludf.DUMMYFUNCTION("""COMPUTED_VALUE"""),"NOS Noviembre")</f>
        <v>NOS Noviembre</v>
      </c>
      <c r="I915" s="79" t="str">
        <f ca="1">IFERROR(__xludf.DUMMYFUNCTION("""COMPUTED_VALUE"""),"Noviembre")</f>
        <v>Noviembre</v>
      </c>
      <c r="J915" s="79" t="str">
        <f ca="1">IFERROR(__xludf.DUMMYFUNCTION("""COMPUTED_VALUE"""),"NOS")</f>
        <v>NOS</v>
      </c>
      <c r="K915" s="80">
        <f ca="1">IFERROR(__xludf.DUMMYFUNCTION("""COMPUTED_VALUE"""),0)</f>
        <v>0</v>
      </c>
      <c r="L915" s="79" t="str">
        <f ca="1">IFERROR(__xludf.DUMMYFUNCTION("""COMPUTED_VALUE"""),"TRIMESTRE 4")</f>
        <v>TRIMESTRE 4</v>
      </c>
      <c r="M915" s="79" t="str">
        <f ca="1">IFERROR(__xludf.DUMMYFUNCTION("""COMPUTED_VALUE"""),"NIÑOS")</f>
        <v>NIÑOS</v>
      </c>
    </row>
    <row r="916" spans="1:13">
      <c r="A916" s="79" t="str">
        <f ca="1">IFERROR(__xludf.DUMMYFUNCTION("""COMPUTED_VALUE"""),"6.1.5.0")</f>
        <v>6.1.5.0</v>
      </c>
      <c r="B916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16" s="79" t="str">
        <f ca="1">IFERROR(__xludf.DUMMYFUNCTION("""COMPUTED_VALUE"""),"5. Inclusión")</f>
        <v>5. Inclusión</v>
      </c>
      <c r="D916" s="79" t="str">
        <f ca="1">IFERROR(__xludf.DUMMYFUNCTION("""COMPUTED_VALUE"""),"Guadalajara sin Barreras")</f>
        <v>Guadalajara sin Barreras</v>
      </c>
      <c r="E916" s="79" t="str">
        <f ca="1">IFERROR(__xludf.DUMMYFUNCTION("""COMPUTED_VALUE"""),"Atención Integral para Personas con Discapacidad")</f>
        <v>Atención Integral para Personas con Discapacidad</v>
      </c>
      <c r="F916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16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16" s="79" t="str">
        <f ca="1">IFERROR(__xludf.DUMMYFUNCTION("""COMPUTED_VALUE"""),"AM NOVIEMBRE")</f>
        <v>AM NOVIEMBRE</v>
      </c>
      <c r="I916" s="79" t="str">
        <f ca="1">IFERROR(__xludf.DUMMYFUNCTION("""COMPUTED_VALUE"""),"Noviembre")</f>
        <v>Noviembre</v>
      </c>
      <c r="J916" s="79" t="str">
        <f ca="1">IFERROR(__xludf.DUMMYFUNCTION("""COMPUTED_VALUE"""),"AM")</f>
        <v>AM</v>
      </c>
      <c r="K916" s="80">
        <f ca="1">IFERROR(__xludf.DUMMYFUNCTION("""COMPUTED_VALUE"""),0)</f>
        <v>0</v>
      </c>
      <c r="L916" s="79" t="str">
        <f ca="1">IFERROR(__xludf.DUMMYFUNCTION("""COMPUTED_VALUE"""),"TRIMESTRE 4")</f>
        <v>TRIMESTRE 4</v>
      </c>
      <c r="M916" s="79" t="str">
        <f ca="1">IFERROR(__xludf.DUMMYFUNCTION("""COMPUTED_VALUE"""),"ADOLESCENTES MUJERES")</f>
        <v>ADOLESCENTES MUJERES</v>
      </c>
    </row>
    <row r="917" spans="1:13">
      <c r="A917" s="79" t="str">
        <f ca="1">IFERROR(__xludf.DUMMYFUNCTION("""COMPUTED_VALUE"""),"6.1.5.0")</f>
        <v>6.1.5.0</v>
      </c>
      <c r="B917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17" s="79" t="str">
        <f ca="1">IFERROR(__xludf.DUMMYFUNCTION("""COMPUTED_VALUE"""),"5. Inclusión")</f>
        <v>5. Inclusión</v>
      </c>
      <c r="D917" s="79" t="str">
        <f ca="1">IFERROR(__xludf.DUMMYFUNCTION("""COMPUTED_VALUE"""),"Guadalajara sin Barreras")</f>
        <v>Guadalajara sin Barreras</v>
      </c>
      <c r="E917" s="79" t="str">
        <f ca="1">IFERROR(__xludf.DUMMYFUNCTION("""COMPUTED_VALUE"""),"Atención Integral para Personas con Discapacidad")</f>
        <v>Atención Integral para Personas con Discapacidad</v>
      </c>
      <c r="F917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17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17" s="79" t="str">
        <f ca="1">IFERROR(__xludf.DUMMYFUNCTION("""COMPUTED_VALUE"""),"AH NOVIEMBRE")</f>
        <v>AH NOVIEMBRE</v>
      </c>
      <c r="I917" s="79" t="str">
        <f ca="1">IFERROR(__xludf.DUMMYFUNCTION("""COMPUTED_VALUE"""),"Noviembre")</f>
        <v>Noviembre</v>
      </c>
      <c r="J917" s="79" t="str">
        <f ca="1">IFERROR(__xludf.DUMMYFUNCTION("""COMPUTED_VALUE"""),"AH")</f>
        <v>AH</v>
      </c>
      <c r="K917" s="80">
        <f ca="1">IFERROR(__xludf.DUMMYFUNCTION("""COMPUTED_VALUE"""),0)</f>
        <v>0</v>
      </c>
      <c r="L917" s="79" t="str">
        <f ca="1">IFERROR(__xludf.DUMMYFUNCTION("""COMPUTED_VALUE"""),"TRIMESTRE 4")</f>
        <v>TRIMESTRE 4</v>
      </c>
      <c r="M917" s="79" t="str">
        <f ca="1">IFERROR(__xludf.DUMMYFUNCTION("""COMPUTED_VALUE"""),"ADOLESCENTES HOMBRES")</f>
        <v>ADOLESCENTES HOMBRES</v>
      </c>
    </row>
    <row r="918" spans="1:13">
      <c r="A918" s="79" t="str">
        <f ca="1">IFERROR(__xludf.DUMMYFUNCTION("""COMPUTED_VALUE"""),"6.1.5.0")</f>
        <v>6.1.5.0</v>
      </c>
      <c r="B918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18" s="79" t="str">
        <f ca="1">IFERROR(__xludf.DUMMYFUNCTION("""COMPUTED_VALUE"""),"5. Inclusión")</f>
        <v>5. Inclusión</v>
      </c>
      <c r="D918" s="79" t="str">
        <f ca="1">IFERROR(__xludf.DUMMYFUNCTION("""COMPUTED_VALUE"""),"Guadalajara sin Barreras")</f>
        <v>Guadalajara sin Barreras</v>
      </c>
      <c r="E918" s="79" t="str">
        <f ca="1">IFERROR(__xludf.DUMMYFUNCTION("""COMPUTED_VALUE"""),"Atención Integral para Personas con Discapacidad")</f>
        <v>Atención Integral para Personas con Discapacidad</v>
      </c>
      <c r="F918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18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18" s="79" t="str">
        <f ca="1">IFERROR(__xludf.DUMMYFUNCTION("""COMPUTED_VALUE"""),"MUJ Noviembre")</f>
        <v>MUJ Noviembre</v>
      </c>
      <c r="I918" s="79" t="str">
        <f ca="1">IFERROR(__xludf.DUMMYFUNCTION("""COMPUTED_VALUE"""),"Noviembre")</f>
        <v>Noviembre</v>
      </c>
      <c r="J918" s="79" t="str">
        <f ca="1">IFERROR(__xludf.DUMMYFUNCTION("""COMPUTED_VALUE"""),"MUJ")</f>
        <v>MUJ</v>
      </c>
      <c r="K918" s="80">
        <f ca="1">IFERROR(__xludf.DUMMYFUNCTION("""COMPUTED_VALUE"""),0)</f>
        <v>0</v>
      </c>
      <c r="L918" s="79" t="str">
        <f ca="1">IFERROR(__xludf.DUMMYFUNCTION("""COMPUTED_VALUE"""),"TRIMESTRE 4")</f>
        <v>TRIMESTRE 4</v>
      </c>
      <c r="M918" s="79" t="str">
        <f ca="1">IFERROR(__xludf.DUMMYFUNCTION("""COMPUTED_VALUE"""),"MUJERES ADULTAS")</f>
        <v>MUJERES ADULTAS</v>
      </c>
    </row>
    <row r="919" spans="1:13">
      <c r="A919" s="79" t="str">
        <f ca="1">IFERROR(__xludf.DUMMYFUNCTION("""COMPUTED_VALUE"""),"6.1.5.0")</f>
        <v>6.1.5.0</v>
      </c>
      <c r="B919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19" s="79" t="str">
        <f ca="1">IFERROR(__xludf.DUMMYFUNCTION("""COMPUTED_VALUE"""),"5. Inclusión")</f>
        <v>5. Inclusión</v>
      </c>
      <c r="D919" s="79" t="str">
        <f ca="1">IFERROR(__xludf.DUMMYFUNCTION("""COMPUTED_VALUE"""),"Guadalajara sin Barreras")</f>
        <v>Guadalajara sin Barreras</v>
      </c>
      <c r="E919" s="79" t="str">
        <f ca="1">IFERROR(__xludf.DUMMYFUNCTION("""COMPUTED_VALUE"""),"Atención Integral para Personas con Discapacidad")</f>
        <v>Atención Integral para Personas con Discapacidad</v>
      </c>
      <c r="F919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19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19" s="79" t="str">
        <f ca="1">IFERROR(__xludf.DUMMYFUNCTION("""COMPUTED_VALUE"""),"HOM Noviembre")</f>
        <v>HOM Noviembre</v>
      </c>
      <c r="I919" s="79" t="str">
        <f ca="1">IFERROR(__xludf.DUMMYFUNCTION("""COMPUTED_VALUE"""),"Noviembre")</f>
        <v>Noviembre</v>
      </c>
      <c r="J919" s="79" t="str">
        <f ca="1">IFERROR(__xludf.DUMMYFUNCTION("""COMPUTED_VALUE"""),"HOM")</f>
        <v>HOM</v>
      </c>
      <c r="K919" s="80">
        <f ca="1">IFERROR(__xludf.DUMMYFUNCTION("""COMPUTED_VALUE"""),0)</f>
        <v>0</v>
      </c>
      <c r="L919" s="79" t="str">
        <f ca="1">IFERROR(__xludf.DUMMYFUNCTION("""COMPUTED_VALUE"""),"TRIMESTRE 4")</f>
        <v>TRIMESTRE 4</v>
      </c>
      <c r="M919" s="79" t="str">
        <f ca="1">IFERROR(__xludf.DUMMYFUNCTION("""COMPUTED_VALUE"""),"HOMBRES ADULTOS")</f>
        <v>HOMBRES ADULTOS</v>
      </c>
    </row>
    <row r="920" spans="1:13">
      <c r="A920" s="79" t="str">
        <f ca="1">IFERROR(__xludf.DUMMYFUNCTION("""COMPUTED_VALUE"""),"6.1.5.0")</f>
        <v>6.1.5.0</v>
      </c>
      <c r="B920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20" s="79" t="str">
        <f ca="1">IFERROR(__xludf.DUMMYFUNCTION("""COMPUTED_VALUE"""),"5. Inclusión")</f>
        <v>5. Inclusión</v>
      </c>
      <c r="D920" s="79" t="str">
        <f ca="1">IFERROR(__xludf.DUMMYFUNCTION("""COMPUTED_VALUE"""),"Guadalajara sin Barreras")</f>
        <v>Guadalajara sin Barreras</v>
      </c>
      <c r="E920" s="79" t="str">
        <f ca="1">IFERROR(__xludf.DUMMYFUNCTION("""COMPUTED_VALUE"""),"Atención Integral para Personas con Discapacidad")</f>
        <v>Atención Integral para Personas con Discapacidad</v>
      </c>
      <c r="F920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20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20" s="79" t="str">
        <f ca="1">IFERROR(__xludf.DUMMYFUNCTION("""COMPUTED_VALUE"""),"AMM Noviembre")</f>
        <v>AMM Noviembre</v>
      </c>
      <c r="I920" s="79" t="str">
        <f ca="1">IFERROR(__xludf.DUMMYFUNCTION("""COMPUTED_VALUE"""),"Noviembre")</f>
        <v>Noviembre</v>
      </c>
      <c r="J920" s="79" t="str">
        <f ca="1">IFERROR(__xludf.DUMMYFUNCTION("""COMPUTED_VALUE"""),"AMM")</f>
        <v>AMM</v>
      </c>
      <c r="K920" s="80">
        <f ca="1">IFERROR(__xludf.DUMMYFUNCTION("""COMPUTED_VALUE"""),0)</f>
        <v>0</v>
      </c>
      <c r="L920" s="79" t="str">
        <f ca="1">IFERROR(__xludf.DUMMYFUNCTION("""COMPUTED_VALUE"""),"TRIMESTRE 4")</f>
        <v>TRIMESTRE 4</v>
      </c>
      <c r="M920" s="79" t="str">
        <f ca="1">IFERROR(__xludf.DUMMYFUNCTION("""COMPUTED_VALUE"""),"ADULTA MAYOR MUJER")</f>
        <v>ADULTA MAYOR MUJER</v>
      </c>
    </row>
    <row r="921" spans="1:13">
      <c r="A921" s="79" t="str">
        <f ca="1">IFERROR(__xludf.DUMMYFUNCTION("""COMPUTED_VALUE"""),"6.1.5.0")</f>
        <v>6.1.5.0</v>
      </c>
      <c r="B921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21" s="79" t="str">
        <f ca="1">IFERROR(__xludf.DUMMYFUNCTION("""COMPUTED_VALUE"""),"5. Inclusión")</f>
        <v>5. Inclusión</v>
      </c>
      <c r="D921" s="79" t="str">
        <f ca="1">IFERROR(__xludf.DUMMYFUNCTION("""COMPUTED_VALUE"""),"Guadalajara sin Barreras")</f>
        <v>Guadalajara sin Barreras</v>
      </c>
      <c r="E921" s="79" t="str">
        <f ca="1">IFERROR(__xludf.DUMMYFUNCTION("""COMPUTED_VALUE"""),"Atención Integral para Personas con Discapacidad")</f>
        <v>Atención Integral para Personas con Discapacidad</v>
      </c>
      <c r="F921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21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21" s="79" t="str">
        <f ca="1">IFERROR(__xludf.DUMMYFUNCTION("""COMPUTED_VALUE"""),"AMH Noviembre")</f>
        <v>AMH Noviembre</v>
      </c>
      <c r="I921" s="79" t="str">
        <f ca="1">IFERROR(__xludf.DUMMYFUNCTION("""COMPUTED_VALUE"""),"Noviembre")</f>
        <v>Noviembre</v>
      </c>
      <c r="J921" s="79" t="str">
        <f ca="1">IFERROR(__xludf.DUMMYFUNCTION("""COMPUTED_VALUE"""),"AMH")</f>
        <v>AMH</v>
      </c>
      <c r="K921" s="80">
        <f ca="1">IFERROR(__xludf.DUMMYFUNCTION("""COMPUTED_VALUE"""),0)</f>
        <v>0</v>
      </c>
      <c r="L921" s="79" t="str">
        <f ca="1">IFERROR(__xludf.DUMMYFUNCTION("""COMPUTED_VALUE"""),"TRIMESTRE 4")</f>
        <v>TRIMESTRE 4</v>
      </c>
      <c r="M921" s="79" t="str">
        <f ca="1">IFERROR(__xludf.DUMMYFUNCTION("""COMPUTED_VALUE"""),"ADULTO MAYOR HOMBRE")</f>
        <v>ADULTO MAYOR HOMBRE</v>
      </c>
    </row>
    <row r="922" spans="1:13">
      <c r="A922" s="79" t="str">
        <f ca="1">IFERROR(__xludf.DUMMYFUNCTION("""COMPUTED_VALUE"""),"6.1.5.1")</f>
        <v>6.1.5.1</v>
      </c>
      <c r="B922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2" s="79" t="str">
        <f ca="1">IFERROR(__xludf.DUMMYFUNCTION("""COMPUTED_VALUE"""),"5. Inclusión")</f>
        <v>5. Inclusión</v>
      </c>
      <c r="D922" s="79" t="str">
        <f ca="1">IFERROR(__xludf.DUMMYFUNCTION("""COMPUTED_VALUE"""),"Guadalajara sin Barreras")</f>
        <v>Guadalajara sin Barreras</v>
      </c>
      <c r="E922" s="79" t="str">
        <f ca="1">IFERROR(__xludf.DUMMYFUNCTION("""COMPUTED_VALUE"""),"Atención Integral para Personas con Discapacidad")</f>
        <v>Atención Integral para Personas con Discapacidad</v>
      </c>
      <c r="F922" s="79" t="str">
        <f ca="1">IFERROR(__xludf.DUMMYFUNCTION("""COMPUTED_VALUE"""),"A1C5. Sesiones de terapia física brindadas en el Centro CAIPED en 2024")</f>
        <v>A1C5. Sesiones de terapia física brindadas en el Centro CAIPED en 2024</v>
      </c>
      <c r="G922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2" s="79" t="str">
        <f ca="1">IFERROR(__xludf.DUMMYFUNCTION("""COMPUTED_VALUE"""),"NAS Noviembre")</f>
        <v>NAS Noviembre</v>
      </c>
      <c r="I922" s="79" t="str">
        <f ca="1">IFERROR(__xludf.DUMMYFUNCTION("""COMPUTED_VALUE"""),"Noviembre")</f>
        <v>Noviembre</v>
      </c>
      <c r="J922" s="79" t="str">
        <f ca="1">IFERROR(__xludf.DUMMYFUNCTION("""COMPUTED_VALUE"""),"NAS")</f>
        <v>NAS</v>
      </c>
      <c r="K922" s="80">
        <f ca="1">IFERROR(__xludf.DUMMYFUNCTION("""COMPUTED_VALUE"""),9)</f>
        <v>9</v>
      </c>
      <c r="L922" s="79" t="str">
        <f ca="1">IFERROR(__xludf.DUMMYFUNCTION("""COMPUTED_VALUE"""),"TRIMESTRE 4")</f>
        <v>TRIMESTRE 4</v>
      </c>
      <c r="M922" s="79" t="str">
        <f ca="1">IFERROR(__xludf.DUMMYFUNCTION("""COMPUTED_VALUE"""),"NIÑAS")</f>
        <v>NIÑAS</v>
      </c>
    </row>
    <row r="923" spans="1:13">
      <c r="A923" s="79" t="str">
        <f ca="1">IFERROR(__xludf.DUMMYFUNCTION("""COMPUTED_VALUE"""),"6.1.5.1")</f>
        <v>6.1.5.1</v>
      </c>
      <c r="B923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3" s="79" t="str">
        <f ca="1">IFERROR(__xludf.DUMMYFUNCTION("""COMPUTED_VALUE"""),"5. Inclusión")</f>
        <v>5. Inclusión</v>
      </c>
      <c r="D923" s="79" t="str">
        <f ca="1">IFERROR(__xludf.DUMMYFUNCTION("""COMPUTED_VALUE"""),"Guadalajara sin Barreras")</f>
        <v>Guadalajara sin Barreras</v>
      </c>
      <c r="E923" s="79" t="str">
        <f ca="1">IFERROR(__xludf.DUMMYFUNCTION("""COMPUTED_VALUE"""),"Atención Integral para Personas con Discapacidad")</f>
        <v>Atención Integral para Personas con Discapacidad</v>
      </c>
      <c r="F923" s="79" t="str">
        <f ca="1">IFERROR(__xludf.DUMMYFUNCTION("""COMPUTED_VALUE"""),"A1C5. Sesiones de terapia física brindadas en el Centro CAIPED en 2024")</f>
        <v>A1C5. Sesiones de terapia física brindadas en el Centro CAIPED en 2024</v>
      </c>
      <c r="G923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3" s="79" t="str">
        <f ca="1">IFERROR(__xludf.DUMMYFUNCTION("""COMPUTED_VALUE"""),"NOS Noviembre")</f>
        <v>NOS Noviembre</v>
      </c>
      <c r="I923" s="79" t="str">
        <f ca="1">IFERROR(__xludf.DUMMYFUNCTION("""COMPUTED_VALUE"""),"Noviembre")</f>
        <v>Noviembre</v>
      </c>
      <c r="J923" s="79" t="str">
        <f ca="1">IFERROR(__xludf.DUMMYFUNCTION("""COMPUTED_VALUE"""),"NOS")</f>
        <v>NOS</v>
      </c>
      <c r="K923" s="80">
        <f ca="1">IFERROR(__xludf.DUMMYFUNCTION("""COMPUTED_VALUE"""),34)</f>
        <v>34</v>
      </c>
      <c r="L923" s="79" t="str">
        <f ca="1">IFERROR(__xludf.DUMMYFUNCTION("""COMPUTED_VALUE"""),"TRIMESTRE 4")</f>
        <v>TRIMESTRE 4</v>
      </c>
      <c r="M923" s="79" t="str">
        <f ca="1">IFERROR(__xludf.DUMMYFUNCTION("""COMPUTED_VALUE"""),"NIÑOS")</f>
        <v>NIÑOS</v>
      </c>
    </row>
    <row r="924" spans="1:13">
      <c r="A924" s="79" t="str">
        <f ca="1">IFERROR(__xludf.DUMMYFUNCTION("""COMPUTED_VALUE"""),"6.1.5.1")</f>
        <v>6.1.5.1</v>
      </c>
      <c r="B924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4" s="79" t="str">
        <f ca="1">IFERROR(__xludf.DUMMYFUNCTION("""COMPUTED_VALUE"""),"5. Inclusión")</f>
        <v>5. Inclusión</v>
      </c>
      <c r="D924" s="79" t="str">
        <f ca="1">IFERROR(__xludf.DUMMYFUNCTION("""COMPUTED_VALUE"""),"Guadalajara sin Barreras")</f>
        <v>Guadalajara sin Barreras</v>
      </c>
      <c r="E924" s="79" t="str">
        <f ca="1">IFERROR(__xludf.DUMMYFUNCTION("""COMPUTED_VALUE"""),"Atención Integral para Personas con Discapacidad")</f>
        <v>Atención Integral para Personas con Discapacidad</v>
      </c>
      <c r="F924" s="79" t="str">
        <f ca="1">IFERROR(__xludf.DUMMYFUNCTION("""COMPUTED_VALUE"""),"A1C5. Sesiones de terapia física brindadas en el Centro CAIPED en 2024")</f>
        <v>A1C5. Sesiones de terapia física brindadas en el Centro CAIPED en 2024</v>
      </c>
      <c r="G924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4" s="79" t="str">
        <f ca="1">IFERROR(__xludf.DUMMYFUNCTION("""COMPUTED_VALUE"""),"AM NOVIEMBRE")</f>
        <v>AM NOVIEMBRE</v>
      </c>
      <c r="I924" s="79" t="str">
        <f ca="1">IFERROR(__xludf.DUMMYFUNCTION("""COMPUTED_VALUE"""),"Noviembre")</f>
        <v>Noviembre</v>
      </c>
      <c r="J924" s="79" t="str">
        <f ca="1">IFERROR(__xludf.DUMMYFUNCTION("""COMPUTED_VALUE"""),"AM")</f>
        <v>AM</v>
      </c>
      <c r="K924" s="80">
        <f ca="1">IFERROR(__xludf.DUMMYFUNCTION("""COMPUTED_VALUE"""),10)</f>
        <v>10</v>
      </c>
      <c r="L924" s="79" t="str">
        <f ca="1">IFERROR(__xludf.DUMMYFUNCTION("""COMPUTED_VALUE"""),"TRIMESTRE 4")</f>
        <v>TRIMESTRE 4</v>
      </c>
      <c r="M924" s="79" t="str">
        <f ca="1">IFERROR(__xludf.DUMMYFUNCTION("""COMPUTED_VALUE"""),"ADOLESCENTES MUJERES")</f>
        <v>ADOLESCENTES MUJERES</v>
      </c>
    </row>
    <row r="925" spans="1:13">
      <c r="A925" s="79" t="str">
        <f ca="1">IFERROR(__xludf.DUMMYFUNCTION("""COMPUTED_VALUE"""),"6.1.5.1")</f>
        <v>6.1.5.1</v>
      </c>
      <c r="B925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5" s="79" t="str">
        <f ca="1">IFERROR(__xludf.DUMMYFUNCTION("""COMPUTED_VALUE"""),"5. Inclusión")</f>
        <v>5. Inclusión</v>
      </c>
      <c r="D925" s="79" t="str">
        <f ca="1">IFERROR(__xludf.DUMMYFUNCTION("""COMPUTED_VALUE"""),"Guadalajara sin Barreras")</f>
        <v>Guadalajara sin Barreras</v>
      </c>
      <c r="E925" s="79" t="str">
        <f ca="1">IFERROR(__xludf.DUMMYFUNCTION("""COMPUTED_VALUE"""),"Atención Integral para Personas con Discapacidad")</f>
        <v>Atención Integral para Personas con Discapacidad</v>
      </c>
      <c r="F925" s="79" t="str">
        <f ca="1">IFERROR(__xludf.DUMMYFUNCTION("""COMPUTED_VALUE"""),"A1C5. Sesiones de terapia física brindadas en el Centro CAIPED en 2024")</f>
        <v>A1C5. Sesiones de terapia física brindadas en el Centro CAIPED en 2024</v>
      </c>
      <c r="G925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5" s="79" t="str">
        <f ca="1">IFERROR(__xludf.DUMMYFUNCTION("""COMPUTED_VALUE"""),"AH NOVIEMBRE")</f>
        <v>AH NOVIEMBRE</v>
      </c>
      <c r="I925" s="79" t="str">
        <f ca="1">IFERROR(__xludf.DUMMYFUNCTION("""COMPUTED_VALUE"""),"Noviembre")</f>
        <v>Noviembre</v>
      </c>
      <c r="J925" s="79" t="str">
        <f ca="1">IFERROR(__xludf.DUMMYFUNCTION("""COMPUTED_VALUE"""),"AH")</f>
        <v>AH</v>
      </c>
      <c r="K925" s="80">
        <f ca="1">IFERROR(__xludf.DUMMYFUNCTION("""COMPUTED_VALUE"""),8)</f>
        <v>8</v>
      </c>
      <c r="L925" s="79" t="str">
        <f ca="1">IFERROR(__xludf.DUMMYFUNCTION("""COMPUTED_VALUE"""),"TRIMESTRE 4")</f>
        <v>TRIMESTRE 4</v>
      </c>
      <c r="M925" s="79" t="str">
        <f ca="1">IFERROR(__xludf.DUMMYFUNCTION("""COMPUTED_VALUE"""),"ADOLESCENTES HOMBRES")</f>
        <v>ADOLESCENTES HOMBRES</v>
      </c>
    </row>
    <row r="926" spans="1:13">
      <c r="A926" s="79" t="str">
        <f ca="1">IFERROR(__xludf.DUMMYFUNCTION("""COMPUTED_VALUE"""),"6.1.5.1")</f>
        <v>6.1.5.1</v>
      </c>
      <c r="B926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6" s="79" t="str">
        <f ca="1">IFERROR(__xludf.DUMMYFUNCTION("""COMPUTED_VALUE"""),"5. Inclusión")</f>
        <v>5. Inclusión</v>
      </c>
      <c r="D926" s="79" t="str">
        <f ca="1">IFERROR(__xludf.DUMMYFUNCTION("""COMPUTED_VALUE"""),"Guadalajara sin Barreras")</f>
        <v>Guadalajara sin Barreras</v>
      </c>
      <c r="E926" s="79" t="str">
        <f ca="1">IFERROR(__xludf.DUMMYFUNCTION("""COMPUTED_VALUE"""),"Atención Integral para Personas con Discapacidad")</f>
        <v>Atención Integral para Personas con Discapacidad</v>
      </c>
      <c r="F926" s="79" t="str">
        <f ca="1">IFERROR(__xludf.DUMMYFUNCTION("""COMPUTED_VALUE"""),"A1C5. Sesiones de terapia física brindadas en el Centro CAIPED en 2024")</f>
        <v>A1C5. Sesiones de terapia física brindadas en el Centro CAIPED en 2024</v>
      </c>
      <c r="G926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6" s="79" t="str">
        <f ca="1">IFERROR(__xludf.DUMMYFUNCTION("""COMPUTED_VALUE"""),"MUJ Noviembre")</f>
        <v>MUJ Noviembre</v>
      </c>
      <c r="I926" s="79" t="str">
        <f ca="1">IFERROR(__xludf.DUMMYFUNCTION("""COMPUTED_VALUE"""),"Noviembre")</f>
        <v>Noviembre</v>
      </c>
      <c r="J926" s="79" t="str">
        <f ca="1">IFERROR(__xludf.DUMMYFUNCTION("""COMPUTED_VALUE"""),"MUJ")</f>
        <v>MUJ</v>
      </c>
      <c r="K926" s="80">
        <f ca="1">IFERROR(__xludf.DUMMYFUNCTION("""COMPUTED_VALUE"""),130)</f>
        <v>130</v>
      </c>
      <c r="L926" s="79" t="str">
        <f ca="1">IFERROR(__xludf.DUMMYFUNCTION("""COMPUTED_VALUE"""),"TRIMESTRE 4")</f>
        <v>TRIMESTRE 4</v>
      </c>
      <c r="M926" s="79" t="str">
        <f ca="1">IFERROR(__xludf.DUMMYFUNCTION("""COMPUTED_VALUE"""),"MUJERES ADULTAS")</f>
        <v>MUJERES ADULTAS</v>
      </c>
    </row>
    <row r="927" spans="1:13">
      <c r="A927" s="79" t="str">
        <f ca="1">IFERROR(__xludf.DUMMYFUNCTION("""COMPUTED_VALUE"""),"6.1.5.1")</f>
        <v>6.1.5.1</v>
      </c>
      <c r="B927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7" s="79" t="str">
        <f ca="1">IFERROR(__xludf.DUMMYFUNCTION("""COMPUTED_VALUE"""),"5. Inclusión")</f>
        <v>5. Inclusión</v>
      </c>
      <c r="D927" s="79" t="str">
        <f ca="1">IFERROR(__xludf.DUMMYFUNCTION("""COMPUTED_VALUE"""),"Guadalajara sin Barreras")</f>
        <v>Guadalajara sin Barreras</v>
      </c>
      <c r="E927" s="79" t="str">
        <f ca="1">IFERROR(__xludf.DUMMYFUNCTION("""COMPUTED_VALUE"""),"Atención Integral para Personas con Discapacidad")</f>
        <v>Atención Integral para Personas con Discapacidad</v>
      </c>
      <c r="F927" s="79" t="str">
        <f ca="1">IFERROR(__xludf.DUMMYFUNCTION("""COMPUTED_VALUE"""),"A1C5. Sesiones de terapia física brindadas en el Centro CAIPED en 2024")</f>
        <v>A1C5. Sesiones de terapia física brindadas en el Centro CAIPED en 2024</v>
      </c>
      <c r="G927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7" s="79" t="str">
        <f ca="1">IFERROR(__xludf.DUMMYFUNCTION("""COMPUTED_VALUE"""),"HOM Noviembre")</f>
        <v>HOM Noviembre</v>
      </c>
      <c r="I927" s="79" t="str">
        <f ca="1">IFERROR(__xludf.DUMMYFUNCTION("""COMPUTED_VALUE"""),"Noviembre")</f>
        <v>Noviembre</v>
      </c>
      <c r="J927" s="79" t="str">
        <f ca="1">IFERROR(__xludf.DUMMYFUNCTION("""COMPUTED_VALUE"""),"HOM")</f>
        <v>HOM</v>
      </c>
      <c r="K927" s="80">
        <f ca="1">IFERROR(__xludf.DUMMYFUNCTION("""COMPUTED_VALUE"""),103)</f>
        <v>103</v>
      </c>
      <c r="L927" s="79" t="str">
        <f ca="1">IFERROR(__xludf.DUMMYFUNCTION("""COMPUTED_VALUE"""),"TRIMESTRE 4")</f>
        <v>TRIMESTRE 4</v>
      </c>
      <c r="M927" s="79" t="str">
        <f ca="1">IFERROR(__xludf.DUMMYFUNCTION("""COMPUTED_VALUE"""),"HOMBRES ADULTOS")</f>
        <v>HOMBRES ADULTOS</v>
      </c>
    </row>
    <row r="928" spans="1:13">
      <c r="A928" s="79" t="str">
        <f ca="1">IFERROR(__xludf.DUMMYFUNCTION("""COMPUTED_VALUE"""),"6.1.5.1")</f>
        <v>6.1.5.1</v>
      </c>
      <c r="B928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8" s="79" t="str">
        <f ca="1">IFERROR(__xludf.DUMMYFUNCTION("""COMPUTED_VALUE"""),"5. Inclusión")</f>
        <v>5. Inclusión</v>
      </c>
      <c r="D928" s="79" t="str">
        <f ca="1">IFERROR(__xludf.DUMMYFUNCTION("""COMPUTED_VALUE"""),"Guadalajara sin Barreras")</f>
        <v>Guadalajara sin Barreras</v>
      </c>
      <c r="E928" s="79" t="str">
        <f ca="1">IFERROR(__xludf.DUMMYFUNCTION("""COMPUTED_VALUE"""),"Atención Integral para Personas con Discapacidad")</f>
        <v>Atención Integral para Personas con Discapacidad</v>
      </c>
      <c r="F928" s="79" t="str">
        <f ca="1">IFERROR(__xludf.DUMMYFUNCTION("""COMPUTED_VALUE"""),"A1C5. Sesiones de terapia física brindadas en el Centro CAIPED en 2024")</f>
        <v>A1C5. Sesiones de terapia física brindadas en el Centro CAIPED en 2024</v>
      </c>
      <c r="G928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8" s="79" t="str">
        <f ca="1">IFERROR(__xludf.DUMMYFUNCTION("""COMPUTED_VALUE"""),"AMM Noviembre")</f>
        <v>AMM Noviembre</v>
      </c>
      <c r="I928" s="79" t="str">
        <f ca="1">IFERROR(__xludf.DUMMYFUNCTION("""COMPUTED_VALUE"""),"Noviembre")</f>
        <v>Noviembre</v>
      </c>
      <c r="J928" s="79" t="str">
        <f ca="1">IFERROR(__xludf.DUMMYFUNCTION("""COMPUTED_VALUE"""),"AMM")</f>
        <v>AMM</v>
      </c>
      <c r="K928" s="80">
        <f ca="1">IFERROR(__xludf.DUMMYFUNCTION("""COMPUTED_VALUE"""),305)</f>
        <v>305</v>
      </c>
      <c r="L928" s="79" t="str">
        <f ca="1">IFERROR(__xludf.DUMMYFUNCTION("""COMPUTED_VALUE"""),"TRIMESTRE 4")</f>
        <v>TRIMESTRE 4</v>
      </c>
      <c r="M928" s="79" t="str">
        <f ca="1">IFERROR(__xludf.DUMMYFUNCTION("""COMPUTED_VALUE"""),"ADULTA MAYOR MUJER")</f>
        <v>ADULTA MAYOR MUJER</v>
      </c>
    </row>
    <row r="929" spans="1:13">
      <c r="A929" s="79" t="str">
        <f ca="1">IFERROR(__xludf.DUMMYFUNCTION("""COMPUTED_VALUE"""),"6.1.5.1")</f>
        <v>6.1.5.1</v>
      </c>
      <c r="B929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29" s="79" t="str">
        <f ca="1">IFERROR(__xludf.DUMMYFUNCTION("""COMPUTED_VALUE"""),"5. Inclusión")</f>
        <v>5. Inclusión</v>
      </c>
      <c r="D929" s="79" t="str">
        <f ca="1">IFERROR(__xludf.DUMMYFUNCTION("""COMPUTED_VALUE"""),"Guadalajara sin Barreras")</f>
        <v>Guadalajara sin Barreras</v>
      </c>
      <c r="E929" s="79" t="str">
        <f ca="1">IFERROR(__xludf.DUMMYFUNCTION("""COMPUTED_VALUE"""),"Atención Integral para Personas con Discapacidad")</f>
        <v>Atención Integral para Personas con Discapacidad</v>
      </c>
      <c r="F929" s="79" t="str">
        <f ca="1">IFERROR(__xludf.DUMMYFUNCTION("""COMPUTED_VALUE"""),"A1C5. Sesiones de terapia física brindadas en el Centro CAIPED en 2024")</f>
        <v>A1C5. Sesiones de terapia física brindadas en el Centro CAIPED en 2024</v>
      </c>
      <c r="G929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29" s="79" t="str">
        <f ca="1">IFERROR(__xludf.DUMMYFUNCTION("""COMPUTED_VALUE"""),"AMH Noviembre")</f>
        <v>AMH Noviembre</v>
      </c>
      <c r="I929" s="79" t="str">
        <f ca="1">IFERROR(__xludf.DUMMYFUNCTION("""COMPUTED_VALUE"""),"Noviembre")</f>
        <v>Noviembre</v>
      </c>
      <c r="J929" s="79" t="str">
        <f ca="1">IFERROR(__xludf.DUMMYFUNCTION("""COMPUTED_VALUE"""),"AMH")</f>
        <v>AMH</v>
      </c>
      <c r="K929" s="80">
        <f ca="1">IFERROR(__xludf.DUMMYFUNCTION("""COMPUTED_VALUE"""),123)</f>
        <v>123</v>
      </c>
      <c r="L929" s="79" t="str">
        <f ca="1">IFERROR(__xludf.DUMMYFUNCTION("""COMPUTED_VALUE"""),"TRIMESTRE 4")</f>
        <v>TRIMESTRE 4</v>
      </c>
      <c r="M929" s="79" t="str">
        <f ca="1">IFERROR(__xludf.DUMMYFUNCTION("""COMPUTED_VALUE"""),"ADULTO MAYOR HOMBRE")</f>
        <v>ADULTO MAYOR HOMBRE</v>
      </c>
    </row>
    <row r="930" spans="1:13">
      <c r="A930" s="79" t="str">
        <f ca="1">IFERROR(__xludf.DUMMYFUNCTION("""COMPUTED_VALUE"""),"6.1.5.2")</f>
        <v>6.1.5.2</v>
      </c>
      <c r="B930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0" s="79" t="str">
        <f ca="1">IFERROR(__xludf.DUMMYFUNCTION("""COMPUTED_VALUE"""),"5. Inclusión")</f>
        <v>5. Inclusión</v>
      </c>
      <c r="D930" s="79" t="str">
        <f ca="1">IFERROR(__xludf.DUMMYFUNCTION("""COMPUTED_VALUE"""),"Guadalajara sin Barreras")</f>
        <v>Guadalajara sin Barreras</v>
      </c>
      <c r="E930" s="79" t="str">
        <f ca="1">IFERROR(__xludf.DUMMYFUNCTION("""COMPUTED_VALUE"""),"Atención Integral para Personas con Discapacidad")</f>
        <v>Atención Integral para Personas con Discapacidad</v>
      </c>
      <c r="F930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30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0" s="79" t="str">
        <f ca="1">IFERROR(__xludf.DUMMYFUNCTION("""COMPUTED_VALUE"""),"NAS Noviembre")</f>
        <v>NAS Noviembre</v>
      </c>
      <c r="I930" s="79" t="str">
        <f ca="1">IFERROR(__xludf.DUMMYFUNCTION("""COMPUTED_VALUE"""),"Noviembre")</f>
        <v>Noviembre</v>
      </c>
      <c r="J930" s="79" t="str">
        <f ca="1">IFERROR(__xludf.DUMMYFUNCTION("""COMPUTED_VALUE"""),"NAS")</f>
        <v>NAS</v>
      </c>
      <c r="K930" s="80">
        <f ca="1">IFERROR(__xludf.DUMMYFUNCTION("""COMPUTED_VALUE"""),1)</f>
        <v>1</v>
      </c>
      <c r="L930" s="79" t="str">
        <f ca="1">IFERROR(__xludf.DUMMYFUNCTION("""COMPUTED_VALUE"""),"TRIMESTRE 4")</f>
        <v>TRIMESTRE 4</v>
      </c>
      <c r="M930" s="79" t="str">
        <f ca="1">IFERROR(__xludf.DUMMYFUNCTION("""COMPUTED_VALUE"""),"NIÑAS")</f>
        <v>NIÑAS</v>
      </c>
    </row>
    <row r="931" spans="1:13">
      <c r="A931" s="79" t="str">
        <f ca="1">IFERROR(__xludf.DUMMYFUNCTION("""COMPUTED_VALUE"""),"6.1.5.2")</f>
        <v>6.1.5.2</v>
      </c>
      <c r="B931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1" s="79" t="str">
        <f ca="1">IFERROR(__xludf.DUMMYFUNCTION("""COMPUTED_VALUE"""),"5. Inclusión")</f>
        <v>5. Inclusión</v>
      </c>
      <c r="D931" s="79" t="str">
        <f ca="1">IFERROR(__xludf.DUMMYFUNCTION("""COMPUTED_VALUE"""),"Guadalajara sin Barreras")</f>
        <v>Guadalajara sin Barreras</v>
      </c>
      <c r="E931" s="79" t="str">
        <f ca="1">IFERROR(__xludf.DUMMYFUNCTION("""COMPUTED_VALUE"""),"Atención Integral para Personas con Discapacidad")</f>
        <v>Atención Integral para Personas con Discapacidad</v>
      </c>
      <c r="F931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31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1" s="79" t="str">
        <f ca="1">IFERROR(__xludf.DUMMYFUNCTION("""COMPUTED_VALUE"""),"NOS Noviembre")</f>
        <v>NOS Noviembre</v>
      </c>
      <c r="I931" s="79" t="str">
        <f ca="1">IFERROR(__xludf.DUMMYFUNCTION("""COMPUTED_VALUE"""),"Noviembre")</f>
        <v>Noviembre</v>
      </c>
      <c r="J931" s="79" t="str">
        <f ca="1">IFERROR(__xludf.DUMMYFUNCTION("""COMPUTED_VALUE"""),"NOS")</f>
        <v>NOS</v>
      </c>
      <c r="K931" s="80">
        <f ca="1">IFERROR(__xludf.DUMMYFUNCTION("""COMPUTED_VALUE"""),0)</f>
        <v>0</v>
      </c>
      <c r="L931" s="79" t="str">
        <f ca="1">IFERROR(__xludf.DUMMYFUNCTION("""COMPUTED_VALUE"""),"TRIMESTRE 4")</f>
        <v>TRIMESTRE 4</v>
      </c>
      <c r="M931" s="79" t="str">
        <f ca="1">IFERROR(__xludf.DUMMYFUNCTION("""COMPUTED_VALUE"""),"NIÑOS")</f>
        <v>NIÑOS</v>
      </c>
    </row>
    <row r="932" spans="1:13">
      <c r="A932" s="79" t="str">
        <f ca="1">IFERROR(__xludf.DUMMYFUNCTION("""COMPUTED_VALUE"""),"6.1.5.2")</f>
        <v>6.1.5.2</v>
      </c>
      <c r="B932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2" s="79" t="str">
        <f ca="1">IFERROR(__xludf.DUMMYFUNCTION("""COMPUTED_VALUE"""),"5. Inclusión")</f>
        <v>5. Inclusión</v>
      </c>
      <c r="D932" s="79" t="str">
        <f ca="1">IFERROR(__xludf.DUMMYFUNCTION("""COMPUTED_VALUE"""),"Guadalajara sin Barreras")</f>
        <v>Guadalajara sin Barreras</v>
      </c>
      <c r="E932" s="79" t="str">
        <f ca="1">IFERROR(__xludf.DUMMYFUNCTION("""COMPUTED_VALUE"""),"Atención Integral para Personas con Discapacidad")</f>
        <v>Atención Integral para Personas con Discapacidad</v>
      </c>
      <c r="F932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32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2" s="79" t="str">
        <f ca="1">IFERROR(__xludf.DUMMYFUNCTION("""COMPUTED_VALUE"""),"AM NOVIEMBRE")</f>
        <v>AM NOVIEMBRE</v>
      </c>
      <c r="I932" s="79" t="str">
        <f ca="1">IFERROR(__xludf.DUMMYFUNCTION("""COMPUTED_VALUE"""),"Noviembre")</f>
        <v>Noviembre</v>
      </c>
      <c r="J932" s="79" t="str">
        <f ca="1">IFERROR(__xludf.DUMMYFUNCTION("""COMPUTED_VALUE"""),"AM")</f>
        <v>AM</v>
      </c>
      <c r="K932" s="80">
        <f ca="1">IFERROR(__xludf.DUMMYFUNCTION("""COMPUTED_VALUE"""),1)</f>
        <v>1</v>
      </c>
      <c r="L932" s="79" t="str">
        <f ca="1">IFERROR(__xludf.DUMMYFUNCTION("""COMPUTED_VALUE"""),"TRIMESTRE 4")</f>
        <v>TRIMESTRE 4</v>
      </c>
      <c r="M932" s="79" t="str">
        <f ca="1">IFERROR(__xludf.DUMMYFUNCTION("""COMPUTED_VALUE"""),"ADOLESCENTES MUJERES")</f>
        <v>ADOLESCENTES MUJERES</v>
      </c>
    </row>
    <row r="933" spans="1:13">
      <c r="A933" s="79" t="str">
        <f ca="1">IFERROR(__xludf.DUMMYFUNCTION("""COMPUTED_VALUE"""),"6.1.5.2")</f>
        <v>6.1.5.2</v>
      </c>
      <c r="B933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3" s="79" t="str">
        <f ca="1">IFERROR(__xludf.DUMMYFUNCTION("""COMPUTED_VALUE"""),"5. Inclusión")</f>
        <v>5. Inclusión</v>
      </c>
      <c r="D933" s="79" t="str">
        <f ca="1">IFERROR(__xludf.DUMMYFUNCTION("""COMPUTED_VALUE"""),"Guadalajara sin Barreras")</f>
        <v>Guadalajara sin Barreras</v>
      </c>
      <c r="E933" s="79" t="str">
        <f ca="1">IFERROR(__xludf.DUMMYFUNCTION("""COMPUTED_VALUE"""),"Atención Integral para Personas con Discapacidad")</f>
        <v>Atención Integral para Personas con Discapacidad</v>
      </c>
      <c r="F933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33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3" s="79" t="str">
        <f ca="1">IFERROR(__xludf.DUMMYFUNCTION("""COMPUTED_VALUE"""),"AH NOVIEMBRE")</f>
        <v>AH NOVIEMBRE</v>
      </c>
      <c r="I933" s="79" t="str">
        <f ca="1">IFERROR(__xludf.DUMMYFUNCTION("""COMPUTED_VALUE"""),"Noviembre")</f>
        <v>Noviembre</v>
      </c>
      <c r="J933" s="79" t="str">
        <f ca="1">IFERROR(__xludf.DUMMYFUNCTION("""COMPUTED_VALUE"""),"AH")</f>
        <v>AH</v>
      </c>
      <c r="K933" s="80">
        <f ca="1">IFERROR(__xludf.DUMMYFUNCTION("""COMPUTED_VALUE"""),1)</f>
        <v>1</v>
      </c>
      <c r="L933" s="79" t="str">
        <f ca="1">IFERROR(__xludf.DUMMYFUNCTION("""COMPUTED_VALUE"""),"TRIMESTRE 4")</f>
        <v>TRIMESTRE 4</v>
      </c>
      <c r="M933" s="79" t="str">
        <f ca="1">IFERROR(__xludf.DUMMYFUNCTION("""COMPUTED_VALUE"""),"ADOLESCENTES HOMBRES")</f>
        <v>ADOLESCENTES HOMBRES</v>
      </c>
    </row>
    <row r="934" spans="1:13">
      <c r="A934" s="79" t="str">
        <f ca="1">IFERROR(__xludf.DUMMYFUNCTION("""COMPUTED_VALUE"""),"6.1.5.2")</f>
        <v>6.1.5.2</v>
      </c>
      <c r="B934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4" s="79" t="str">
        <f ca="1">IFERROR(__xludf.DUMMYFUNCTION("""COMPUTED_VALUE"""),"5. Inclusión")</f>
        <v>5. Inclusión</v>
      </c>
      <c r="D934" s="79" t="str">
        <f ca="1">IFERROR(__xludf.DUMMYFUNCTION("""COMPUTED_VALUE"""),"Guadalajara sin Barreras")</f>
        <v>Guadalajara sin Barreras</v>
      </c>
      <c r="E934" s="79" t="str">
        <f ca="1">IFERROR(__xludf.DUMMYFUNCTION("""COMPUTED_VALUE"""),"Atención Integral para Personas con Discapacidad")</f>
        <v>Atención Integral para Personas con Discapacidad</v>
      </c>
      <c r="F934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34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4" s="79" t="str">
        <f ca="1">IFERROR(__xludf.DUMMYFUNCTION("""COMPUTED_VALUE"""),"MUJ Noviembre")</f>
        <v>MUJ Noviembre</v>
      </c>
      <c r="I934" s="79" t="str">
        <f ca="1">IFERROR(__xludf.DUMMYFUNCTION("""COMPUTED_VALUE"""),"Noviembre")</f>
        <v>Noviembre</v>
      </c>
      <c r="J934" s="79" t="str">
        <f ca="1">IFERROR(__xludf.DUMMYFUNCTION("""COMPUTED_VALUE"""),"MUJ")</f>
        <v>MUJ</v>
      </c>
      <c r="K934" s="80">
        <f ca="1">IFERROR(__xludf.DUMMYFUNCTION("""COMPUTED_VALUE"""),14)</f>
        <v>14</v>
      </c>
      <c r="L934" s="79" t="str">
        <f ca="1">IFERROR(__xludf.DUMMYFUNCTION("""COMPUTED_VALUE"""),"TRIMESTRE 4")</f>
        <v>TRIMESTRE 4</v>
      </c>
      <c r="M934" s="79" t="str">
        <f ca="1">IFERROR(__xludf.DUMMYFUNCTION("""COMPUTED_VALUE"""),"MUJERES ADULTAS")</f>
        <v>MUJERES ADULTAS</v>
      </c>
    </row>
    <row r="935" spans="1:13">
      <c r="A935" s="79" t="str">
        <f ca="1">IFERROR(__xludf.DUMMYFUNCTION("""COMPUTED_VALUE"""),"6.1.5.2")</f>
        <v>6.1.5.2</v>
      </c>
      <c r="B935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5" s="79" t="str">
        <f ca="1">IFERROR(__xludf.DUMMYFUNCTION("""COMPUTED_VALUE"""),"5. Inclusión")</f>
        <v>5. Inclusión</v>
      </c>
      <c r="D935" s="79" t="str">
        <f ca="1">IFERROR(__xludf.DUMMYFUNCTION("""COMPUTED_VALUE"""),"Guadalajara sin Barreras")</f>
        <v>Guadalajara sin Barreras</v>
      </c>
      <c r="E935" s="79" t="str">
        <f ca="1">IFERROR(__xludf.DUMMYFUNCTION("""COMPUTED_VALUE"""),"Atención Integral para Personas con Discapacidad")</f>
        <v>Atención Integral para Personas con Discapacidad</v>
      </c>
      <c r="F935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35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5" s="79" t="str">
        <f ca="1">IFERROR(__xludf.DUMMYFUNCTION("""COMPUTED_VALUE"""),"HOM Noviembre")</f>
        <v>HOM Noviembre</v>
      </c>
      <c r="I935" s="79" t="str">
        <f ca="1">IFERROR(__xludf.DUMMYFUNCTION("""COMPUTED_VALUE"""),"Noviembre")</f>
        <v>Noviembre</v>
      </c>
      <c r="J935" s="79" t="str">
        <f ca="1">IFERROR(__xludf.DUMMYFUNCTION("""COMPUTED_VALUE"""),"HOM")</f>
        <v>HOM</v>
      </c>
      <c r="K935" s="80">
        <f ca="1">IFERROR(__xludf.DUMMYFUNCTION("""COMPUTED_VALUE"""),9)</f>
        <v>9</v>
      </c>
      <c r="L935" s="79" t="str">
        <f ca="1">IFERROR(__xludf.DUMMYFUNCTION("""COMPUTED_VALUE"""),"TRIMESTRE 4")</f>
        <v>TRIMESTRE 4</v>
      </c>
      <c r="M935" s="79" t="str">
        <f ca="1">IFERROR(__xludf.DUMMYFUNCTION("""COMPUTED_VALUE"""),"HOMBRES ADULTOS")</f>
        <v>HOMBRES ADULTOS</v>
      </c>
    </row>
    <row r="936" spans="1:13">
      <c r="A936" s="79" t="str">
        <f ca="1">IFERROR(__xludf.DUMMYFUNCTION("""COMPUTED_VALUE"""),"6.1.5.2")</f>
        <v>6.1.5.2</v>
      </c>
      <c r="B936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6" s="79" t="str">
        <f ca="1">IFERROR(__xludf.DUMMYFUNCTION("""COMPUTED_VALUE"""),"5. Inclusión")</f>
        <v>5. Inclusión</v>
      </c>
      <c r="D936" s="79" t="str">
        <f ca="1">IFERROR(__xludf.DUMMYFUNCTION("""COMPUTED_VALUE"""),"Guadalajara sin Barreras")</f>
        <v>Guadalajara sin Barreras</v>
      </c>
      <c r="E936" s="79" t="str">
        <f ca="1">IFERROR(__xludf.DUMMYFUNCTION("""COMPUTED_VALUE"""),"Atención Integral para Personas con Discapacidad")</f>
        <v>Atención Integral para Personas con Discapacidad</v>
      </c>
      <c r="F936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36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6" s="79" t="str">
        <f ca="1">IFERROR(__xludf.DUMMYFUNCTION("""COMPUTED_VALUE"""),"AMM Noviembre")</f>
        <v>AMM Noviembre</v>
      </c>
      <c r="I936" s="79" t="str">
        <f ca="1">IFERROR(__xludf.DUMMYFUNCTION("""COMPUTED_VALUE"""),"Noviembre")</f>
        <v>Noviembre</v>
      </c>
      <c r="J936" s="79" t="str">
        <f ca="1">IFERROR(__xludf.DUMMYFUNCTION("""COMPUTED_VALUE"""),"AMM")</f>
        <v>AMM</v>
      </c>
      <c r="K936" s="80">
        <f ca="1">IFERROR(__xludf.DUMMYFUNCTION("""COMPUTED_VALUE"""),19)</f>
        <v>19</v>
      </c>
      <c r="L936" s="79" t="str">
        <f ca="1">IFERROR(__xludf.DUMMYFUNCTION("""COMPUTED_VALUE"""),"TRIMESTRE 4")</f>
        <v>TRIMESTRE 4</v>
      </c>
      <c r="M936" s="79" t="str">
        <f ca="1">IFERROR(__xludf.DUMMYFUNCTION("""COMPUTED_VALUE"""),"ADULTA MAYOR MUJER")</f>
        <v>ADULTA MAYOR MUJER</v>
      </c>
    </row>
    <row r="937" spans="1:13">
      <c r="A937" s="79" t="str">
        <f ca="1">IFERROR(__xludf.DUMMYFUNCTION("""COMPUTED_VALUE"""),"6.1.5.2")</f>
        <v>6.1.5.2</v>
      </c>
      <c r="B937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37" s="79" t="str">
        <f ca="1">IFERROR(__xludf.DUMMYFUNCTION("""COMPUTED_VALUE"""),"5. Inclusión")</f>
        <v>5. Inclusión</v>
      </c>
      <c r="D937" s="79" t="str">
        <f ca="1">IFERROR(__xludf.DUMMYFUNCTION("""COMPUTED_VALUE"""),"Guadalajara sin Barreras")</f>
        <v>Guadalajara sin Barreras</v>
      </c>
      <c r="E937" s="79" t="str">
        <f ca="1">IFERROR(__xludf.DUMMYFUNCTION("""COMPUTED_VALUE"""),"Atención Integral para Personas con Discapacidad")</f>
        <v>Atención Integral para Personas con Discapacidad</v>
      </c>
      <c r="F937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37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37" s="79" t="str">
        <f ca="1">IFERROR(__xludf.DUMMYFUNCTION("""COMPUTED_VALUE"""),"AMH Noviembre")</f>
        <v>AMH Noviembre</v>
      </c>
      <c r="I937" s="79" t="str">
        <f ca="1">IFERROR(__xludf.DUMMYFUNCTION("""COMPUTED_VALUE"""),"Noviembre")</f>
        <v>Noviembre</v>
      </c>
      <c r="J937" s="79" t="str">
        <f ca="1">IFERROR(__xludf.DUMMYFUNCTION("""COMPUTED_VALUE"""),"AMH")</f>
        <v>AMH</v>
      </c>
      <c r="K937" s="80">
        <f ca="1">IFERROR(__xludf.DUMMYFUNCTION("""COMPUTED_VALUE"""),13)</f>
        <v>13</v>
      </c>
      <c r="L937" s="79" t="str">
        <f ca="1">IFERROR(__xludf.DUMMYFUNCTION("""COMPUTED_VALUE"""),"TRIMESTRE 4")</f>
        <v>TRIMESTRE 4</v>
      </c>
      <c r="M937" s="79" t="str">
        <f ca="1">IFERROR(__xludf.DUMMYFUNCTION("""COMPUTED_VALUE"""),"ADULTO MAYOR HOMBRE")</f>
        <v>ADULTO MAYOR HOMBRE</v>
      </c>
    </row>
    <row r="938" spans="1:13">
      <c r="A938" s="79" t="str">
        <f ca="1">IFERROR(__xludf.DUMMYFUNCTION("""COMPUTED_VALUE"""),"6.1.5.0")</f>
        <v>6.1.5.0</v>
      </c>
      <c r="B938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38" s="79" t="str">
        <f ca="1">IFERROR(__xludf.DUMMYFUNCTION("""COMPUTED_VALUE"""),"5. Inclusión")</f>
        <v>5. Inclusión</v>
      </c>
      <c r="D938" s="79" t="str">
        <f ca="1">IFERROR(__xludf.DUMMYFUNCTION("""COMPUTED_VALUE"""),"Guadalajara sin Barreras")</f>
        <v>Guadalajara sin Barreras</v>
      </c>
      <c r="E938" s="79" t="str">
        <f ca="1">IFERROR(__xludf.DUMMYFUNCTION("""COMPUTED_VALUE"""),"Atención Integral para Personas con Discapacidad")</f>
        <v>Atención Integral para Personas con Discapacidad</v>
      </c>
      <c r="F938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38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38" s="79" t="str">
        <f ca="1">IFERROR(__xludf.DUMMYFUNCTION("""COMPUTED_VALUE"""),"NAS Diciembre")</f>
        <v>NAS Diciembre</v>
      </c>
      <c r="I938" s="79" t="str">
        <f ca="1">IFERROR(__xludf.DUMMYFUNCTION("""COMPUTED_VALUE"""),"Diciembre")</f>
        <v>Diciembre</v>
      </c>
      <c r="J938" s="79" t="str">
        <f ca="1">IFERROR(__xludf.DUMMYFUNCTION("""COMPUTED_VALUE"""),"NAS")</f>
        <v>NAS</v>
      </c>
      <c r="K938" s="80">
        <f ca="1">IFERROR(__xludf.DUMMYFUNCTION("""COMPUTED_VALUE"""),0)</f>
        <v>0</v>
      </c>
      <c r="L938" s="79" t="str">
        <f ca="1">IFERROR(__xludf.DUMMYFUNCTION("""COMPUTED_VALUE"""),"TRIMESTRE 4")</f>
        <v>TRIMESTRE 4</v>
      </c>
      <c r="M938" s="79" t="str">
        <f ca="1">IFERROR(__xludf.DUMMYFUNCTION("""COMPUTED_VALUE"""),"NIÑAS")</f>
        <v>NIÑAS</v>
      </c>
    </row>
    <row r="939" spans="1:13">
      <c r="A939" s="79" t="str">
        <f ca="1">IFERROR(__xludf.DUMMYFUNCTION("""COMPUTED_VALUE"""),"6.1.5.0")</f>
        <v>6.1.5.0</v>
      </c>
      <c r="B939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39" s="79" t="str">
        <f ca="1">IFERROR(__xludf.DUMMYFUNCTION("""COMPUTED_VALUE"""),"5. Inclusión")</f>
        <v>5. Inclusión</v>
      </c>
      <c r="D939" s="79" t="str">
        <f ca="1">IFERROR(__xludf.DUMMYFUNCTION("""COMPUTED_VALUE"""),"Guadalajara sin Barreras")</f>
        <v>Guadalajara sin Barreras</v>
      </c>
      <c r="E939" s="79" t="str">
        <f ca="1">IFERROR(__xludf.DUMMYFUNCTION("""COMPUTED_VALUE"""),"Atención Integral para Personas con Discapacidad")</f>
        <v>Atención Integral para Personas con Discapacidad</v>
      </c>
      <c r="F939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39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39" s="79" t="str">
        <f ca="1">IFERROR(__xludf.DUMMYFUNCTION("""COMPUTED_VALUE"""),"NOS Diciembre")</f>
        <v>NOS Diciembre</v>
      </c>
      <c r="I939" s="79" t="str">
        <f ca="1">IFERROR(__xludf.DUMMYFUNCTION("""COMPUTED_VALUE"""),"Diciembre")</f>
        <v>Diciembre</v>
      </c>
      <c r="J939" s="79" t="str">
        <f ca="1">IFERROR(__xludf.DUMMYFUNCTION("""COMPUTED_VALUE"""),"NOS")</f>
        <v>NOS</v>
      </c>
      <c r="K939" s="80">
        <f ca="1">IFERROR(__xludf.DUMMYFUNCTION("""COMPUTED_VALUE"""),0)</f>
        <v>0</v>
      </c>
      <c r="L939" s="79" t="str">
        <f ca="1">IFERROR(__xludf.DUMMYFUNCTION("""COMPUTED_VALUE"""),"TRIMESTRE 4")</f>
        <v>TRIMESTRE 4</v>
      </c>
      <c r="M939" s="79" t="str">
        <f ca="1">IFERROR(__xludf.DUMMYFUNCTION("""COMPUTED_VALUE"""),"NIÑOS")</f>
        <v>NIÑOS</v>
      </c>
    </row>
    <row r="940" spans="1:13">
      <c r="A940" s="79" t="str">
        <f ca="1">IFERROR(__xludf.DUMMYFUNCTION("""COMPUTED_VALUE"""),"6.1.5.0")</f>
        <v>6.1.5.0</v>
      </c>
      <c r="B940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40" s="79" t="str">
        <f ca="1">IFERROR(__xludf.DUMMYFUNCTION("""COMPUTED_VALUE"""),"5. Inclusión")</f>
        <v>5. Inclusión</v>
      </c>
      <c r="D940" s="79" t="str">
        <f ca="1">IFERROR(__xludf.DUMMYFUNCTION("""COMPUTED_VALUE"""),"Guadalajara sin Barreras")</f>
        <v>Guadalajara sin Barreras</v>
      </c>
      <c r="E940" s="79" t="str">
        <f ca="1">IFERROR(__xludf.DUMMYFUNCTION("""COMPUTED_VALUE"""),"Atención Integral para Personas con Discapacidad")</f>
        <v>Atención Integral para Personas con Discapacidad</v>
      </c>
      <c r="F940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40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40" s="79" t="str">
        <f ca="1">IFERROR(__xludf.DUMMYFUNCTION("""COMPUTED_VALUE"""),"AM DICIEMBRE")</f>
        <v>AM DICIEMBRE</v>
      </c>
      <c r="I940" s="79" t="str">
        <f ca="1">IFERROR(__xludf.DUMMYFUNCTION("""COMPUTED_VALUE"""),"Diciembre")</f>
        <v>Diciembre</v>
      </c>
      <c r="J940" s="79" t="str">
        <f ca="1">IFERROR(__xludf.DUMMYFUNCTION("""COMPUTED_VALUE"""),"AM")</f>
        <v>AM</v>
      </c>
      <c r="K940" s="80">
        <f ca="1">IFERROR(__xludf.DUMMYFUNCTION("""COMPUTED_VALUE"""),0)</f>
        <v>0</v>
      </c>
      <c r="L940" s="79" t="str">
        <f ca="1">IFERROR(__xludf.DUMMYFUNCTION("""COMPUTED_VALUE"""),"TRIMESTRE 4")</f>
        <v>TRIMESTRE 4</v>
      </c>
      <c r="M940" s="79" t="str">
        <f ca="1">IFERROR(__xludf.DUMMYFUNCTION("""COMPUTED_VALUE"""),"ADOLESCENTES MUJERES")</f>
        <v>ADOLESCENTES MUJERES</v>
      </c>
    </row>
    <row r="941" spans="1:13">
      <c r="A941" s="79" t="str">
        <f ca="1">IFERROR(__xludf.DUMMYFUNCTION("""COMPUTED_VALUE"""),"6.1.5.0")</f>
        <v>6.1.5.0</v>
      </c>
      <c r="B941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41" s="79" t="str">
        <f ca="1">IFERROR(__xludf.DUMMYFUNCTION("""COMPUTED_VALUE"""),"5. Inclusión")</f>
        <v>5. Inclusión</v>
      </c>
      <c r="D941" s="79" t="str">
        <f ca="1">IFERROR(__xludf.DUMMYFUNCTION("""COMPUTED_VALUE"""),"Guadalajara sin Barreras")</f>
        <v>Guadalajara sin Barreras</v>
      </c>
      <c r="E941" s="79" t="str">
        <f ca="1">IFERROR(__xludf.DUMMYFUNCTION("""COMPUTED_VALUE"""),"Atención Integral para Personas con Discapacidad")</f>
        <v>Atención Integral para Personas con Discapacidad</v>
      </c>
      <c r="F941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41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41" s="79" t="str">
        <f ca="1">IFERROR(__xludf.DUMMYFUNCTION("""COMPUTED_VALUE"""),"AH DICIEMBRE")</f>
        <v>AH DICIEMBRE</v>
      </c>
      <c r="I941" s="79" t="str">
        <f ca="1">IFERROR(__xludf.DUMMYFUNCTION("""COMPUTED_VALUE"""),"Diciembre")</f>
        <v>Diciembre</v>
      </c>
      <c r="J941" s="79" t="str">
        <f ca="1">IFERROR(__xludf.DUMMYFUNCTION("""COMPUTED_VALUE"""),"AH")</f>
        <v>AH</v>
      </c>
      <c r="K941" s="80">
        <f ca="1">IFERROR(__xludf.DUMMYFUNCTION("""COMPUTED_VALUE"""),0)</f>
        <v>0</v>
      </c>
      <c r="L941" s="79" t="str">
        <f ca="1">IFERROR(__xludf.DUMMYFUNCTION("""COMPUTED_VALUE"""),"TRIMESTRE 4")</f>
        <v>TRIMESTRE 4</v>
      </c>
      <c r="M941" s="79" t="str">
        <f ca="1">IFERROR(__xludf.DUMMYFUNCTION("""COMPUTED_VALUE"""),"ADOLESCENTES HOMBRES")</f>
        <v>ADOLESCENTES HOMBRES</v>
      </c>
    </row>
    <row r="942" spans="1:13">
      <c r="A942" s="79" t="str">
        <f ca="1">IFERROR(__xludf.DUMMYFUNCTION("""COMPUTED_VALUE"""),"6.1.5.0")</f>
        <v>6.1.5.0</v>
      </c>
      <c r="B942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42" s="79" t="str">
        <f ca="1">IFERROR(__xludf.DUMMYFUNCTION("""COMPUTED_VALUE"""),"5. Inclusión")</f>
        <v>5. Inclusión</v>
      </c>
      <c r="D942" s="79" t="str">
        <f ca="1">IFERROR(__xludf.DUMMYFUNCTION("""COMPUTED_VALUE"""),"Guadalajara sin Barreras")</f>
        <v>Guadalajara sin Barreras</v>
      </c>
      <c r="E942" s="79" t="str">
        <f ca="1">IFERROR(__xludf.DUMMYFUNCTION("""COMPUTED_VALUE"""),"Atención Integral para Personas con Discapacidad")</f>
        <v>Atención Integral para Personas con Discapacidad</v>
      </c>
      <c r="F942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42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42" s="79" t="str">
        <f ca="1">IFERROR(__xludf.DUMMYFUNCTION("""COMPUTED_VALUE"""),"MUJ Diciembre")</f>
        <v>MUJ Diciembre</v>
      </c>
      <c r="I942" s="79" t="str">
        <f ca="1">IFERROR(__xludf.DUMMYFUNCTION("""COMPUTED_VALUE"""),"Diciembre")</f>
        <v>Diciembre</v>
      </c>
      <c r="J942" s="79" t="str">
        <f ca="1">IFERROR(__xludf.DUMMYFUNCTION("""COMPUTED_VALUE"""),"MUJ")</f>
        <v>MUJ</v>
      </c>
      <c r="K942" s="80">
        <f ca="1">IFERROR(__xludf.DUMMYFUNCTION("""COMPUTED_VALUE"""),0)</f>
        <v>0</v>
      </c>
      <c r="L942" s="79" t="str">
        <f ca="1">IFERROR(__xludf.DUMMYFUNCTION("""COMPUTED_VALUE"""),"TRIMESTRE 4")</f>
        <v>TRIMESTRE 4</v>
      </c>
      <c r="M942" s="79" t="str">
        <f ca="1">IFERROR(__xludf.DUMMYFUNCTION("""COMPUTED_VALUE"""),"MUJERES ADULTAS")</f>
        <v>MUJERES ADULTAS</v>
      </c>
    </row>
    <row r="943" spans="1:13">
      <c r="A943" s="79" t="str">
        <f ca="1">IFERROR(__xludf.DUMMYFUNCTION("""COMPUTED_VALUE"""),"6.1.5.0")</f>
        <v>6.1.5.0</v>
      </c>
      <c r="B943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43" s="79" t="str">
        <f ca="1">IFERROR(__xludf.DUMMYFUNCTION("""COMPUTED_VALUE"""),"5. Inclusión")</f>
        <v>5. Inclusión</v>
      </c>
      <c r="D943" s="79" t="str">
        <f ca="1">IFERROR(__xludf.DUMMYFUNCTION("""COMPUTED_VALUE"""),"Guadalajara sin Barreras")</f>
        <v>Guadalajara sin Barreras</v>
      </c>
      <c r="E943" s="79" t="str">
        <f ca="1">IFERROR(__xludf.DUMMYFUNCTION("""COMPUTED_VALUE"""),"Atención Integral para Personas con Discapacidad")</f>
        <v>Atención Integral para Personas con Discapacidad</v>
      </c>
      <c r="F943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43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43" s="79" t="str">
        <f ca="1">IFERROR(__xludf.DUMMYFUNCTION("""COMPUTED_VALUE"""),"HOM Diciembre")</f>
        <v>HOM Diciembre</v>
      </c>
      <c r="I943" s="79" t="str">
        <f ca="1">IFERROR(__xludf.DUMMYFUNCTION("""COMPUTED_VALUE"""),"Diciembre")</f>
        <v>Diciembre</v>
      </c>
      <c r="J943" s="79" t="str">
        <f ca="1">IFERROR(__xludf.DUMMYFUNCTION("""COMPUTED_VALUE"""),"HOM")</f>
        <v>HOM</v>
      </c>
      <c r="K943" s="80">
        <f ca="1">IFERROR(__xludf.DUMMYFUNCTION("""COMPUTED_VALUE"""),0)</f>
        <v>0</v>
      </c>
      <c r="L943" s="79" t="str">
        <f ca="1">IFERROR(__xludf.DUMMYFUNCTION("""COMPUTED_VALUE"""),"TRIMESTRE 4")</f>
        <v>TRIMESTRE 4</v>
      </c>
      <c r="M943" s="79" t="str">
        <f ca="1">IFERROR(__xludf.DUMMYFUNCTION("""COMPUTED_VALUE"""),"HOMBRES ADULTOS")</f>
        <v>HOMBRES ADULTOS</v>
      </c>
    </row>
    <row r="944" spans="1:13">
      <c r="A944" s="79" t="str">
        <f ca="1">IFERROR(__xludf.DUMMYFUNCTION("""COMPUTED_VALUE"""),"6.1.5.0")</f>
        <v>6.1.5.0</v>
      </c>
      <c r="B944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44" s="79" t="str">
        <f ca="1">IFERROR(__xludf.DUMMYFUNCTION("""COMPUTED_VALUE"""),"5. Inclusión")</f>
        <v>5. Inclusión</v>
      </c>
      <c r="D944" s="79" t="str">
        <f ca="1">IFERROR(__xludf.DUMMYFUNCTION("""COMPUTED_VALUE"""),"Guadalajara sin Barreras")</f>
        <v>Guadalajara sin Barreras</v>
      </c>
      <c r="E944" s="79" t="str">
        <f ca="1">IFERROR(__xludf.DUMMYFUNCTION("""COMPUTED_VALUE"""),"Atención Integral para Personas con Discapacidad")</f>
        <v>Atención Integral para Personas con Discapacidad</v>
      </c>
      <c r="F944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44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44" s="79" t="str">
        <f ca="1">IFERROR(__xludf.DUMMYFUNCTION("""COMPUTED_VALUE"""),"AMM Diciembre")</f>
        <v>AMM Diciembre</v>
      </c>
      <c r="I944" s="79" t="str">
        <f ca="1">IFERROR(__xludf.DUMMYFUNCTION("""COMPUTED_VALUE"""),"Diciembre")</f>
        <v>Diciembre</v>
      </c>
      <c r="J944" s="79" t="str">
        <f ca="1">IFERROR(__xludf.DUMMYFUNCTION("""COMPUTED_VALUE"""),"AMM")</f>
        <v>AMM</v>
      </c>
      <c r="K944" s="80">
        <f ca="1">IFERROR(__xludf.DUMMYFUNCTION("""COMPUTED_VALUE"""),0)</f>
        <v>0</v>
      </c>
      <c r="L944" s="79" t="str">
        <f ca="1">IFERROR(__xludf.DUMMYFUNCTION("""COMPUTED_VALUE"""),"TRIMESTRE 4")</f>
        <v>TRIMESTRE 4</v>
      </c>
      <c r="M944" s="79" t="str">
        <f ca="1">IFERROR(__xludf.DUMMYFUNCTION("""COMPUTED_VALUE"""),"ADULTA MAYOR MUJER")</f>
        <v>ADULTA MAYOR MUJER</v>
      </c>
    </row>
    <row r="945" spans="1:13">
      <c r="A945" s="79" t="str">
        <f ca="1">IFERROR(__xludf.DUMMYFUNCTION("""COMPUTED_VALUE"""),"6.1.5.0")</f>
        <v>6.1.5.0</v>
      </c>
      <c r="B945" s="79" t="str">
        <f ca="1">IFERROR(__xludf.DUMMYFUNCTION("""COMPUTED_VALUE"""),"Atención Integral para Personas con Discapacidad/Jefatura del Departamento de Desarrollo Integral de Personas Adultas Mayores/Jefatura del Departamento de Desarrollo Integral de Personas Adultas Mayores/Coord.5. Inclusión")</f>
        <v>Atención Integral para Personas con Discapacidad/Jefatura del Departamento de Desarrollo Integral de Personas Adultas Mayores/Jefatura del Departamento de Desarrollo Integral de Personas Adultas Mayores/Coord.5. Inclusión</v>
      </c>
      <c r="C945" s="79" t="str">
        <f ca="1">IFERROR(__xludf.DUMMYFUNCTION("""COMPUTED_VALUE"""),"5. Inclusión")</f>
        <v>5. Inclusión</v>
      </c>
      <c r="D945" s="79" t="str">
        <f ca="1">IFERROR(__xludf.DUMMYFUNCTION("""COMPUTED_VALUE"""),"Guadalajara sin Barreras")</f>
        <v>Guadalajara sin Barreras</v>
      </c>
      <c r="E945" s="79" t="str">
        <f ca="1">IFERROR(__xludf.DUMMYFUNCTION("""COMPUTED_VALUE"""),"Atención Integral para Personas con Discapacidad")</f>
        <v>Atención Integral para Personas con Discapacidad</v>
      </c>
      <c r="F945" s="79" t="str">
        <f ca="1">IFERROR(__xludf.DUMMYFUNCTION("""COMPUTED_VALUE"""),"C5. Servicios de terapia física, atención psicológica y consulta médica de rehabilitación y de traumatología y ortopedia brindados en el CAIPED")</f>
        <v>C5. Servicios de terapia física, atención psicológica y consulta médica de rehabilitación y de traumatología y ortopedia brindados en el CAIPED</v>
      </c>
      <c r="G945" s="79" t="str">
        <f ca="1">IFERROR(__xludf.DUMMYFUNCTION("""COMPUTED_VALUE"""),"Porcentaje de personas con discapacidad temporal o permanente y población en general atendidos en servicios de terapia física y de lenguaje, consulta médica en rehabilitación, consulta de podología, consulta en traumatología/ortopedia, y psicología en 202"&amp;"4")</f>
        <v>Porcentaje de personas con discapacidad temporal o permanente y población en general atendidos en servicios de terapia física y de lenguaje, consulta médica en rehabilitación, consulta de podología, consulta en traumatología/ortopedia, y psicología en 2024</v>
      </c>
      <c r="H945" s="79" t="str">
        <f ca="1">IFERROR(__xludf.DUMMYFUNCTION("""COMPUTED_VALUE"""),"AMH Diciembre")</f>
        <v>AMH Diciembre</v>
      </c>
      <c r="I945" s="79" t="str">
        <f ca="1">IFERROR(__xludf.DUMMYFUNCTION("""COMPUTED_VALUE"""),"Diciembre")</f>
        <v>Diciembre</v>
      </c>
      <c r="J945" s="79" t="str">
        <f ca="1">IFERROR(__xludf.DUMMYFUNCTION("""COMPUTED_VALUE"""),"AMH")</f>
        <v>AMH</v>
      </c>
      <c r="K945" s="80">
        <f ca="1">IFERROR(__xludf.DUMMYFUNCTION("""COMPUTED_VALUE"""),0)</f>
        <v>0</v>
      </c>
      <c r="L945" s="79" t="str">
        <f ca="1">IFERROR(__xludf.DUMMYFUNCTION("""COMPUTED_VALUE"""),"TRIMESTRE 4")</f>
        <v>TRIMESTRE 4</v>
      </c>
      <c r="M945" s="79" t="str">
        <f ca="1">IFERROR(__xludf.DUMMYFUNCTION("""COMPUTED_VALUE"""),"ADULTO MAYOR HOMBRE")</f>
        <v>ADULTO MAYOR HOMBRE</v>
      </c>
    </row>
    <row r="946" spans="1:13">
      <c r="A946" s="79" t="str">
        <f ca="1">IFERROR(__xludf.DUMMYFUNCTION("""COMPUTED_VALUE"""),"6.1.5.1")</f>
        <v>6.1.5.1</v>
      </c>
      <c r="B946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46" s="79" t="str">
        <f ca="1">IFERROR(__xludf.DUMMYFUNCTION("""COMPUTED_VALUE"""),"5. Inclusión")</f>
        <v>5. Inclusión</v>
      </c>
      <c r="D946" s="79" t="str">
        <f ca="1">IFERROR(__xludf.DUMMYFUNCTION("""COMPUTED_VALUE"""),"Guadalajara sin Barreras")</f>
        <v>Guadalajara sin Barreras</v>
      </c>
      <c r="E946" s="79" t="str">
        <f ca="1">IFERROR(__xludf.DUMMYFUNCTION("""COMPUTED_VALUE"""),"Atención Integral para Personas con Discapacidad")</f>
        <v>Atención Integral para Personas con Discapacidad</v>
      </c>
      <c r="F946" s="79" t="str">
        <f ca="1">IFERROR(__xludf.DUMMYFUNCTION("""COMPUTED_VALUE"""),"A1C5. Sesiones de terapia física brindadas en el Centro CAIPED en 2024")</f>
        <v>A1C5. Sesiones de terapia física brindadas en el Centro CAIPED en 2024</v>
      </c>
      <c r="G946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46" s="79" t="str">
        <f ca="1">IFERROR(__xludf.DUMMYFUNCTION("""COMPUTED_VALUE"""),"NAS Diciembre")</f>
        <v>NAS Diciembre</v>
      </c>
      <c r="I946" s="79" t="str">
        <f ca="1">IFERROR(__xludf.DUMMYFUNCTION("""COMPUTED_VALUE"""),"Diciembre")</f>
        <v>Diciembre</v>
      </c>
      <c r="J946" s="79" t="str">
        <f ca="1">IFERROR(__xludf.DUMMYFUNCTION("""COMPUTED_VALUE"""),"NAS")</f>
        <v>NAS</v>
      </c>
      <c r="K946" s="80">
        <f ca="1">IFERROR(__xludf.DUMMYFUNCTION("""COMPUTED_VALUE"""),0)</f>
        <v>0</v>
      </c>
      <c r="L946" s="79" t="str">
        <f ca="1">IFERROR(__xludf.DUMMYFUNCTION("""COMPUTED_VALUE"""),"TRIMESTRE 4")</f>
        <v>TRIMESTRE 4</v>
      </c>
      <c r="M946" s="79" t="str">
        <f ca="1">IFERROR(__xludf.DUMMYFUNCTION("""COMPUTED_VALUE"""),"NIÑAS")</f>
        <v>NIÑAS</v>
      </c>
    </row>
    <row r="947" spans="1:13">
      <c r="A947" s="79" t="str">
        <f ca="1">IFERROR(__xludf.DUMMYFUNCTION("""COMPUTED_VALUE"""),"6.1.5.1")</f>
        <v>6.1.5.1</v>
      </c>
      <c r="B947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47" s="79" t="str">
        <f ca="1">IFERROR(__xludf.DUMMYFUNCTION("""COMPUTED_VALUE"""),"5. Inclusión")</f>
        <v>5. Inclusión</v>
      </c>
      <c r="D947" s="79" t="str">
        <f ca="1">IFERROR(__xludf.DUMMYFUNCTION("""COMPUTED_VALUE"""),"Guadalajara sin Barreras")</f>
        <v>Guadalajara sin Barreras</v>
      </c>
      <c r="E947" s="79" t="str">
        <f ca="1">IFERROR(__xludf.DUMMYFUNCTION("""COMPUTED_VALUE"""),"Atención Integral para Personas con Discapacidad")</f>
        <v>Atención Integral para Personas con Discapacidad</v>
      </c>
      <c r="F947" s="79" t="str">
        <f ca="1">IFERROR(__xludf.DUMMYFUNCTION("""COMPUTED_VALUE"""),"A1C5. Sesiones de terapia física brindadas en el Centro CAIPED en 2024")</f>
        <v>A1C5. Sesiones de terapia física brindadas en el Centro CAIPED en 2024</v>
      </c>
      <c r="G947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47" s="79" t="str">
        <f ca="1">IFERROR(__xludf.DUMMYFUNCTION("""COMPUTED_VALUE"""),"NOS Diciembre")</f>
        <v>NOS Diciembre</v>
      </c>
      <c r="I947" s="79" t="str">
        <f ca="1">IFERROR(__xludf.DUMMYFUNCTION("""COMPUTED_VALUE"""),"Diciembre")</f>
        <v>Diciembre</v>
      </c>
      <c r="J947" s="79" t="str">
        <f ca="1">IFERROR(__xludf.DUMMYFUNCTION("""COMPUTED_VALUE"""),"NOS")</f>
        <v>NOS</v>
      </c>
      <c r="K947" s="80">
        <f ca="1">IFERROR(__xludf.DUMMYFUNCTION("""COMPUTED_VALUE"""),0)</f>
        <v>0</v>
      </c>
      <c r="L947" s="79" t="str">
        <f ca="1">IFERROR(__xludf.DUMMYFUNCTION("""COMPUTED_VALUE"""),"TRIMESTRE 4")</f>
        <v>TRIMESTRE 4</v>
      </c>
      <c r="M947" s="79" t="str">
        <f ca="1">IFERROR(__xludf.DUMMYFUNCTION("""COMPUTED_VALUE"""),"NIÑOS")</f>
        <v>NIÑOS</v>
      </c>
    </row>
    <row r="948" spans="1:13">
      <c r="A948" s="79" t="str">
        <f ca="1">IFERROR(__xludf.DUMMYFUNCTION("""COMPUTED_VALUE"""),"6.1.5.1")</f>
        <v>6.1.5.1</v>
      </c>
      <c r="B948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48" s="79" t="str">
        <f ca="1">IFERROR(__xludf.DUMMYFUNCTION("""COMPUTED_VALUE"""),"5. Inclusión")</f>
        <v>5. Inclusión</v>
      </c>
      <c r="D948" s="79" t="str">
        <f ca="1">IFERROR(__xludf.DUMMYFUNCTION("""COMPUTED_VALUE"""),"Guadalajara sin Barreras")</f>
        <v>Guadalajara sin Barreras</v>
      </c>
      <c r="E948" s="79" t="str">
        <f ca="1">IFERROR(__xludf.DUMMYFUNCTION("""COMPUTED_VALUE"""),"Atención Integral para Personas con Discapacidad")</f>
        <v>Atención Integral para Personas con Discapacidad</v>
      </c>
      <c r="F948" s="79" t="str">
        <f ca="1">IFERROR(__xludf.DUMMYFUNCTION("""COMPUTED_VALUE"""),"A1C5. Sesiones de terapia física brindadas en el Centro CAIPED en 2024")</f>
        <v>A1C5. Sesiones de terapia física brindadas en el Centro CAIPED en 2024</v>
      </c>
      <c r="G948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48" s="79" t="str">
        <f ca="1">IFERROR(__xludf.DUMMYFUNCTION("""COMPUTED_VALUE"""),"AM DICIEMBRE")</f>
        <v>AM DICIEMBRE</v>
      </c>
      <c r="I948" s="79" t="str">
        <f ca="1">IFERROR(__xludf.DUMMYFUNCTION("""COMPUTED_VALUE"""),"Diciembre")</f>
        <v>Diciembre</v>
      </c>
      <c r="J948" s="79" t="str">
        <f ca="1">IFERROR(__xludf.DUMMYFUNCTION("""COMPUTED_VALUE"""),"AM")</f>
        <v>AM</v>
      </c>
      <c r="K948" s="80">
        <f ca="1">IFERROR(__xludf.DUMMYFUNCTION("""COMPUTED_VALUE"""),0)</f>
        <v>0</v>
      </c>
      <c r="L948" s="79" t="str">
        <f ca="1">IFERROR(__xludf.DUMMYFUNCTION("""COMPUTED_VALUE"""),"TRIMESTRE 4")</f>
        <v>TRIMESTRE 4</v>
      </c>
      <c r="M948" s="79" t="str">
        <f ca="1">IFERROR(__xludf.DUMMYFUNCTION("""COMPUTED_VALUE"""),"ADOLESCENTES MUJERES")</f>
        <v>ADOLESCENTES MUJERES</v>
      </c>
    </row>
    <row r="949" spans="1:13">
      <c r="A949" s="79" t="str">
        <f ca="1">IFERROR(__xludf.DUMMYFUNCTION("""COMPUTED_VALUE"""),"6.1.5.1")</f>
        <v>6.1.5.1</v>
      </c>
      <c r="B949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49" s="79" t="str">
        <f ca="1">IFERROR(__xludf.DUMMYFUNCTION("""COMPUTED_VALUE"""),"5. Inclusión")</f>
        <v>5. Inclusión</v>
      </c>
      <c r="D949" s="79" t="str">
        <f ca="1">IFERROR(__xludf.DUMMYFUNCTION("""COMPUTED_VALUE"""),"Guadalajara sin Barreras")</f>
        <v>Guadalajara sin Barreras</v>
      </c>
      <c r="E949" s="79" t="str">
        <f ca="1">IFERROR(__xludf.DUMMYFUNCTION("""COMPUTED_VALUE"""),"Atención Integral para Personas con Discapacidad")</f>
        <v>Atención Integral para Personas con Discapacidad</v>
      </c>
      <c r="F949" s="79" t="str">
        <f ca="1">IFERROR(__xludf.DUMMYFUNCTION("""COMPUTED_VALUE"""),"A1C5. Sesiones de terapia física brindadas en el Centro CAIPED en 2024")</f>
        <v>A1C5. Sesiones de terapia física brindadas en el Centro CAIPED en 2024</v>
      </c>
      <c r="G949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49" s="79" t="str">
        <f ca="1">IFERROR(__xludf.DUMMYFUNCTION("""COMPUTED_VALUE"""),"AH DICIEMBRE")</f>
        <v>AH DICIEMBRE</v>
      </c>
      <c r="I949" s="79" t="str">
        <f ca="1">IFERROR(__xludf.DUMMYFUNCTION("""COMPUTED_VALUE"""),"Diciembre")</f>
        <v>Diciembre</v>
      </c>
      <c r="J949" s="79" t="str">
        <f ca="1">IFERROR(__xludf.DUMMYFUNCTION("""COMPUTED_VALUE"""),"AH")</f>
        <v>AH</v>
      </c>
      <c r="K949" s="80">
        <f ca="1">IFERROR(__xludf.DUMMYFUNCTION("""COMPUTED_VALUE"""),0)</f>
        <v>0</v>
      </c>
      <c r="L949" s="79" t="str">
        <f ca="1">IFERROR(__xludf.DUMMYFUNCTION("""COMPUTED_VALUE"""),"TRIMESTRE 4")</f>
        <v>TRIMESTRE 4</v>
      </c>
      <c r="M949" s="79" t="str">
        <f ca="1">IFERROR(__xludf.DUMMYFUNCTION("""COMPUTED_VALUE"""),"ADOLESCENTES HOMBRES")</f>
        <v>ADOLESCENTES HOMBRES</v>
      </c>
    </row>
    <row r="950" spans="1:13">
      <c r="A950" s="79" t="str">
        <f ca="1">IFERROR(__xludf.DUMMYFUNCTION("""COMPUTED_VALUE"""),"6.1.5.1")</f>
        <v>6.1.5.1</v>
      </c>
      <c r="B950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0" s="79" t="str">
        <f ca="1">IFERROR(__xludf.DUMMYFUNCTION("""COMPUTED_VALUE"""),"5. Inclusión")</f>
        <v>5. Inclusión</v>
      </c>
      <c r="D950" s="79" t="str">
        <f ca="1">IFERROR(__xludf.DUMMYFUNCTION("""COMPUTED_VALUE"""),"Guadalajara sin Barreras")</f>
        <v>Guadalajara sin Barreras</v>
      </c>
      <c r="E950" s="79" t="str">
        <f ca="1">IFERROR(__xludf.DUMMYFUNCTION("""COMPUTED_VALUE"""),"Atención Integral para Personas con Discapacidad")</f>
        <v>Atención Integral para Personas con Discapacidad</v>
      </c>
      <c r="F950" s="79" t="str">
        <f ca="1">IFERROR(__xludf.DUMMYFUNCTION("""COMPUTED_VALUE"""),"A1C5. Sesiones de terapia física brindadas en el Centro CAIPED en 2024")</f>
        <v>A1C5. Sesiones de terapia física brindadas en el Centro CAIPED en 2024</v>
      </c>
      <c r="G950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50" s="79" t="str">
        <f ca="1">IFERROR(__xludf.DUMMYFUNCTION("""COMPUTED_VALUE"""),"MUJ Diciembre")</f>
        <v>MUJ Diciembre</v>
      </c>
      <c r="I950" s="79" t="str">
        <f ca="1">IFERROR(__xludf.DUMMYFUNCTION("""COMPUTED_VALUE"""),"Diciembre")</f>
        <v>Diciembre</v>
      </c>
      <c r="J950" s="79" t="str">
        <f ca="1">IFERROR(__xludf.DUMMYFUNCTION("""COMPUTED_VALUE"""),"MUJ")</f>
        <v>MUJ</v>
      </c>
      <c r="K950" s="80">
        <f ca="1">IFERROR(__xludf.DUMMYFUNCTION("""COMPUTED_VALUE"""),0)</f>
        <v>0</v>
      </c>
      <c r="L950" s="79" t="str">
        <f ca="1">IFERROR(__xludf.DUMMYFUNCTION("""COMPUTED_VALUE"""),"TRIMESTRE 4")</f>
        <v>TRIMESTRE 4</v>
      </c>
      <c r="M950" s="79" t="str">
        <f ca="1">IFERROR(__xludf.DUMMYFUNCTION("""COMPUTED_VALUE"""),"MUJERES ADULTAS")</f>
        <v>MUJERES ADULTAS</v>
      </c>
    </row>
    <row r="951" spans="1:13">
      <c r="A951" s="79" t="str">
        <f ca="1">IFERROR(__xludf.DUMMYFUNCTION("""COMPUTED_VALUE"""),"6.1.5.1")</f>
        <v>6.1.5.1</v>
      </c>
      <c r="B951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1" s="79" t="str">
        <f ca="1">IFERROR(__xludf.DUMMYFUNCTION("""COMPUTED_VALUE"""),"5. Inclusión")</f>
        <v>5. Inclusión</v>
      </c>
      <c r="D951" s="79" t="str">
        <f ca="1">IFERROR(__xludf.DUMMYFUNCTION("""COMPUTED_VALUE"""),"Guadalajara sin Barreras")</f>
        <v>Guadalajara sin Barreras</v>
      </c>
      <c r="E951" s="79" t="str">
        <f ca="1">IFERROR(__xludf.DUMMYFUNCTION("""COMPUTED_VALUE"""),"Atención Integral para Personas con Discapacidad")</f>
        <v>Atención Integral para Personas con Discapacidad</v>
      </c>
      <c r="F951" s="79" t="str">
        <f ca="1">IFERROR(__xludf.DUMMYFUNCTION("""COMPUTED_VALUE"""),"A1C5. Sesiones de terapia física brindadas en el Centro CAIPED en 2024")</f>
        <v>A1C5. Sesiones de terapia física brindadas en el Centro CAIPED en 2024</v>
      </c>
      <c r="G951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51" s="79" t="str">
        <f ca="1">IFERROR(__xludf.DUMMYFUNCTION("""COMPUTED_VALUE"""),"HOM Diciembre")</f>
        <v>HOM Diciembre</v>
      </c>
      <c r="I951" s="79" t="str">
        <f ca="1">IFERROR(__xludf.DUMMYFUNCTION("""COMPUTED_VALUE"""),"Diciembre")</f>
        <v>Diciembre</v>
      </c>
      <c r="J951" s="79" t="str">
        <f ca="1">IFERROR(__xludf.DUMMYFUNCTION("""COMPUTED_VALUE"""),"HOM")</f>
        <v>HOM</v>
      </c>
      <c r="K951" s="80">
        <f ca="1">IFERROR(__xludf.DUMMYFUNCTION("""COMPUTED_VALUE"""),0)</f>
        <v>0</v>
      </c>
      <c r="L951" s="79" t="str">
        <f ca="1">IFERROR(__xludf.DUMMYFUNCTION("""COMPUTED_VALUE"""),"TRIMESTRE 4")</f>
        <v>TRIMESTRE 4</v>
      </c>
      <c r="M951" s="79" t="str">
        <f ca="1">IFERROR(__xludf.DUMMYFUNCTION("""COMPUTED_VALUE"""),"HOMBRES ADULTOS")</f>
        <v>HOMBRES ADULTOS</v>
      </c>
    </row>
    <row r="952" spans="1:13">
      <c r="A952" s="79" t="str">
        <f ca="1">IFERROR(__xludf.DUMMYFUNCTION("""COMPUTED_VALUE"""),"6.1.5.1")</f>
        <v>6.1.5.1</v>
      </c>
      <c r="B952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2" s="79" t="str">
        <f ca="1">IFERROR(__xludf.DUMMYFUNCTION("""COMPUTED_VALUE"""),"5. Inclusión")</f>
        <v>5. Inclusión</v>
      </c>
      <c r="D952" s="79" t="str">
        <f ca="1">IFERROR(__xludf.DUMMYFUNCTION("""COMPUTED_VALUE"""),"Guadalajara sin Barreras")</f>
        <v>Guadalajara sin Barreras</v>
      </c>
      <c r="E952" s="79" t="str">
        <f ca="1">IFERROR(__xludf.DUMMYFUNCTION("""COMPUTED_VALUE"""),"Atención Integral para Personas con Discapacidad")</f>
        <v>Atención Integral para Personas con Discapacidad</v>
      </c>
      <c r="F952" s="79" t="str">
        <f ca="1">IFERROR(__xludf.DUMMYFUNCTION("""COMPUTED_VALUE"""),"A1C5. Sesiones de terapia física brindadas en el Centro CAIPED en 2024")</f>
        <v>A1C5. Sesiones de terapia física brindadas en el Centro CAIPED en 2024</v>
      </c>
      <c r="G952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52" s="79" t="str">
        <f ca="1">IFERROR(__xludf.DUMMYFUNCTION("""COMPUTED_VALUE"""),"AMM Diciembre")</f>
        <v>AMM Diciembre</v>
      </c>
      <c r="I952" s="79" t="str">
        <f ca="1">IFERROR(__xludf.DUMMYFUNCTION("""COMPUTED_VALUE"""),"Diciembre")</f>
        <v>Diciembre</v>
      </c>
      <c r="J952" s="79" t="str">
        <f ca="1">IFERROR(__xludf.DUMMYFUNCTION("""COMPUTED_VALUE"""),"AMM")</f>
        <v>AMM</v>
      </c>
      <c r="K952" s="80">
        <f ca="1">IFERROR(__xludf.DUMMYFUNCTION("""COMPUTED_VALUE"""),0)</f>
        <v>0</v>
      </c>
      <c r="L952" s="79" t="str">
        <f ca="1">IFERROR(__xludf.DUMMYFUNCTION("""COMPUTED_VALUE"""),"TRIMESTRE 4")</f>
        <v>TRIMESTRE 4</v>
      </c>
      <c r="M952" s="79" t="str">
        <f ca="1">IFERROR(__xludf.DUMMYFUNCTION("""COMPUTED_VALUE"""),"ADULTA MAYOR MUJER")</f>
        <v>ADULTA MAYOR MUJER</v>
      </c>
    </row>
    <row r="953" spans="1:13">
      <c r="A953" s="79" t="str">
        <f ca="1">IFERROR(__xludf.DUMMYFUNCTION("""COMPUTED_VALUE"""),"6.1.5.1")</f>
        <v>6.1.5.1</v>
      </c>
      <c r="B953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3" s="79" t="str">
        <f ca="1">IFERROR(__xludf.DUMMYFUNCTION("""COMPUTED_VALUE"""),"5. Inclusión")</f>
        <v>5. Inclusión</v>
      </c>
      <c r="D953" s="79" t="str">
        <f ca="1">IFERROR(__xludf.DUMMYFUNCTION("""COMPUTED_VALUE"""),"Guadalajara sin Barreras")</f>
        <v>Guadalajara sin Barreras</v>
      </c>
      <c r="E953" s="79" t="str">
        <f ca="1">IFERROR(__xludf.DUMMYFUNCTION("""COMPUTED_VALUE"""),"Atención Integral para Personas con Discapacidad")</f>
        <v>Atención Integral para Personas con Discapacidad</v>
      </c>
      <c r="F953" s="79" t="str">
        <f ca="1">IFERROR(__xludf.DUMMYFUNCTION("""COMPUTED_VALUE"""),"A1C5. Sesiones de terapia física brindadas en el Centro CAIPED en 2024")</f>
        <v>A1C5. Sesiones de terapia física brindadas en el Centro CAIPED en 2024</v>
      </c>
      <c r="G953" s="79" t="str">
        <f ca="1">IFERROR(__xludf.DUMMYFUNCTION("""COMPUTED_VALUE"""),"Porcentaje de sesiones de terapia física a personas con discapacidad permanente o temporal y población en general en 2024")</f>
        <v>Porcentaje de sesiones de terapia física a personas con discapacidad permanente o temporal y población en general en 2024</v>
      </c>
      <c r="H953" s="79" t="str">
        <f ca="1">IFERROR(__xludf.DUMMYFUNCTION("""COMPUTED_VALUE"""),"AMH Diciembre")</f>
        <v>AMH Diciembre</v>
      </c>
      <c r="I953" s="79" t="str">
        <f ca="1">IFERROR(__xludf.DUMMYFUNCTION("""COMPUTED_VALUE"""),"Diciembre")</f>
        <v>Diciembre</v>
      </c>
      <c r="J953" s="79" t="str">
        <f ca="1">IFERROR(__xludf.DUMMYFUNCTION("""COMPUTED_VALUE"""),"AMH")</f>
        <v>AMH</v>
      </c>
      <c r="K953" s="80">
        <f ca="1">IFERROR(__xludf.DUMMYFUNCTION("""COMPUTED_VALUE"""),0)</f>
        <v>0</v>
      </c>
      <c r="L953" s="79" t="str">
        <f ca="1">IFERROR(__xludf.DUMMYFUNCTION("""COMPUTED_VALUE"""),"TRIMESTRE 4")</f>
        <v>TRIMESTRE 4</v>
      </c>
      <c r="M953" s="79" t="str">
        <f ca="1">IFERROR(__xludf.DUMMYFUNCTION("""COMPUTED_VALUE"""),"ADULTO MAYOR HOMBRE")</f>
        <v>ADULTO MAYOR HOMBRE</v>
      </c>
    </row>
    <row r="954" spans="1:13">
      <c r="A954" s="79" t="str">
        <f ca="1">IFERROR(__xludf.DUMMYFUNCTION("""COMPUTED_VALUE"""),"6.1.5.2")</f>
        <v>6.1.5.2</v>
      </c>
      <c r="B954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4" s="79" t="str">
        <f ca="1">IFERROR(__xludf.DUMMYFUNCTION("""COMPUTED_VALUE"""),"5. Inclusión")</f>
        <v>5. Inclusión</v>
      </c>
      <c r="D954" s="79" t="str">
        <f ca="1">IFERROR(__xludf.DUMMYFUNCTION("""COMPUTED_VALUE"""),"Guadalajara sin Barreras")</f>
        <v>Guadalajara sin Barreras</v>
      </c>
      <c r="E954" s="79" t="str">
        <f ca="1">IFERROR(__xludf.DUMMYFUNCTION("""COMPUTED_VALUE"""),"Atención Integral para Personas con Discapacidad")</f>
        <v>Atención Integral para Personas con Discapacidad</v>
      </c>
      <c r="F954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54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54" s="79" t="str">
        <f ca="1">IFERROR(__xludf.DUMMYFUNCTION("""COMPUTED_VALUE"""),"NAS Diciembre")</f>
        <v>NAS Diciembre</v>
      </c>
      <c r="I954" s="79" t="str">
        <f ca="1">IFERROR(__xludf.DUMMYFUNCTION("""COMPUTED_VALUE"""),"Diciembre")</f>
        <v>Diciembre</v>
      </c>
      <c r="J954" s="79" t="str">
        <f ca="1">IFERROR(__xludf.DUMMYFUNCTION("""COMPUTED_VALUE"""),"NAS")</f>
        <v>NAS</v>
      </c>
      <c r="K954" s="80">
        <f ca="1">IFERROR(__xludf.DUMMYFUNCTION("""COMPUTED_VALUE"""),0)</f>
        <v>0</v>
      </c>
      <c r="L954" s="79" t="str">
        <f ca="1">IFERROR(__xludf.DUMMYFUNCTION("""COMPUTED_VALUE"""),"TRIMESTRE 4")</f>
        <v>TRIMESTRE 4</v>
      </c>
      <c r="M954" s="79" t="str">
        <f ca="1">IFERROR(__xludf.DUMMYFUNCTION("""COMPUTED_VALUE"""),"NIÑAS")</f>
        <v>NIÑAS</v>
      </c>
    </row>
    <row r="955" spans="1:13">
      <c r="A955" s="79" t="str">
        <f ca="1">IFERROR(__xludf.DUMMYFUNCTION("""COMPUTED_VALUE"""),"6.1.5.2")</f>
        <v>6.1.5.2</v>
      </c>
      <c r="B955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5" s="79" t="str">
        <f ca="1">IFERROR(__xludf.DUMMYFUNCTION("""COMPUTED_VALUE"""),"5. Inclusión")</f>
        <v>5. Inclusión</v>
      </c>
      <c r="D955" s="79" t="str">
        <f ca="1">IFERROR(__xludf.DUMMYFUNCTION("""COMPUTED_VALUE"""),"Guadalajara sin Barreras")</f>
        <v>Guadalajara sin Barreras</v>
      </c>
      <c r="E955" s="79" t="str">
        <f ca="1">IFERROR(__xludf.DUMMYFUNCTION("""COMPUTED_VALUE"""),"Atención Integral para Personas con Discapacidad")</f>
        <v>Atención Integral para Personas con Discapacidad</v>
      </c>
      <c r="F955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55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55" s="79" t="str">
        <f ca="1">IFERROR(__xludf.DUMMYFUNCTION("""COMPUTED_VALUE"""),"NOS Diciembre")</f>
        <v>NOS Diciembre</v>
      </c>
      <c r="I955" s="79" t="str">
        <f ca="1">IFERROR(__xludf.DUMMYFUNCTION("""COMPUTED_VALUE"""),"Diciembre")</f>
        <v>Diciembre</v>
      </c>
      <c r="J955" s="79" t="str">
        <f ca="1">IFERROR(__xludf.DUMMYFUNCTION("""COMPUTED_VALUE"""),"NOS")</f>
        <v>NOS</v>
      </c>
      <c r="K955" s="80">
        <f ca="1">IFERROR(__xludf.DUMMYFUNCTION("""COMPUTED_VALUE"""),0)</f>
        <v>0</v>
      </c>
      <c r="L955" s="79" t="str">
        <f ca="1">IFERROR(__xludf.DUMMYFUNCTION("""COMPUTED_VALUE"""),"TRIMESTRE 4")</f>
        <v>TRIMESTRE 4</v>
      </c>
      <c r="M955" s="79" t="str">
        <f ca="1">IFERROR(__xludf.DUMMYFUNCTION("""COMPUTED_VALUE"""),"NIÑOS")</f>
        <v>NIÑOS</v>
      </c>
    </row>
    <row r="956" spans="1:13">
      <c r="A956" s="79" t="str">
        <f ca="1">IFERROR(__xludf.DUMMYFUNCTION("""COMPUTED_VALUE"""),"6.1.5.2")</f>
        <v>6.1.5.2</v>
      </c>
      <c r="B956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6" s="79" t="str">
        <f ca="1">IFERROR(__xludf.DUMMYFUNCTION("""COMPUTED_VALUE"""),"5. Inclusión")</f>
        <v>5. Inclusión</v>
      </c>
      <c r="D956" s="79" t="str">
        <f ca="1">IFERROR(__xludf.DUMMYFUNCTION("""COMPUTED_VALUE"""),"Guadalajara sin Barreras")</f>
        <v>Guadalajara sin Barreras</v>
      </c>
      <c r="E956" s="79" t="str">
        <f ca="1">IFERROR(__xludf.DUMMYFUNCTION("""COMPUTED_VALUE"""),"Atención Integral para Personas con Discapacidad")</f>
        <v>Atención Integral para Personas con Discapacidad</v>
      </c>
      <c r="F956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56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56" s="79" t="str">
        <f ca="1">IFERROR(__xludf.DUMMYFUNCTION("""COMPUTED_VALUE"""),"AM DICIEMBRE")</f>
        <v>AM DICIEMBRE</v>
      </c>
      <c r="I956" s="79" t="str">
        <f ca="1">IFERROR(__xludf.DUMMYFUNCTION("""COMPUTED_VALUE"""),"Diciembre")</f>
        <v>Diciembre</v>
      </c>
      <c r="J956" s="79" t="str">
        <f ca="1">IFERROR(__xludf.DUMMYFUNCTION("""COMPUTED_VALUE"""),"AM")</f>
        <v>AM</v>
      </c>
      <c r="K956" s="80">
        <f ca="1">IFERROR(__xludf.DUMMYFUNCTION("""COMPUTED_VALUE"""),0)</f>
        <v>0</v>
      </c>
      <c r="L956" s="79" t="str">
        <f ca="1">IFERROR(__xludf.DUMMYFUNCTION("""COMPUTED_VALUE"""),"TRIMESTRE 4")</f>
        <v>TRIMESTRE 4</v>
      </c>
      <c r="M956" s="79" t="str">
        <f ca="1">IFERROR(__xludf.DUMMYFUNCTION("""COMPUTED_VALUE"""),"ADOLESCENTES MUJERES")</f>
        <v>ADOLESCENTES MUJERES</v>
      </c>
    </row>
    <row r="957" spans="1:13">
      <c r="A957" s="79" t="str">
        <f ca="1">IFERROR(__xludf.DUMMYFUNCTION("""COMPUTED_VALUE"""),"6.1.5.2")</f>
        <v>6.1.5.2</v>
      </c>
      <c r="B957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7" s="79" t="str">
        <f ca="1">IFERROR(__xludf.DUMMYFUNCTION("""COMPUTED_VALUE"""),"5. Inclusión")</f>
        <v>5. Inclusión</v>
      </c>
      <c r="D957" s="79" t="str">
        <f ca="1">IFERROR(__xludf.DUMMYFUNCTION("""COMPUTED_VALUE"""),"Guadalajara sin Barreras")</f>
        <v>Guadalajara sin Barreras</v>
      </c>
      <c r="E957" s="79" t="str">
        <f ca="1">IFERROR(__xludf.DUMMYFUNCTION("""COMPUTED_VALUE"""),"Atención Integral para Personas con Discapacidad")</f>
        <v>Atención Integral para Personas con Discapacidad</v>
      </c>
      <c r="F957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57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57" s="79" t="str">
        <f ca="1">IFERROR(__xludf.DUMMYFUNCTION("""COMPUTED_VALUE"""),"AH DICIEMBRE")</f>
        <v>AH DICIEMBRE</v>
      </c>
      <c r="I957" s="79" t="str">
        <f ca="1">IFERROR(__xludf.DUMMYFUNCTION("""COMPUTED_VALUE"""),"Diciembre")</f>
        <v>Diciembre</v>
      </c>
      <c r="J957" s="79" t="str">
        <f ca="1">IFERROR(__xludf.DUMMYFUNCTION("""COMPUTED_VALUE"""),"AH")</f>
        <v>AH</v>
      </c>
      <c r="K957" s="80">
        <f ca="1">IFERROR(__xludf.DUMMYFUNCTION("""COMPUTED_VALUE"""),0)</f>
        <v>0</v>
      </c>
      <c r="L957" s="79" t="str">
        <f ca="1">IFERROR(__xludf.DUMMYFUNCTION("""COMPUTED_VALUE"""),"TRIMESTRE 4")</f>
        <v>TRIMESTRE 4</v>
      </c>
      <c r="M957" s="79" t="str">
        <f ca="1">IFERROR(__xludf.DUMMYFUNCTION("""COMPUTED_VALUE"""),"ADOLESCENTES HOMBRES")</f>
        <v>ADOLESCENTES HOMBRES</v>
      </c>
    </row>
    <row r="958" spans="1:13">
      <c r="A958" s="79" t="str">
        <f ca="1">IFERROR(__xludf.DUMMYFUNCTION("""COMPUTED_VALUE"""),"6.1.5.2")</f>
        <v>6.1.5.2</v>
      </c>
      <c r="B958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8" s="79" t="str">
        <f ca="1">IFERROR(__xludf.DUMMYFUNCTION("""COMPUTED_VALUE"""),"5. Inclusión")</f>
        <v>5. Inclusión</v>
      </c>
      <c r="D958" s="79" t="str">
        <f ca="1">IFERROR(__xludf.DUMMYFUNCTION("""COMPUTED_VALUE"""),"Guadalajara sin Barreras")</f>
        <v>Guadalajara sin Barreras</v>
      </c>
      <c r="E958" s="79" t="str">
        <f ca="1">IFERROR(__xludf.DUMMYFUNCTION("""COMPUTED_VALUE"""),"Atención Integral para Personas con Discapacidad")</f>
        <v>Atención Integral para Personas con Discapacidad</v>
      </c>
      <c r="F958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58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58" s="79" t="str">
        <f ca="1">IFERROR(__xludf.DUMMYFUNCTION("""COMPUTED_VALUE"""),"MUJ Diciembre")</f>
        <v>MUJ Diciembre</v>
      </c>
      <c r="I958" s="79" t="str">
        <f ca="1">IFERROR(__xludf.DUMMYFUNCTION("""COMPUTED_VALUE"""),"Diciembre")</f>
        <v>Diciembre</v>
      </c>
      <c r="J958" s="79" t="str">
        <f ca="1">IFERROR(__xludf.DUMMYFUNCTION("""COMPUTED_VALUE"""),"MUJ")</f>
        <v>MUJ</v>
      </c>
      <c r="K958" s="80">
        <f ca="1">IFERROR(__xludf.DUMMYFUNCTION("""COMPUTED_VALUE"""),0)</f>
        <v>0</v>
      </c>
      <c r="L958" s="79" t="str">
        <f ca="1">IFERROR(__xludf.DUMMYFUNCTION("""COMPUTED_VALUE"""),"TRIMESTRE 4")</f>
        <v>TRIMESTRE 4</v>
      </c>
      <c r="M958" s="79" t="str">
        <f ca="1">IFERROR(__xludf.DUMMYFUNCTION("""COMPUTED_VALUE"""),"MUJERES ADULTAS")</f>
        <v>MUJERES ADULTAS</v>
      </c>
    </row>
    <row r="959" spans="1:13">
      <c r="A959" s="79" t="str">
        <f ca="1">IFERROR(__xludf.DUMMYFUNCTION("""COMPUTED_VALUE"""),"6.1.5.2")</f>
        <v>6.1.5.2</v>
      </c>
      <c r="B959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59" s="79" t="str">
        <f ca="1">IFERROR(__xludf.DUMMYFUNCTION("""COMPUTED_VALUE"""),"5. Inclusión")</f>
        <v>5. Inclusión</v>
      </c>
      <c r="D959" s="79" t="str">
        <f ca="1">IFERROR(__xludf.DUMMYFUNCTION("""COMPUTED_VALUE"""),"Guadalajara sin Barreras")</f>
        <v>Guadalajara sin Barreras</v>
      </c>
      <c r="E959" s="79" t="str">
        <f ca="1">IFERROR(__xludf.DUMMYFUNCTION("""COMPUTED_VALUE"""),"Atención Integral para Personas con Discapacidad")</f>
        <v>Atención Integral para Personas con Discapacidad</v>
      </c>
      <c r="F959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59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59" s="79" t="str">
        <f ca="1">IFERROR(__xludf.DUMMYFUNCTION("""COMPUTED_VALUE"""),"HOM Diciembre")</f>
        <v>HOM Diciembre</v>
      </c>
      <c r="I959" s="79" t="str">
        <f ca="1">IFERROR(__xludf.DUMMYFUNCTION("""COMPUTED_VALUE"""),"Diciembre")</f>
        <v>Diciembre</v>
      </c>
      <c r="J959" s="79" t="str">
        <f ca="1">IFERROR(__xludf.DUMMYFUNCTION("""COMPUTED_VALUE"""),"HOM")</f>
        <v>HOM</v>
      </c>
      <c r="K959" s="80">
        <f ca="1">IFERROR(__xludf.DUMMYFUNCTION("""COMPUTED_VALUE"""),0)</f>
        <v>0</v>
      </c>
      <c r="L959" s="79" t="str">
        <f ca="1">IFERROR(__xludf.DUMMYFUNCTION("""COMPUTED_VALUE"""),"TRIMESTRE 4")</f>
        <v>TRIMESTRE 4</v>
      </c>
      <c r="M959" s="79" t="str">
        <f ca="1">IFERROR(__xludf.DUMMYFUNCTION("""COMPUTED_VALUE"""),"HOMBRES ADULTOS")</f>
        <v>HOMBRES ADULTOS</v>
      </c>
    </row>
    <row r="960" spans="1:13">
      <c r="A960" s="79" t="str">
        <f ca="1">IFERROR(__xludf.DUMMYFUNCTION("""COMPUTED_VALUE"""),"6.1.5.2")</f>
        <v>6.1.5.2</v>
      </c>
      <c r="B960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60" s="79" t="str">
        <f ca="1">IFERROR(__xludf.DUMMYFUNCTION("""COMPUTED_VALUE"""),"5. Inclusión")</f>
        <v>5. Inclusión</v>
      </c>
      <c r="D960" s="79" t="str">
        <f ca="1">IFERROR(__xludf.DUMMYFUNCTION("""COMPUTED_VALUE"""),"Guadalajara sin Barreras")</f>
        <v>Guadalajara sin Barreras</v>
      </c>
      <c r="E960" s="79" t="str">
        <f ca="1">IFERROR(__xludf.DUMMYFUNCTION("""COMPUTED_VALUE"""),"Atención Integral para Personas con Discapacidad")</f>
        <v>Atención Integral para Personas con Discapacidad</v>
      </c>
      <c r="F960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60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60" s="79" t="str">
        <f ca="1">IFERROR(__xludf.DUMMYFUNCTION("""COMPUTED_VALUE"""),"AMM Diciembre")</f>
        <v>AMM Diciembre</v>
      </c>
      <c r="I960" s="79" t="str">
        <f ca="1">IFERROR(__xludf.DUMMYFUNCTION("""COMPUTED_VALUE"""),"Diciembre")</f>
        <v>Diciembre</v>
      </c>
      <c r="J960" s="79" t="str">
        <f ca="1">IFERROR(__xludf.DUMMYFUNCTION("""COMPUTED_VALUE"""),"AMM")</f>
        <v>AMM</v>
      </c>
      <c r="K960" s="80">
        <f ca="1">IFERROR(__xludf.DUMMYFUNCTION("""COMPUTED_VALUE"""),0)</f>
        <v>0</v>
      </c>
      <c r="L960" s="79" t="str">
        <f ca="1">IFERROR(__xludf.DUMMYFUNCTION("""COMPUTED_VALUE"""),"TRIMESTRE 4")</f>
        <v>TRIMESTRE 4</v>
      </c>
      <c r="M960" s="79" t="str">
        <f ca="1">IFERROR(__xludf.DUMMYFUNCTION("""COMPUTED_VALUE"""),"ADULTA MAYOR MUJER")</f>
        <v>ADULTA MAYOR MUJER</v>
      </c>
    </row>
    <row r="961" spans="1:13">
      <c r="A961" s="79" t="str">
        <f ca="1">IFERROR(__xludf.DUMMYFUNCTION("""COMPUTED_VALUE"""),"6.1.5.2")</f>
        <v>6.1.5.2</v>
      </c>
      <c r="B961" s="79" t="str">
        <f ca="1">IFERROR(__xludf.DUMMYFUNCTION("""COMPUTED_VALUE"""),"Atención Integral para Personas con Discapacidad/Jefatura del Departamento del Centro de Atención Integral para Personas con Discapacidad/Jefatura del Departamento del Centro de Atención Integral para Personas con Discapacidad/Coord.5. Inclusión")</f>
        <v>Atención Integral para Personas con Discapacidad/Jefatura del Departamento del Centro de Atención Integral para Personas con Discapacidad/Jefatura del Departamento del Centro de Atención Integral para Personas con Discapacidad/Coord.5. Inclusión</v>
      </c>
      <c r="C961" s="79" t="str">
        <f ca="1">IFERROR(__xludf.DUMMYFUNCTION("""COMPUTED_VALUE"""),"5. Inclusión")</f>
        <v>5. Inclusión</v>
      </c>
      <c r="D961" s="79" t="str">
        <f ca="1">IFERROR(__xludf.DUMMYFUNCTION("""COMPUTED_VALUE"""),"Guadalajara sin Barreras")</f>
        <v>Guadalajara sin Barreras</v>
      </c>
      <c r="E961" s="79" t="str">
        <f ca="1">IFERROR(__xludf.DUMMYFUNCTION("""COMPUTED_VALUE"""),"Atención Integral para Personas con Discapacidad")</f>
        <v>Atención Integral para Personas con Discapacidad</v>
      </c>
      <c r="F961" s="79" t="str">
        <f ca="1">IFERROR(__xludf.DUMMYFUNCTION("""COMPUTED_VALUE"""),"A2C5. Sesiones de consulta médica brindadas en el Centro CAIPED en 2024")</f>
        <v>A2C5. Sesiones de consulta médica brindadas en el Centro CAIPED en 2024</v>
      </c>
      <c r="G961" s="79" t="str">
        <f ca="1">IFERROR(__xludf.DUMMYFUNCTION("""COMPUTED_VALUE"""),"Porcentaje de sesiones de consulta médica en rehabilitación y traumatología/ortopedia a personas con discapacidad permanente o temporal y población en general en 2024")</f>
        <v>Porcentaje de sesiones de consulta médica en rehabilitación y traumatología/ortopedia a personas con discapacidad permanente o temporal y población en general en 2024</v>
      </c>
      <c r="H961" s="79" t="str">
        <f ca="1">IFERROR(__xludf.DUMMYFUNCTION("""COMPUTED_VALUE"""),"AMH Diciembre")</f>
        <v>AMH Diciembre</v>
      </c>
      <c r="I961" s="79" t="str">
        <f ca="1">IFERROR(__xludf.DUMMYFUNCTION("""COMPUTED_VALUE"""),"Diciembre")</f>
        <v>Diciembre</v>
      </c>
      <c r="J961" s="79" t="str">
        <f ca="1">IFERROR(__xludf.DUMMYFUNCTION("""COMPUTED_VALUE"""),"AMH")</f>
        <v>AMH</v>
      </c>
      <c r="K961" s="80">
        <f ca="1">IFERROR(__xludf.DUMMYFUNCTION("""COMPUTED_VALUE"""),0)</f>
        <v>0</v>
      </c>
      <c r="L961" s="79" t="str">
        <f ca="1">IFERROR(__xludf.DUMMYFUNCTION("""COMPUTED_VALUE"""),"TRIMESTRE 4")</f>
        <v>TRIMESTRE 4</v>
      </c>
      <c r="M961" s="79" t="str">
        <f ca="1">IFERROR(__xludf.DUMMYFUNCTION("""COMPUTED_VALUE"""),"ADULTO MAYOR HOMBRE")</f>
        <v>ADULTO MAYOR HOMBRE</v>
      </c>
    </row>
    <row r="962" spans="1:13">
      <c r="A962" s="79" t="str">
        <f ca="1">IFERROR(__xludf.DUMMYFUNCTION("""COMPUTED_VALUE"""),"6.1.1.2")</f>
        <v>6.1.1.2</v>
      </c>
      <c r="B962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2" s="79" t="str">
        <f ca="1">IFERROR(__xludf.DUMMYFUNCTION("""COMPUTED_VALUE"""),"5. Inclusión")</f>
        <v>5. Inclusión</v>
      </c>
      <c r="D962" s="79" t="str">
        <f ca="1">IFERROR(__xludf.DUMMYFUNCTION("""COMPUTED_VALUE"""),"Guadalajara sin Barreras")</f>
        <v>Guadalajara sin Barreras</v>
      </c>
      <c r="E962" s="79" t="str">
        <f ca="1">IFERROR(__xludf.DUMMYFUNCTION("""COMPUTED_VALUE"""),"Atención Integral para una Vida Digna con Discapacidad")</f>
        <v>Atención Integral para una Vida Digna con Discapacidad</v>
      </c>
      <c r="F962" s="79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2" s="79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2" s="79" t="str">
        <f ca="1">IFERROR(__xludf.DUMMYFUNCTION("""COMPUTED_VALUE"""),"Servicio")</f>
        <v>Servicio</v>
      </c>
      <c r="I962" s="79" t="str">
        <f ca="1">IFERROR(__xludf.DUMMYFUNCTION("""COMPUTED_VALUE"""),"Enero")</f>
        <v>Enero</v>
      </c>
      <c r="J962" s="79" t="str">
        <f ca="1">IFERROR(__xludf.DUMMYFUNCTION("""COMPUTED_VALUE"""),"N/A")</f>
        <v>N/A</v>
      </c>
      <c r="K962" s="80">
        <f ca="1">IFERROR(__xludf.DUMMYFUNCTION("""COMPUTED_VALUE"""),161)</f>
        <v>161</v>
      </c>
      <c r="L962" s="79" t="str">
        <f ca="1">IFERROR(__xludf.DUMMYFUNCTION("""COMPUTED_VALUE"""),"TRIMESTRE 1")</f>
        <v>TRIMESTRE 1</v>
      </c>
      <c r="M962" s="79" t="str">
        <f ca="1">IFERROR(__xludf.DUMMYFUNCTION("""COMPUTED_VALUE"""),"SERVICIOS")</f>
        <v>SERVICIOS</v>
      </c>
    </row>
    <row r="963" spans="1:13">
      <c r="A963" s="79" t="str">
        <f ca="1">IFERROR(__xludf.DUMMYFUNCTION("""COMPUTED_VALUE"""),"6.1.1.2")</f>
        <v>6.1.1.2</v>
      </c>
      <c r="B963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3" s="79" t="str">
        <f ca="1">IFERROR(__xludf.DUMMYFUNCTION("""COMPUTED_VALUE"""),"5. Inclusión")</f>
        <v>5. Inclusión</v>
      </c>
      <c r="D963" s="79" t="str">
        <f ca="1">IFERROR(__xludf.DUMMYFUNCTION("""COMPUTED_VALUE"""),"Guadalajara sin Barreras")</f>
        <v>Guadalajara sin Barreras</v>
      </c>
      <c r="E963" s="79" t="str">
        <f ca="1">IFERROR(__xludf.DUMMYFUNCTION("""COMPUTED_VALUE"""),"Atención Integral para una Vida Digna con Discapacidad")</f>
        <v>Atención Integral para una Vida Digna con Discapacidad</v>
      </c>
      <c r="F963" s="79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3" s="79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3" s="79" t="str">
        <f ca="1">IFERROR(__xludf.DUMMYFUNCTION("""COMPUTED_VALUE"""),"Servicio")</f>
        <v>Servicio</v>
      </c>
      <c r="I963" s="79" t="str">
        <f ca="1">IFERROR(__xludf.DUMMYFUNCTION("""COMPUTED_VALUE"""),"Febrero")</f>
        <v>Febrero</v>
      </c>
      <c r="J963" s="79" t="str">
        <f ca="1">IFERROR(__xludf.DUMMYFUNCTION("""COMPUTED_VALUE"""),"N/A")</f>
        <v>N/A</v>
      </c>
      <c r="K963" s="80">
        <f ca="1">IFERROR(__xludf.DUMMYFUNCTION("""COMPUTED_VALUE"""),156)</f>
        <v>156</v>
      </c>
      <c r="L963" s="79" t="str">
        <f ca="1">IFERROR(__xludf.DUMMYFUNCTION("""COMPUTED_VALUE"""),"TRIMESTRE 1")</f>
        <v>TRIMESTRE 1</v>
      </c>
      <c r="M963" s="79" t="str">
        <f ca="1">IFERROR(__xludf.DUMMYFUNCTION("""COMPUTED_VALUE"""),"SERVICIOS")</f>
        <v>SERVICIOS</v>
      </c>
    </row>
    <row r="964" spans="1:13">
      <c r="A964" s="79" t="str">
        <f ca="1">IFERROR(__xludf.DUMMYFUNCTION("""COMPUTED_VALUE"""),"6.1.1.2")</f>
        <v>6.1.1.2</v>
      </c>
      <c r="B964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4" s="79" t="str">
        <f ca="1">IFERROR(__xludf.DUMMYFUNCTION("""COMPUTED_VALUE"""),"5. Inclusión")</f>
        <v>5. Inclusión</v>
      </c>
      <c r="D964" s="79" t="str">
        <f ca="1">IFERROR(__xludf.DUMMYFUNCTION("""COMPUTED_VALUE"""),"Guadalajara sin Barreras")</f>
        <v>Guadalajara sin Barreras</v>
      </c>
      <c r="E964" s="79" t="str">
        <f ca="1">IFERROR(__xludf.DUMMYFUNCTION("""COMPUTED_VALUE"""),"Atención Integral para una Vida Digna con Discapacidad")</f>
        <v>Atención Integral para una Vida Digna con Discapacidad</v>
      </c>
      <c r="F964" s="79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4" s="79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4" s="79" t="str">
        <f ca="1">IFERROR(__xludf.DUMMYFUNCTION("""COMPUTED_VALUE"""),"Servicio")</f>
        <v>Servicio</v>
      </c>
      <c r="I964" s="79" t="str">
        <f ca="1">IFERROR(__xludf.DUMMYFUNCTION("""COMPUTED_VALUE"""),"Marzo")</f>
        <v>Marzo</v>
      </c>
      <c r="J964" s="79" t="str">
        <f ca="1">IFERROR(__xludf.DUMMYFUNCTION("""COMPUTED_VALUE"""),"N/A")</f>
        <v>N/A</v>
      </c>
      <c r="K964" s="80">
        <f ca="1">IFERROR(__xludf.DUMMYFUNCTION("""COMPUTED_VALUE"""),129)</f>
        <v>129</v>
      </c>
      <c r="L964" s="79" t="str">
        <f ca="1">IFERROR(__xludf.DUMMYFUNCTION("""COMPUTED_VALUE"""),"TRIMESTRE 1")</f>
        <v>TRIMESTRE 1</v>
      </c>
      <c r="M964" s="79" t="str">
        <f ca="1">IFERROR(__xludf.DUMMYFUNCTION("""COMPUTED_VALUE"""),"SERVICIOS")</f>
        <v>SERVICIOS</v>
      </c>
    </row>
    <row r="965" spans="1:13">
      <c r="A965" s="79" t="str">
        <f ca="1">IFERROR(__xludf.DUMMYFUNCTION("""COMPUTED_VALUE"""),"6.1.1.2")</f>
        <v>6.1.1.2</v>
      </c>
      <c r="B965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5" s="79" t="str">
        <f ca="1">IFERROR(__xludf.DUMMYFUNCTION("""COMPUTED_VALUE"""),"5. Inclusión")</f>
        <v>5. Inclusión</v>
      </c>
      <c r="D965" s="79" t="str">
        <f ca="1">IFERROR(__xludf.DUMMYFUNCTION("""COMPUTED_VALUE"""),"Guadalajara sin Barreras")</f>
        <v>Guadalajara sin Barreras</v>
      </c>
      <c r="E965" s="79" t="str">
        <f ca="1">IFERROR(__xludf.DUMMYFUNCTION("""COMPUTED_VALUE"""),"Atención Integral para una Vida Digna con Discapacidad")</f>
        <v>Atención Integral para una Vida Digna con Discapacidad</v>
      </c>
      <c r="F965" s="79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5" s="79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5" s="79" t="str">
        <f ca="1">IFERROR(__xludf.DUMMYFUNCTION("""COMPUTED_VALUE"""),"Servicio")</f>
        <v>Servicio</v>
      </c>
      <c r="I965" s="79" t="str">
        <f ca="1">IFERROR(__xludf.DUMMYFUNCTION("""COMPUTED_VALUE"""),"Abril")</f>
        <v>Abril</v>
      </c>
      <c r="J965" s="79" t="str">
        <f ca="1">IFERROR(__xludf.DUMMYFUNCTION("""COMPUTED_VALUE"""),"N/A")</f>
        <v>N/A</v>
      </c>
      <c r="K965" s="80">
        <f ca="1">IFERROR(__xludf.DUMMYFUNCTION("""COMPUTED_VALUE"""),115)</f>
        <v>115</v>
      </c>
      <c r="L965" s="79" t="str">
        <f ca="1">IFERROR(__xludf.DUMMYFUNCTION("""COMPUTED_VALUE"""),"TRIMESTRE 2")</f>
        <v>TRIMESTRE 2</v>
      </c>
      <c r="M965" s="79" t="str">
        <f ca="1">IFERROR(__xludf.DUMMYFUNCTION("""COMPUTED_VALUE"""),"SERVICIOS")</f>
        <v>SERVICIOS</v>
      </c>
    </row>
    <row r="966" spans="1:13">
      <c r="A966" s="79" t="str">
        <f ca="1">IFERROR(__xludf.DUMMYFUNCTION("""COMPUTED_VALUE"""),"6.1.1.2")</f>
        <v>6.1.1.2</v>
      </c>
      <c r="B966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6" s="79" t="str">
        <f ca="1">IFERROR(__xludf.DUMMYFUNCTION("""COMPUTED_VALUE"""),"5. Inclusión")</f>
        <v>5. Inclusión</v>
      </c>
      <c r="D966" s="79" t="str">
        <f ca="1">IFERROR(__xludf.DUMMYFUNCTION("""COMPUTED_VALUE"""),"Guadalajara sin Barreras")</f>
        <v>Guadalajara sin Barreras</v>
      </c>
      <c r="E966" s="79" t="str">
        <f ca="1">IFERROR(__xludf.DUMMYFUNCTION("""COMPUTED_VALUE"""),"Atención Integral para una Vida Digna con Discapacidad")</f>
        <v>Atención Integral para una Vida Digna con Discapacidad</v>
      </c>
      <c r="F966" s="79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6" s="79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6" s="79" t="str">
        <f ca="1">IFERROR(__xludf.DUMMYFUNCTION("""COMPUTED_VALUE"""),"Servicio")</f>
        <v>Servicio</v>
      </c>
      <c r="I966" s="79" t="str">
        <f ca="1">IFERROR(__xludf.DUMMYFUNCTION("""COMPUTED_VALUE"""),"Mayo")</f>
        <v>Mayo</v>
      </c>
      <c r="J966" s="79" t="str">
        <f ca="1">IFERROR(__xludf.DUMMYFUNCTION("""COMPUTED_VALUE"""),"N/A")</f>
        <v>N/A</v>
      </c>
      <c r="K966" s="80">
        <f ca="1">IFERROR(__xludf.DUMMYFUNCTION("""COMPUTED_VALUE"""),129)</f>
        <v>129</v>
      </c>
      <c r="L966" s="79" t="str">
        <f ca="1">IFERROR(__xludf.DUMMYFUNCTION("""COMPUTED_VALUE"""),"TRIMESTRE 2")</f>
        <v>TRIMESTRE 2</v>
      </c>
      <c r="M966" s="79" t="str">
        <f ca="1">IFERROR(__xludf.DUMMYFUNCTION("""COMPUTED_VALUE"""),"SERVICIOS")</f>
        <v>SERVICIOS</v>
      </c>
    </row>
    <row r="967" spans="1:13">
      <c r="A967" s="79" t="str">
        <f ca="1">IFERROR(__xludf.DUMMYFUNCTION("""COMPUTED_VALUE"""),"6.1.1.2")</f>
        <v>6.1.1.2</v>
      </c>
      <c r="B967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7" s="79" t="str">
        <f ca="1">IFERROR(__xludf.DUMMYFUNCTION("""COMPUTED_VALUE"""),"5. Inclusión")</f>
        <v>5. Inclusión</v>
      </c>
      <c r="D967" s="79" t="str">
        <f ca="1">IFERROR(__xludf.DUMMYFUNCTION("""COMPUTED_VALUE"""),"Guadalajara sin Barreras")</f>
        <v>Guadalajara sin Barreras</v>
      </c>
      <c r="E967" s="79" t="str">
        <f ca="1">IFERROR(__xludf.DUMMYFUNCTION("""COMPUTED_VALUE"""),"Atención Integral para una Vida Digna con Discapacidad")</f>
        <v>Atención Integral para una Vida Digna con Discapacidad</v>
      </c>
      <c r="F967" s="79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7" s="79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7" s="79" t="str">
        <f ca="1">IFERROR(__xludf.DUMMYFUNCTION("""COMPUTED_VALUE"""),"Servicio")</f>
        <v>Servicio</v>
      </c>
      <c r="I967" s="79" t="str">
        <f ca="1">IFERROR(__xludf.DUMMYFUNCTION("""COMPUTED_VALUE"""),"Junio")</f>
        <v>Junio</v>
      </c>
      <c r="J967" s="79" t="str">
        <f ca="1">IFERROR(__xludf.DUMMYFUNCTION("""COMPUTED_VALUE"""),"N/A")</f>
        <v>N/A</v>
      </c>
      <c r="K967" s="80">
        <f ca="1">IFERROR(__xludf.DUMMYFUNCTION("""COMPUTED_VALUE"""),159)</f>
        <v>159</v>
      </c>
      <c r="L967" s="79" t="str">
        <f ca="1">IFERROR(__xludf.DUMMYFUNCTION("""COMPUTED_VALUE"""),"TRIMESTRE 2")</f>
        <v>TRIMESTRE 2</v>
      </c>
      <c r="M967" s="79" t="str">
        <f ca="1">IFERROR(__xludf.DUMMYFUNCTION("""COMPUTED_VALUE"""),"SERVICIOS")</f>
        <v>SERVICIOS</v>
      </c>
    </row>
    <row r="968" spans="1:13">
      <c r="A968" s="79" t="str">
        <f ca="1">IFERROR(__xludf.DUMMYFUNCTION("""COMPUTED_VALUE"""),"6.1.1.2")</f>
        <v>6.1.1.2</v>
      </c>
      <c r="B968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8" s="79" t="str">
        <f ca="1">IFERROR(__xludf.DUMMYFUNCTION("""COMPUTED_VALUE"""),"5. Inclusión")</f>
        <v>5. Inclusión</v>
      </c>
      <c r="D968" s="79" t="str">
        <f ca="1">IFERROR(__xludf.DUMMYFUNCTION("""COMPUTED_VALUE"""),"Guadalajara sin Barreras")</f>
        <v>Guadalajara sin Barreras</v>
      </c>
      <c r="E968" s="79" t="str">
        <f ca="1">IFERROR(__xludf.DUMMYFUNCTION("""COMPUTED_VALUE"""),"Atención Integral para una Vida Digna con Discapacidad")</f>
        <v>Atención Integral para una Vida Digna con Discapacidad</v>
      </c>
      <c r="F968" s="79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8" s="79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8" s="79" t="str">
        <f ca="1">IFERROR(__xludf.DUMMYFUNCTION("""COMPUTED_VALUE"""),"Servicio")</f>
        <v>Servicio</v>
      </c>
      <c r="I968" s="79" t="str">
        <f ca="1">IFERROR(__xludf.DUMMYFUNCTION("""COMPUTED_VALUE"""),"Julio")</f>
        <v>Julio</v>
      </c>
      <c r="J968" s="79" t="str">
        <f ca="1">IFERROR(__xludf.DUMMYFUNCTION("""COMPUTED_VALUE"""),"N/A")</f>
        <v>N/A</v>
      </c>
      <c r="K968" s="80">
        <f ca="1">IFERROR(__xludf.DUMMYFUNCTION("""COMPUTED_VALUE"""),49)</f>
        <v>49</v>
      </c>
      <c r="L968" s="79" t="str">
        <f ca="1">IFERROR(__xludf.DUMMYFUNCTION("""COMPUTED_VALUE"""),"TRIMESTRE 3")</f>
        <v>TRIMESTRE 3</v>
      </c>
      <c r="M968" s="79" t="str">
        <f ca="1">IFERROR(__xludf.DUMMYFUNCTION("""COMPUTED_VALUE"""),"SERVICIOS")</f>
        <v>SERVICIOS</v>
      </c>
    </row>
    <row r="969" spans="1:13">
      <c r="A969" s="79" t="str">
        <f ca="1">IFERROR(__xludf.DUMMYFUNCTION("""COMPUTED_VALUE"""),"6.1.1.2")</f>
        <v>6.1.1.2</v>
      </c>
      <c r="B969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69" s="79" t="str">
        <f ca="1">IFERROR(__xludf.DUMMYFUNCTION("""COMPUTED_VALUE"""),"5. Inclusión")</f>
        <v>5. Inclusión</v>
      </c>
      <c r="D969" s="79" t="str">
        <f ca="1">IFERROR(__xludf.DUMMYFUNCTION("""COMPUTED_VALUE"""),"Guadalajara sin Barreras")</f>
        <v>Guadalajara sin Barreras</v>
      </c>
      <c r="E969" s="79" t="str">
        <f ca="1">IFERROR(__xludf.DUMMYFUNCTION("""COMPUTED_VALUE"""),"Atención Integral para una Vida Digna con Discapacidad")</f>
        <v>Atención Integral para una Vida Digna con Discapacidad</v>
      </c>
      <c r="F969" s="79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69" s="79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69" s="79" t="str">
        <f ca="1">IFERROR(__xludf.DUMMYFUNCTION("""COMPUTED_VALUE"""),"Servicio")</f>
        <v>Servicio</v>
      </c>
      <c r="I969" s="79" t="str">
        <f ca="1">IFERROR(__xludf.DUMMYFUNCTION("""COMPUTED_VALUE"""),"Agosto")</f>
        <v>Agosto</v>
      </c>
      <c r="J969" s="79" t="str">
        <f ca="1">IFERROR(__xludf.DUMMYFUNCTION("""COMPUTED_VALUE"""),"N/A")</f>
        <v>N/A</v>
      </c>
      <c r="K969" s="80">
        <f ca="1">IFERROR(__xludf.DUMMYFUNCTION("""COMPUTED_VALUE"""),122)</f>
        <v>122</v>
      </c>
      <c r="L969" s="79" t="str">
        <f ca="1">IFERROR(__xludf.DUMMYFUNCTION("""COMPUTED_VALUE"""),"TRIMESTRE 3")</f>
        <v>TRIMESTRE 3</v>
      </c>
      <c r="M969" s="79" t="str">
        <f ca="1">IFERROR(__xludf.DUMMYFUNCTION("""COMPUTED_VALUE"""),"SERVICIOS")</f>
        <v>SERVICIOS</v>
      </c>
    </row>
    <row r="970" spans="1:13">
      <c r="A970" s="79" t="str">
        <f ca="1">IFERROR(__xludf.DUMMYFUNCTION("""COMPUTED_VALUE"""),"6.1.1.2")</f>
        <v>6.1.1.2</v>
      </c>
      <c r="B970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70" s="79" t="str">
        <f ca="1">IFERROR(__xludf.DUMMYFUNCTION("""COMPUTED_VALUE"""),"5. Inclusión")</f>
        <v>5. Inclusión</v>
      </c>
      <c r="D970" s="79" t="str">
        <f ca="1">IFERROR(__xludf.DUMMYFUNCTION("""COMPUTED_VALUE"""),"Guadalajara sin Barreras")</f>
        <v>Guadalajara sin Barreras</v>
      </c>
      <c r="E970" s="79" t="str">
        <f ca="1">IFERROR(__xludf.DUMMYFUNCTION("""COMPUTED_VALUE"""),"Atención Integral para una Vida Digna con Discapacidad")</f>
        <v>Atención Integral para una Vida Digna con Discapacidad</v>
      </c>
      <c r="F970" s="79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70" s="79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70" s="79" t="str">
        <f ca="1">IFERROR(__xludf.DUMMYFUNCTION("""COMPUTED_VALUE"""),"Servicio")</f>
        <v>Servicio</v>
      </c>
      <c r="I970" s="79" t="str">
        <f ca="1">IFERROR(__xludf.DUMMYFUNCTION("""COMPUTED_VALUE"""),"Septiembre")</f>
        <v>Septiembre</v>
      </c>
      <c r="J970" s="79" t="str">
        <f ca="1">IFERROR(__xludf.DUMMYFUNCTION("""COMPUTED_VALUE"""),"N/A")</f>
        <v>N/A</v>
      </c>
      <c r="K970" s="80">
        <f ca="1">IFERROR(__xludf.DUMMYFUNCTION("""COMPUTED_VALUE"""),150)</f>
        <v>150</v>
      </c>
      <c r="L970" s="79" t="str">
        <f ca="1">IFERROR(__xludf.DUMMYFUNCTION("""COMPUTED_VALUE"""),"TRIMESTRE 3")</f>
        <v>TRIMESTRE 3</v>
      </c>
      <c r="M970" s="79" t="str">
        <f ca="1">IFERROR(__xludf.DUMMYFUNCTION("""COMPUTED_VALUE"""),"SERVICIOS")</f>
        <v>SERVICIOS</v>
      </c>
    </row>
    <row r="971" spans="1:13">
      <c r="A971" s="79" t="str">
        <f ca="1">IFERROR(__xludf.DUMMYFUNCTION("""COMPUTED_VALUE"""),"6.1.1.2")</f>
        <v>6.1.1.2</v>
      </c>
      <c r="B971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71" s="79" t="str">
        <f ca="1">IFERROR(__xludf.DUMMYFUNCTION("""COMPUTED_VALUE"""),"5. Inclusión")</f>
        <v>5. Inclusión</v>
      </c>
      <c r="D971" s="79" t="str">
        <f ca="1">IFERROR(__xludf.DUMMYFUNCTION("""COMPUTED_VALUE"""),"Guadalajara sin Barreras")</f>
        <v>Guadalajara sin Barreras</v>
      </c>
      <c r="E971" s="79" t="str">
        <f ca="1">IFERROR(__xludf.DUMMYFUNCTION("""COMPUTED_VALUE"""),"Atención Integral para una Vida Digna con Discapacidad")</f>
        <v>Atención Integral para una Vida Digna con Discapacidad</v>
      </c>
      <c r="F971" s="79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71" s="79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71" s="79" t="str">
        <f ca="1">IFERROR(__xludf.DUMMYFUNCTION("""COMPUTED_VALUE"""),"Servicio")</f>
        <v>Servicio</v>
      </c>
      <c r="I971" s="79" t="str">
        <f ca="1">IFERROR(__xludf.DUMMYFUNCTION("""COMPUTED_VALUE"""),"Octubre")</f>
        <v>Octubre</v>
      </c>
      <c r="J971" s="79" t="str">
        <f ca="1">IFERROR(__xludf.DUMMYFUNCTION("""COMPUTED_VALUE"""),"N/A")</f>
        <v>N/A</v>
      </c>
      <c r="K971" s="80">
        <f ca="1">IFERROR(__xludf.DUMMYFUNCTION("""COMPUTED_VALUE"""),0)</f>
        <v>0</v>
      </c>
      <c r="L971" s="79" t="str">
        <f ca="1">IFERROR(__xludf.DUMMYFUNCTION("""COMPUTED_VALUE"""),"TRIMESTRE 4")</f>
        <v>TRIMESTRE 4</v>
      </c>
      <c r="M971" s="79" t="str">
        <f ca="1">IFERROR(__xludf.DUMMYFUNCTION("""COMPUTED_VALUE"""),"SERVICIOS")</f>
        <v>SERVICIOS</v>
      </c>
    </row>
    <row r="972" spans="1:13">
      <c r="A972" s="79" t="str">
        <f ca="1">IFERROR(__xludf.DUMMYFUNCTION("""COMPUTED_VALUE"""),"6.1.1.2")</f>
        <v>6.1.1.2</v>
      </c>
      <c r="B972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72" s="79" t="str">
        <f ca="1">IFERROR(__xludf.DUMMYFUNCTION("""COMPUTED_VALUE"""),"5. Inclusión")</f>
        <v>5. Inclusión</v>
      </c>
      <c r="D972" s="79" t="str">
        <f ca="1">IFERROR(__xludf.DUMMYFUNCTION("""COMPUTED_VALUE"""),"Guadalajara sin Barreras")</f>
        <v>Guadalajara sin Barreras</v>
      </c>
      <c r="E972" s="79" t="str">
        <f ca="1">IFERROR(__xludf.DUMMYFUNCTION("""COMPUTED_VALUE"""),"Atención Integral para una Vida Digna con Discapacidad")</f>
        <v>Atención Integral para una Vida Digna con Discapacidad</v>
      </c>
      <c r="F972" s="79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72" s="79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72" s="79" t="str">
        <f ca="1">IFERROR(__xludf.DUMMYFUNCTION("""COMPUTED_VALUE"""),"Servicio")</f>
        <v>Servicio</v>
      </c>
      <c r="I972" s="79" t="str">
        <f ca="1">IFERROR(__xludf.DUMMYFUNCTION("""COMPUTED_VALUE"""),"Noviembre")</f>
        <v>Noviembre</v>
      </c>
      <c r="J972" s="79" t="str">
        <f ca="1">IFERROR(__xludf.DUMMYFUNCTION("""COMPUTED_VALUE"""),"N/A")</f>
        <v>N/A</v>
      </c>
      <c r="K972" s="80">
        <f ca="1">IFERROR(__xludf.DUMMYFUNCTION("""COMPUTED_VALUE"""),110)</f>
        <v>110</v>
      </c>
      <c r="L972" s="79" t="str">
        <f ca="1">IFERROR(__xludf.DUMMYFUNCTION("""COMPUTED_VALUE"""),"TRIMESTRE 4")</f>
        <v>TRIMESTRE 4</v>
      </c>
      <c r="M972" s="79" t="str">
        <f ca="1">IFERROR(__xludf.DUMMYFUNCTION("""COMPUTED_VALUE"""),"SERVICIOS")</f>
        <v>SERVICIOS</v>
      </c>
    </row>
    <row r="973" spans="1:13">
      <c r="A973" s="79" t="str">
        <f ca="1">IFERROR(__xludf.DUMMYFUNCTION("""COMPUTED_VALUE"""),"6.1.1.2")</f>
        <v>6.1.1.2</v>
      </c>
      <c r="B973" s="79" t="str">
        <f ca="1">IFERROR(__xludf.DUMMYFUNCTION("""COMPUTED_VALUE"""),"Atención Integral para una Vida Digna con Discapacidad/Dirección del Área de Centros de Inclusión/Dirección del Área de Centros de Inclusión/Coord.5. Inclusión")</f>
        <v>Atención Integral para una Vida Digna con Discapacidad/Dirección del Área de Centros de Inclusión/Dirección del Área de Centros de Inclusión/Coord.5. Inclusión</v>
      </c>
      <c r="C973" s="79" t="str">
        <f ca="1">IFERROR(__xludf.DUMMYFUNCTION("""COMPUTED_VALUE"""),"5. Inclusión")</f>
        <v>5. Inclusión</v>
      </c>
      <c r="D973" s="79" t="str">
        <f ca="1">IFERROR(__xludf.DUMMYFUNCTION("""COMPUTED_VALUE"""),"Guadalajara sin Barreras")</f>
        <v>Guadalajara sin Barreras</v>
      </c>
      <c r="E973" s="79" t="str">
        <f ca="1">IFERROR(__xludf.DUMMYFUNCTION("""COMPUTED_VALUE"""),"Atención Integral para una Vida Digna con Discapacidad")</f>
        <v>Atención Integral para una Vida Digna con Discapacidad</v>
      </c>
      <c r="F973" s="79" t="str">
        <f ca="1">IFERROR(__xludf.DUMMYFUNCTION("""COMPUTED_VALUE"""),"A2C1. Talleres especializados para personas con discapacidad  y sus familias intelectual brindados en CEAMIVIDA")</f>
        <v>A2C1. Talleres especializados para personas con discapacidad  y sus familias intelectual brindados en CEAMIVIDA</v>
      </c>
      <c r="G973" s="79" t="str">
        <f ca="1">IFERROR(__xludf.DUMMYFUNCTION("""COMPUTED_VALUE"""),"Porcentaje de sesiones de talleres recreativos, formativos y deportivos para personas con discapacidad intelectual implementados en CEAMIVIDA en 2024")</f>
        <v>Porcentaje de sesiones de talleres recreativos, formativos y deportivos para personas con discapacidad intelectual implementados en CEAMIVIDA en 2024</v>
      </c>
      <c r="H973" s="79" t="str">
        <f ca="1">IFERROR(__xludf.DUMMYFUNCTION("""COMPUTED_VALUE"""),"Servicio")</f>
        <v>Servicio</v>
      </c>
      <c r="I973" s="79" t="str">
        <f ca="1">IFERROR(__xludf.DUMMYFUNCTION("""COMPUTED_VALUE"""),"Diciembre")</f>
        <v>Diciembre</v>
      </c>
      <c r="J973" s="79" t="str">
        <f ca="1">IFERROR(__xludf.DUMMYFUNCTION("""COMPUTED_VALUE"""),"N/A")</f>
        <v>N/A</v>
      </c>
      <c r="K973" s="80">
        <f ca="1">IFERROR(__xludf.DUMMYFUNCTION("""COMPUTED_VALUE"""),81)</f>
        <v>81</v>
      </c>
      <c r="L973" s="79" t="str">
        <f ca="1">IFERROR(__xludf.DUMMYFUNCTION("""COMPUTED_VALUE"""),"TRIMESTRE 4")</f>
        <v>TRIMESTRE 4</v>
      </c>
      <c r="M973" s="79" t="str">
        <f ca="1">IFERROR(__xludf.DUMMYFUNCTION("""COMPUTED_VALUE"""),"SERVICIOS")</f>
        <v>SERVICIOS</v>
      </c>
    </row>
    <row r="974" spans="1:13">
      <c r="A974" s="79" t="str">
        <f ca="1">IFERROR(__xludf.DUMMYFUNCTION("""COMPUTED_VALUE"""),"6.1.2.1")</f>
        <v>6.1.2.1</v>
      </c>
      <c r="B974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74" s="79" t="str">
        <f ca="1">IFERROR(__xludf.DUMMYFUNCTION("""COMPUTED_VALUE"""),"5. Inclusión")</f>
        <v>5. Inclusión</v>
      </c>
      <c r="D974" s="79" t="str">
        <f ca="1">IFERROR(__xludf.DUMMYFUNCTION("""COMPUTED_VALUE"""),"Guadalajara sin Barreras")</f>
        <v>Guadalajara sin Barreras</v>
      </c>
      <c r="E974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74" s="79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74" s="79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74" s="79" t="str">
        <f ca="1">IFERROR(__xludf.DUMMYFUNCTION("""COMPUTED_VALUE"""),"Servicio")</f>
        <v>Servicio</v>
      </c>
      <c r="I974" s="79" t="str">
        <f ca="1">IFERROR(__xludf.DUMMYFUNCTION("""COMPUTED_VALUE"""),"Enero")</f>
        <v>Enero</v>
      </c>
      <c r="J974" s="79" t="str">
        <f ca="1">IFERROR(__xludf.DUMMYFUNCTION("""COMPUTED_VALUE"""),"N/A")</f>
        <v>N/A</v>
      </c>
      <c r="K974" s="80">
        <f ca="1">IFERROR(__xludf.DUMMYFUNCTION("""COMPUTED_VALUE"""),840)</f>
        <v>840</v>
      </c>
      <c r="L974" s="79" t="str">
        <f ca="1">IFERROR(__xludf.DUMMYFUNCTION("""COMPUTED_VALUE"""),"TRIMESTRE 1")</f>
        <v>TRIMESTRE 1</v>
      </c>
      <c r="M974" s="79" t="str">
        <f ca="1">IFERROR(__xludf.DUMMYFUNCTION("""COMPUTED_VALUE"""),"SERVICIOS")</f>
        <v>SERVICIOS</v>
      </c>
    </row>
    <row r="975" spans="1:13">
      <c r="A975" s="79" t="str">
        <f ca="1">IFERROR(__xludf.DUMMYFUNCTION("""COMPUTED_VALUE"""),"6.1.2.1")</f>
        <v>6.1.2.1</v>
      </c>
      <c r="B975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75" s="79" t="str">
        <f ca="1">IFERROR(__xludf.DUMMYFUNCTION("""COMPUTED_VALUE"""),"5. Inclusión")</f>
        <v>5. Inclusión</v>
      </c>
      <c r="D975" s="79" t="str">
        <f ca="1">IFERROR(__xludf.DUMMYFUNCTION("""COMPUTED_VALUE"""),"Guadalajara sin Barreras")</f>
        <v>Guadalajara sin Barreras</v>
      </c>
      <c r="E975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75" s="79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75" s="79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75" s="79" t="str">
        <f ca="1">IFERROR(__xludf.DUMMYFUNCTION("""COMPUTED_VALUE"""),"Servicio")</f>
        <v>Servicio</v>
      </c>
      <c r="I975" s="79" t="str">
        <f ca="1">IFERROR(__xludf.DUMMYFUNCTION("""COMPUTED_VALUE"""),"Febrero")</f>
        <v>Febrero</v>
      </c>
      <c r="J975" s="79" t="str">
        <f ca="1">IFERROR(__xludf.DUMMYFUNCTION("""COMPUTED_VALUE"""),"N/A")</f>
        <v>N/A</v>
      </c>
      <c r="K975" s="80">
        <f ca="1">IFERROR(__xludf.DUMMYFUNCTION("""COMPUTED_VALUE"""),1289)</f>
        <v>1289</v>
      </c>
      <c r="L975" s="79" t="str">
        <f ca="1">IFERROR(__xludf.DUMMYFUNCTION("""COMPUTED_VALUE"""),"TRIMESTRE 1")</f>
        <v>TRIMESTRE 1</v>
      </c>
      <c r="M975" s="79" t="str">
        <f ca="1">IFERROR(__xludf.DUMMYFUNCTION("""COMPUTED_VALUE"""),"SERVICIOS")</f>
        <v>SERVICIOS</v>
      </c>
    </row>
    <row r="976" spans="1:13">
      <c r="A976" s="79" t="str">
        <f ca="1">IFERROR(__xludf.DUMMYFUNCTION("""COMPUTED_VALUE"""),"6.1.2.1")</f>
        <v>6.1.2.1</v>
      </c>
      <c r="B976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76" s="79" t="str">
        <f ca="1">IFERROR(__xludf.DUMMYFUNCTION("""COMPUTED_VALUE"""),"5. Inclusión")</f>
        <v>5. Inclusión</v>
      </c>
      <c r="D976" s="79" t="str">
        <f ca="1">IFERROR(__xludf.DUMMYFUNCTION("""COMPUTED_VALUE"""),"Guadalajara sin Barreras")</f>
        <v>Guadalajara sin Barreras</v>
      </c>
      <c r="E976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76" s="79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76" s="79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76" s="79" t="str">
        <f ca="1">IFERROR(__xludf.DUMMYFUNCTION("""COMPUTED_VALUE"""),"Servicio")</f>
        <v>Servicio</v>
      </c>
      <c r="I976" s="79" t="str">
        <f ca="1">IFERROR(__xludf.DUMMYFUNCTION("""COMPUTED_VALUE"""),"Marzo")</f>
        <v>Marzo</v>
      </c>
      <c r="J976" s="79" t="str">
        <f ca="1">IFERROR(__xludf.DUMMYFUNCTION("""COMPUTED_VALUE"""),"N/A")</f>
        <v>N/A</v>
      </c>
      <c r="K976" s="80">
        <f ca="1">IFERROR(__xludf.DUMMYFUNCTION("""COMPUTED_VALUE"""),952)</f>
        <v>952</v>
      </c>
      <c r="L976" s="79" t="str">
        <f ca="1">IFERROR(__xludf.DUMMYFUNCTION("""COMPUTED_VALUE"""),"TRIMESTRE 1")</f>
        <v>TRIMESTRE 1</v>
      </c>
      <c r="M976" s="79" t="str">
        <f ca="1">IFERROR(__xludf.DUMMYFUNCTION("""COMPUTED_VALUE"""),"SERVICIOS")</f>
        <v>SERVICIOS</v>
      </c>
    </row>
    <row r="977" spans="1:13">
      <c r="A977" s="79" t="str">
        <f ca="1">IFERROR(__xludf.DUMMYFUNCTION("""COMPUTED_VALUE"""),"6.1.2.1")</f>
        <v>6.1.2.1</v>
      </c>
      <c r="B977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77" s="79" t="str">
        <f ca="1">IFERROR(__xludf.DUMMYFUNCTION("""COMPUTED_VALUE"""),"5. Inclusión")</f>
        <v>5. Inclusión</v>
      </c>
      <c r="D977" s="79" t="str">
        <f ca="1">IFERROR(__xludf.DUMMYFUNCTION("""COMPUTED_VALUE"""),"Guadalajara sin Barreras")</f>
        <v>Guadalajara sin Barreras</v>
      </c>
      <c r="E977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77" s="79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77" s="79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77" s="79" t="str">
        <f ca="1">IFERROR(__xludf.DUMMYFUNCTION("""COMPUTED_VALUE"""),"Servicio")</f>
        <v>Servicio</v>
      </c>
      <c r="I977" s="79" t="str">
        <f ca="1">IFERROR(__xludf.DUMMYFUNCTION("""COMPUTED_VALUE"""),"Abril")</f>
        <v>Abril</v>
      </c>
      <c r="J977" s="79" t="str">
        <f ca="1">IFERROR(__xludf.DUMMYFUNCTION("""COMPUTED_VALUE"""),"N/A")</f>
        <v>N/A</v>
      </c>
      <c r="K977" s="80">
        <f ca="1">IFERROR(__xludf.DUMMYFUNCTION("""COMPUTED_VALUE"""),1083)</f>
        <v>1083</v>
      </c>
      <c r="L977" s="79" t="str">
        <f ca="1">IFERROR(__xludf.DUMMYFUNCTION("""COMPUTED_VALUE"""),"TRIMESTRE 2")</f>
        <v>TRIMESTRE 2</v>
      </c>
      <c r="M977" s="79" t="str">
        <f ca="1">IFERROR(__xludf.DUMMYFUNCTION("""COMPUTED_VALUE"""),"SERVICIOS")</f>
        <v>SERVICIOS</v>
      </c>
    </row>
    <row r="978" spans="1:13">
      <c r="A978" s="79" t="str">
        <f ca="1">IFERROR(__xludf.DUMMYFUNCTION("""COMPUTED_VALUE"""),"6.1.2.1")</f>
        <v>6.1.2.1</v>
      </c>
      <c r="B978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78" s="79" t="str">
        <f ca="1">IFERROR(__xludf.DUMMYFUNCTION("""COMPUTED_VALUE"""),"5. Inclusión")</f>
        <v>5. Inclusión</v>
      </c>
      <c r="D978" s="79" t="str">
        <f ca="1">IFERROR(__xludf.DUMMYFUNCTION("""COMPUTED_VALUE"""),"Guadalajara sin Barreras")</f>
        <v>Guadalajara sin Barreras</v>
      </c>
      <c r="E978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78" s="79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78" s="79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78" s="79" t="str">
        <f ca="1">IFERROR(__xludf.DUMMYFUNCTION("""COMPUTED_VALUE"""),"Servicio")</f>
        <v>Servicio</v>
      </c>
      <c r="I978" s="79" t="str">
        <f ca="1">IFERROR(__xludf.DUMMYFUNCTION("""COMPUTED_VALUE"""),"Mayo")</f>
        <v>Mayo</v>
      </c>
      <c r="J978" s="79" t="str">
        <f ca="1">IFERROR(__xludf.DUMMYFUNCTION("""COMPUTED_VALUE"""),"N/A")</f>
        <v>N/A</v>
      </c>
      <c r="K978" s="80">
        <f ca="1">IFERROR(__xludf.DUMMYFUNCTION("""COMPUTED_VALUE"""),1297)</f>
        <v>1297</v>
      </c>
      <c r="L978" s="79" t="str">
        <f ca="1">IFERROR(__xludf.DUMMYFUNCTION("""COMPUTED_VALUE"""),"TRIMESTRE 2")</f>
        <v>TRIMESTRE 2</v>
      </c>
      <c r="M978" s="79" t="str">
        <f ca="1">IFERROR(__xludf.DUMMYFUNCTION("""COMPUTED_VALUE"""),"SERVICIOS")</f>
        <v>SERVICIOS</v>
      </c>
    </row>
    <row r="979" spans="1:13">
      <c r="A979" s="79" t="str">
        <f ca="1">IFERROR(__xludf.DUMMYFUNCTION("""COMPUTED_VALUE"""),"6.1.2.1")</f>
        <v>6.1.2.1</v>
      </c>
      <c r="B979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79" s="79" t="str">
        <f ca="1">IFERROR(__xludf.DUMMYFUNCTION("""COMPUTED_VALUE"""),"5. Inclusión")</f>
        <v>5. Inclusión</v>
      </c>
      <c r="D979" s="79" t="str">
        <f ca="1">IFERROR(__xludf.DUMMYFUNCTION("""COMPUTED_VALUE"""),"Guadalajara sin Barreras")</f>
        <v>Guadalajara sin Barreras</v>
      </c>
      <c r="E979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79" s="79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79" s="79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79" s="79" t="str">
        <f ca="1">IFERROR(__xludf.DUMMYFUNCTION("""COMPUTED_VALUE"""),"Servicio")</f>
        <v>Servicio</v>
      </c>
      <c r="I979" s="79" t="str">
        <f ca="1">IFERROR(__xludf.DUMMYFUNCTION("""COMPUTED_VALUE"""),"Junio")</f>
        <v>Junio</v>
      </c>
      <c r="J979" s="79" t="str">
        <f ca="1">IFERROR(__xludf.DUMMYFUNCTION("""COMPUTED_VALUE"""),"N/A")</f>
        <v>N/A</v>
      </c>
      <c r="K979" s="80">
        <f ca="1">IFERROR(__xludf.DUMMYFUNCTION("""COMPUTED_VALUE"""),1220)</f>
        <v>1220</v>
      </c>
      <c r="L979" s="79" t="str">
        <f ca="1">IFERROR(__xludf.DUMMYFUNCTION("""COMPUTED_VALUE"""),"TRIMESTRE 2")</f>
        <v>TRIMESTRE 2</v>
      </c>
      <c r="M979" s="79" t="str">
        <f ca="1">IFERROR(__xludf.DUMMYFUNCTION("""COMPUTED_VALUE"""),"SERVICIOS")</f>
        <v>SERVICIOS</v>
      </c>
    </row>
    <row r="980" spans="1:13">
      <c r="A980" s="79" t="str">
        <f ca="1">IFERROR(__xludf.DUMMYFUNCTION("""COMPUTED_VALUE"""),"6.1.2.1")</f>
        <v>6.1.2.1</v>
      </c>
      <c r="B980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80" s="79" t="str">
        <f ca="1">IFERROR(__xludf.DUMMYFUNCTION("""COMPUTED_VALUE"""),"5. Inclusión")</f>
        <v>5. Inclusión</v>
      </c>
      <c r="D980" s="79" t="str">
        <f ca="1">IFERROR(__xludf.DUMMYFUNCTION("""COMPUTED_VALUE"""),"Guadalajara sin Barreras")</f>
        <v>Guadalajara sin Barreras</v>
      </c>
      <c r="E980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80" s="79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80" s="79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80" s="79" t="str">
        <f ca="1">IFERROR(__xludf.DUMMYFUNCTION("""COMPUTED_VALUE"""),"Servicio")</f>
        <v>Servicio</v>
      </c>
      <c r="I980" s="79" t="str">
        <f ca="1">IFERROR(__xludf.DUMMYFUNCTION("""COMPUTED_VALUE"""),"Julio")</f>
        <v>Julio</v>
      </c>
      <c r="J980" s="79" t="str">
        <f ca="1">IFERROR(__xludf.DUMMYFUNCTION("""COMPUTED_VALUE"""),"N/A")</f>
        <v>N/A</v>
      </c>
      <c r="K980" s="80">
        <f ca="1">IFERROR(__xludf.DUMMYFUNCTION("""COMPUTED_VALUE"""),1390)</f>
        <v>1390</v>
      </c>
      <c r="L980" s="79" t="str">
        <f ca="1">IFERROR(__xludf.DUMMYFUNCTION("""COMPUTED_VALUE"""),"TRIMESTRE 3")</f>
        <v>TRIMESTRE 3</v>
      </c>
      <c r="M980" s="79" t="str">
        <f ca="1">IFERROR(__xludf.DUMMYFUNCTION("""COMPUTED_VALUE"""),"SERVICIOS")</f>
        <v>SERVICIOS</v>
      </c>
    </row>
    <row r="981" spans="1:13">
      <c r="A981" s="79" t="str">
        <f ca="1">IFERROR(__xludf.DUMMYFUNCTION("""COMPUTED_VALUE"""),"6.1.2.1")</f>
        <v>6.1.2.1</v>
      </c>
      <c r="B981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81" s="79" t="str">
        <f ca="1">IFERROR(__xludf.DUMMYFUNCTION("""COMPUTED_VALUE"""),"5. Inclusión")</f>
        <v>5. Inclusión</v>
      </c>
      <c r="D981" s="79" t="str">
        <f ca="1">IFERROR(__xludf.DUMMYFUNCTION("""COMPUTED_VALUE"""),"Guadalajara sin Barreras")</f>
        <v>Guadalajara sin Barreras</v>
      </c>
      <c r="E981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81" s="79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81" s="79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81" s="79" t="str">
        <f ca="1">IFERROR(__xludf.DUMMYFUNCTION("""COMPUTED_VALUE"""),"Servicio")</f>
        <v>Servicio</v>
      </c>
      <c r="I981" s="79" t="str">
        <f ca="1">IFERROR(__xludf.DUMMYFUNCTION("""COMPUTED_VALUE"""),"Agosto")</f>
        <v>Agosto</v>
      </c>
      <c r="J981" s="79" t="str">
        <f ca="1">IFERROR(__xludf.DUMMYFUNCTION("""COMPUTED_VALUE"""),"N/A")</f>
        <v>N/A</v>
      </c>
      <c r="K981" s="80">
        <f ca="1">IFERROR(__xludf.DUMMYFUNCTION("""COMPUTED_VALUE"""),1201)</f>
        <v>1201</v>
      </c>
      <c r="L981" s="79" t="str">
        <f ca="1">IFERROR(__xludf.DUMMYFUNCTION("""COMPUTED_VALUE"""),"TRIMESTRE 3")</f>
        <v>TRIMESTRE 3</v>
      </c>
      <c r="M981" s="79" t="str">
        <f ca="1">IFERROR(__xludf.DUMMYFUNCTION("""COMPUTED_VALUE"""),"SERVICIOS")</f>
        <v>SERVICIOS</v>
      </c>
    </row>
    <row r="982" spans="1:13">
      <c r="A982" s="79" t="str">
        <f ca="1">IFERROR(__xludf.DUMMYFUNCTION("""COMPUTED_VALUE"""),"6.1.2.1")</f>
        <v>6.1.2.1</v>
      </c>
      <c r="B982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82" s="79" t="str">
        <f ca="1">IFERROR(__xludf.DUMMYFUNCTION("""COMPUTED_VALUE"""),"5. Inclusión")</f>
        <v>5. Inclusión</v>
      </c>
      <c r="D982" s="79" t="str">
        <f ca="1">IFERROR(__xludf.DUMMYFUNCTION("""COMPUTED_VALUE"""),"Guadalajara sin Barreras")</f>
        <v>Guadalajara sin Barreras</v>
      </c>
      <c r="E982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82" s="79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82" s="79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82" s="79" t="str">
        <f ca="1">IFERROR(__xludf.DUMMYFUNCTION("""COMPUTED_VALUE"""),"Servicio")</f>
        <v>Servicio</v>
      </c>
      <c r="I982" s="79" t="str">
        <f ca="1">IFERROR(__xludf.DUMMYFUNCTION("""COMPUTED_VALUE"""),"Septiembre")</f>
        <v>Septiembre</v>
      </c>
      <c r="J982" s="79" t="str">
        <f ca="1">IFERROR(__xludf.DUMMYFUNCTION("""COMPUTED_VALUE"""),"N/A")</f>
        <v>N/A</v>
      </c>
      <c r="K982" s="80">
        <f ca="1">IFERROR(__xludf.DUMMYFUNCTION("""COMPUTED_VALUE"""),842)</f>
        <v>842</v>
      </c>
      <c r="L982" s="79" t="str">
        <f ca="1">IFERROR(__xludf.DUMMYFUNCTION("""COMPUTED_VALUE"""),"TRIMESTRE 3")</f>
        <v>TRIMESTRE 3</v>
      </c>
      <c r="M982" s="79" t="str">
        <f ca="1">IFERROR(__xludf.DUMMYFUNCTION("""COMPUTED_VALUE"""),"SERVICIOS")</f>
        <v>SERVICIOS</v>
      </c>
    </row>
    <row r="983" spans="1:13">
      <c r="A983" s="79" t="str">
        <f ca="1">IFERROR(__xludf.DUMMYFUNCTION("""COMPUTED_VALUE"""),"6.1.2.1")</f>
        <v>6.1.2.1</v>
      </c>
      <c r="B983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83" s="79" t="str">
        <f ca="1">IFERROR(__xludf.DUMMYFUNCTION("""COMPUTED_VALUE"""),"5. Inclusión")</f>
        <v>5. Inclusión</v>
      </c>
      <c r="D983" s="79" t="str">
        <f ca="1">IFERROR(__xludf.DUMMYFUNCTION("""COMPUTED_VALUE"""),"Guadalajara sin Barreras")</f>
        <v>Guadalajara sin Barreras</v>
      </c>
      <c r="E983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83" s="79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83" s="79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83" s="79" t="str">
        <f ca="1">IFERROR(__xludf.DUMMYFUNCTION("""COMPUTED_VALUE"""),"Servicio")</f>
        <v>Servicio</v>
      </c>
      <c r="I983" s="79" t="str">
        <f ca="1">IFERROR(__xludf.DUMMYFUNCTION("""COMPUTED_VALUE"""),"Octubre")</f>
        <v>Octubre</v>
      </c>
      <c r="J983" s="79" t="str">
        <f ca="1">IFERROR(__xludf.DUMMYFUNCTION("""COMPUTED_VALUE"""),"N/A")</f>
        <v>N/A</v>
      </c>
      <c r="K983" s="80">
        <f ca="1">IFERROR(__xludf.DUMMYFUNCTION("""COMPUTED_VALUE"""),1527)</f>
        <v>1527</v>
      </c>
      <c r="L983" s="79" t="str">
        <f ca="1">IFERROR(__xludf.DUMMYFUNCTION("""COMPUTED_VALUE"""),"TRIMESTRE 4")</f>
        <v>TRIMESTRE 4</v>
      </c>
      <c r="M983" s="79" t="str">
        <f ca="1">IFERROR(__xludf.DUMMYFUNCTION("""COMPUTED_VALUE"""),"SERVICIOS")</f>
        <v>SERVICIOS</v>
      </c>
    </row>
    <row r="984" spans="1:13">
      <c r="A984" s="79" t="str">
        <f ca="1">IFERROR(__xludf.DUMMYFUNCTION("""COMPUTED_VALUE"""),"6.1.2.1")</f>
        <v>6.1.2.1</v>
      </c>
      <c r="B984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84" s="79" t="str">
        <f ca="1">IFERROR(__xludf.DUMMYFUNCTION("""COMPUTED_VALUE"""),"5. Inclusión")</f>
        <v>5. Inclusión</v>
      </c>
      <c r="D984" s="79" t="str">
        <f ca="1">IFERROR(__xludf.DUMMYFUNCTION("""COMPUTED_VALUE"""),"Guadalajara sin Barreras")</f>
        <v>Guadalajara sin Barreras</v>
      </c>
      <c r="E984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84" s="79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84" s="79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84" s="79" t="str">
        <f ca="1">IFERROR(__xludf.DUMMYFUNCTION("""COMPUTED_VALUE"""),"Servicio")</f>
        <v>Servicio</v>
      </c>
      <c r="I984" s="79" t="str">
        <f ca="1">IFERROR(__xludf.DUMMYFUNCTION("""COMPUTED_VALUE"""),"Noviembre")</f>
        <v>Noviembre</v>
      </c>
      <c r="J984" s="79" t="str">
        <f ca="1">IFERROR(__xludf.DUMMYFUNCTION("""COMPUTED_VALUE"""),"N/A")</f>
        <v>N/A</v>
      </c>
      <c r="K984" s="80">
        <f ca="1">IFERROR(__xludf.DUMMYFUNCTION("""COMPUTED_VALUE"""),1451)</f>
        <v>1451</v>
      </c>
      <c r="L984" s="79" t="str">
        <f ca="1">IFERROR(__xludf.DUMMYFUNCTION("""COMPUTED_VALUE"""),"TRIMESTRE 4")</f>
        <v>TRIMESTRE 4</v>
      </c>
      <c r="M984" s="79" t="str">
        <f ca="1">IFERROR(__xludf.DUMMYFUNCTION("""COMPUTED_VALUE"""),"SERVICIOS")</f>
        <v>SERVICIOS</v>
      </c>
    </row>
    <row r="985" spans="1:13">
      <c r="A985" s="79" t="str">
        <f ca="1">IFERROR(__xludf.DUMMYFUNCTION("""COMPUTED_VALUE"""),"6.1.2.1")</f>
        <v>6.1.2.1</v>
      </c>
      <c r="B985" s="79" t="str">
        <f ca="1">IFERROR(__xludf.DUMMYFUNCTION("""COMPUTED_VALUE"""),"Atención Integral para Personas con Trastorno del Espectro Autista y Discapacidad Intelectual/Dirección del Área de Centros de Inclusión/Dirección del Área de Centros de Inclusión/Coord.5. Inclusión")</f>
        <v>Atención Integral para Personas con Trastorno del Espectro Autista y Discapacidad Intelectual/Dirección del Área de Centros de Inclusión/Dirección del Área de Centros de Inclusión/Coord.5. Inclusión</v>
      </c>
      <c r="C985" s="79" t="str">
        <f ca="1">IFERROR(__xludf.DUMMYFUNCTION("""COMPUTED_VALUE"""),"5. Inclusión")</f>
        <v>5. Inclusión</v>
      </c>
      <c r="D985" s="79" t="str">
        <f ca="1">IFERROR(__xludf.DUMMYFUNCTION("""COMPUTED_VALUE"""),"Guadalajara sin Barreras")</f>
        <v>Guadalajara sin Barreras</v>
      </c>
      <c r="E985" s="79" t="str">
        <f ca="1">IFERROR(__xludf.DUMMYFUNCTION("""COMPUTED_VALUE"""),"Atención Integral para Personas con Trastorno del Espectro Autista y Discapacidad Intelectual")</f>
        <v>Atención Integral para Personas con Trastorno del Espectro Autista y Discapacidad Intelectual</v>
      </c>
      <c r="F985" s="79" t="str">
        <f ca="1">IFERROR(__xludf.DUMMYFUNCTION("""COMPUTED_VALUE"""),"A1C2. Sesiones especializadas y complementarias para personas con discapacidad intelectual o trastorno del espectro autista en CADI")</f>
        <v>A1C2. Sesiones especializadas y complementarias para personas con discapacidad intelectual o trastorno del espectro autista en CADI</v>
      </c>
      <c r="G985" s="79" t="str">
        <f ca="1">IFERROR(__xludf.DUMMYFUNCTION("""COMPUTED_VALUE"""),"Porcentaje de sesiones de terapia especializada y complementarias para personas con discapacidad intelectual o trastorno del espectro autista, brindadas en el CADI en 2024")</f>
        <v>Porcentaje de sesiones de terapia especializada y complementarias para personas con discapacidad intelectual o trastorno del espectro autista, brindadas en el CADI en 2024</v>
      </c>
      <c r="H985" s="79" t="str">
        <f ca="1">IFERROR(__xludf.DUMMYFUNCTION("""COMPUTED_VALUE"""),"Servicio")</f>
        <v>Servicio</v>
      </c>
      <c r="I985" s="79" t="str">
        <f ca="1">IFERROR(__xludf.DUMMYFUNCTION("""COMPUTED_VALUE"""),"Diciembre")</f>
        <v>Diciembre</v>
      </c>
      <c r="J985" s="79" t="str">
        <f ca="1">IFERROR(__xludf.DUMMYFUNCTION("""COMPUTED_VALUE"""),"N/A")</f>
        <v>N/A</v>
      </c>
      <c r="K985" s="80">
        <f ca="1">IFERROR(__xludf.DUMMYFUNCTION("""COMPUTED_VALUE"""),714)</f>
        <v>714</v>
      </c>
      <c r="L985" s="79" t="str">
        <f ca="1">IFERROR(__xludf.DUMMYFUNCTION("""COMPUTED_VALUE"""),"TRIMESTRE 4")</f>
        <v>TRIMESTRE 4</v>
      </c>
      <c r="M985" s="79" t="str">
        <f ca="1">IFERROR(__xludf.DUMMYFUNCTION("""COMPUTED_VALUE"""),"SERVICIOS")</f>
        <v>SERVICIOS</v>
      </c>
    </row>
    <row r="986" spans="1:13">
      <c r="A986" s="79" t="str">
        <f ca="1">IFERROR(__xludf.DUMMYFUNCTION("""COMPUTED_VALUE"""),"6.1.3.0")</f>
        <v>6.1.3.0</v>
      </c>
      <c r="B986" s="79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986" s="79" t="str">
        <f ca="1">IFERROR(__xludf.DUMMYFUNCTION("""COMPUTED_VALUE"""),"5. Inclusión")</f>
        <v>5. Inclusión</v>
      </c>
      <c r="D986" s="79" t="str">
        <f ca="1">IFERROR(__xludf.DUMMYFUNCTION("""COMPUTED_VALUE"""),"Guadalajara sin Barreras")</f>
        <v>Guadalajara sin Barreras</v>
      </c>
      <c r="E986" s="79" t="str">
        <f ca="1">IFERROR(__xludf.DUMMYFUNCTION("""COMPUTED_VALUE"""),"Cultura para la Inclusión")</f>
        <v>Cultura para la Inclusión</v>
      </c>
      <c r="F986" s="79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986" s="79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986" s="79" t="str">
        <f ca="1">IFERROR(__xludf.DUMMYFUNCTION("""COMPUTED_VALUE"""),"Servicio")</f>
        <v>Servicio</v>
      </c>
      <c r="I986" s="79" t="str">
        <f ca="1">IFERROR(__xludf.DUMMYFUNCTION("""COMPUTED_VALUE"""),"Enero")</f>
        <v>Enero</v>
      </c>
      <c r="J986" s="79" t="str">
        <f ca="1">IFERROR(__xludf.DUMMYFUNCTION("""COMPUTED_VALUE"""),"N/A")</f>
        <v>N/A</v>
      </c>
      <c r="K986" s="80">
        <f ca="1">IFERROR(__xludf.DUMMYFUNCTION("""COMPUTED_VALUE"""),76)</f>
        <v>76</v>
      </c>
      <c r="L986" s="79" t="str">
        <f ca="1">IFERROR(__xludf.DUMMYFUNCTION("""COMPUTED_VALUE"""),"TRIMESTRE 1")</f>
        <v>TRIMESTRE 1</v>
      </c>
      <c r="M986" s="79" t="str">
        <f ca="1">IFERROR(__xludf.DUMMYFUNCTION("""COMPUTED_VALUE"""),"SERVICIOS")</f>
        <v>SERVICIOS</v>
      </c>
    </row>
    <row r="987" spans="1:13">
      <c r="A987" s="79" t="str">
        <f ca="1">IFERROR(__xludf.DUMMYFUNCTION("""COMPUTED_VALUE"""),"6.1.3.3")</f>
        <v>6.1.3.3</v>
      </c>
      <c r="B987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987" s="79" t="str">
        <f ca="1">IFERROR(__xludf.DUMMYFUNCTION("""COMPUTED_VALUE"""),"5. Inclusión")</f>
        <v>5. Inclusión</v>
      </c>
      <c r="D987" s="79" t="str">
        <f ca="1">IFERROR(__xludf.DUMMYFUNCTION("""COMPUTED_VALUE"""),"Guadalajara sin Barreras")</f>
        <v>Guadalajara sin Barreras</v>
      </c>
      <c r="E987" s="79" t="str">
        <f ca="1">IFERROR(__xludf.DUMMYFUNCTION("""COMPUTED_VALUE"""),"Cultura para la Inclusión")</f>
        <v>Cultura para la Inclusión</v>
      </c>
      <c r="F987" s="79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987" s="79" t="str">
        <f ca="1">IFERROR(__xludf.DUMMYFUNCTION("""COMPUTED_VALUE"""),"Porcentaje de talleres brindados durante el 2024")</f>
        <v>Porcentaje de talleres brindados durante el 2024</v>
      </c>
      <c r="H987" s="79" t="str">
        <f ca="1">IFERROR(__xludf.DUMMYFUNCTION("""COMPUTED_VALUE"""),"Servicio")</f>
        <v>Servicio</v>
      </c>
      <c r="I987" s="79" t="str">
        <f ca="1">IFERROR(__xludf.DUMMYFUNCTION("""COMPUTED_VALUE"""),"Enero")</f>
        <v>Enero</v>
      </c>
      <c r="J987" s="79" t="str">
        <f ca="1">IFERROR(__xludf.DUMMYFUNCTION("""COMPUTED_VALUE"""),"N/A")</f>
        <v>N/A</v>
      </c>
      <c r="K987" s="80">
        <f ca="1">IFERROR(__xludf.DUMMYFUNCTION("""COMPUTED_VALUE"""),1)</f>
        <v>1</v>
      </c>
      <c r="L987" s="79" t="str">
        <f ca="1">IFERROR(__xludf.DUMMYFUNCTION("""COMPUTED_VALUE"""),"TRIMESTRE 1")</f>
        <v>TRIMESTRE 1</v>
      </c>
      <c r="M987" s="79" t="str">
        <f ca="1">IFERROR(__xludf.DUMMYFUNCTION("""COMPUTED_VALUE"""),"SERVICIOS")</f>
        <v>SERVICIOS</v>
      </c>
    </row>
    <row r="988" spans="1:13">
      <c r="A988" s="79" t="str">
        <f ca="1">IFERROR(__xludf.DUMMYFUNCTION("""COMPUTED_VALUE"""),"6.1.3.0")</f>
        <v>6.1.3.0</v>
      </c>
      <c r="B988" s="79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988" s="79" t="str">
        <f ca="1">IFERROR(__xludf.DUMMYFUNCTION("""COMPUTED_VALUE"""),"5. Inclusión")</f>
        <v>5. Inclusión</v>
      </c>
      <c r="D988" s="79" t="str">
        <f ca="1">IFERROR(__xludf.DUMMYFUNCTION("""COMPUTED_VALUE"""),"Guadalajara sin Barreras")</f>
        <v>Guadalajara sin Barreras</v>
      </c>
      <c r="E988" s="79" t="str">
        <f ca="1">IFERROR(__xludf.DUMMYFUNCTION("""COMPUTED_VALUE"""),"Cultura para la Inclusión")</f>
        <v>Cultura para la Inclusión</v>
      </c>
      <c r="F988" s="79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988" s="79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988" s="79" t="str">
        <f ca="1">IFERROR(__xludf.DUMMYFUNCTION("""COMPUTED_VALUE"""),"Servicio")</f>
        <v>Servicio</v>
      </c>
      <c r="I988" s="79" t="str">
        <f ca="1">IFERROR(__xludf.DUMMYFUNCTION("""COMPUTED_VALUE"""),"Febrero")</f>
        <v>Febrero</v>
      </c>
      <c r="J988" s="79" t="str">
        <f ca="1">IFERROR(__xludf.DUMMYFUNCTION("""COMPUTED_VALUE"""),"N/A")</f>
        <v>N/A</v>
      </c>
      <c r="K988" s="80">
        <f ca="1">IFERROR(__xludf.DUMMYFUNCTION("""COMPUTED_VALUE"""),126)</f>
        <v>126</v>
      </c>
      <c r="L988" s="79" t="str">
        <f ca="1">IFERROR(__xludf.DUMMYFUNCTION("""COMPUTED_VALUE"""),"TRIMESTRE 1")</f>
        <v>TRIMESTRE 1</v>
      </c>
      <c r="M988" s="79" t="str">
        <f ca="1">IFERROR(__xludf.DUMMYFUNCTION("""COMPUTED_VALUE"""),"SERVICIOS")</f>
        <v>SERVICIOS</v>
      </c>
    </row>
    <row r="989" spans="1:13">
      <c r="A989" s="79" t="str">
        <f ca="1">IFERROR(__xludf.DUMMYFUNCTION("""COMPUTED_VALUE"""),"6.1.3.3")</f>
        <v>6.1.3.3</v>
      </c>
      <c r="B989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989" s="79" t="str">
        <f ca="1">IFERROR(__xludf.DUMMYFUNCTION("""COMPUTED_VALUE"""),"5. Inclusión")</f>
        <v>5. Inclusión</v>
      </c>
      <c r="D989" s="79" t="str">
        <f ca="1">IFERROR(__xludf.DUMMYFUNCTION("""COMPUTED_VALUE"""),"Guadalajara sin Barreras")</f>
        <v>Guadalajara sin Barreras</v>
      </c>
      <c r="E989" s="79" t="str">
        <f ca="1">IFERROR(__xludf.DUMMYFUNCTION("""COMPUTED_VALUE"""),"Cultura para la Inclusión")</f>
        <v>Cultura para la Inclusión</v>
      </c>
      <c r="F989" s="79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989" s="79" t="str">
        <f ca="1">IFERROR(__xludf.DUMMYFUNCTION("""COMPUTED_VALUE"""),"Porcentaje de talleres brindados durante el 2024")</f>
        <v>Porcentaje de talleres brindados durante el 2024</v>
      </c>
      <c r="H989" s="79" t="str">
        <f ca="1">IFERROR(__xludf.DUMMYFUNCTION("""COMPUTED_VALUE"""),"Servicio")</f>
        <v>Servicio</v>
      </c>
      <c r="I989" s="79" t="str">
        <f ca="1">IFERROR(__xludf.DUMMYFUNCTION("""COMPUTED_VALUE"""),"Febrero")</f>
        <v>Febrero</v>
      </c>
      <c r="J989" s="79" t="str">
        <f ca="1">IFERROR(__xludf.DUMMYFUNCTION("""COMPUTED_VALUE"""),"N/A")</f>
        <v>N/A</v>
      </c>
      <c r="K989" s="80">
        <f ca="1">IFERROR(__xludf.DUMMYFUNCTION("""COMPUTED_VALUE"""),1)</f>
        <v>1</v>
      </c>
      <c r="L989" s="79" t="str">
        <f ca="1">IFERROR(__xludf.DUMMYFUNCTION("""COMPUTED_VALUE"""),"TRIMESTRE 1")</f>
        <v>TRIMESTRE 1</v>
      </c>
      <c r="M989" s="79" t="str">
        <f ca="1">IFERROR(__xludf.DUMMYFUNCTION("""COMPUTED_VALUE"""),"SERVICIOS")</f>
        <v>SERVICIOS</v>
      </c>
    </row>
    <row r="990" spans="1:13">
      <c r="A990" s="79" t="str">
        <f ca="1">IFERROR(__xludf.DUMMYFUNCTION("""COMPUTED_VALUE"""),"6.1.3.0")</f>
        <v>6.1.3.0</v>
      </c>
      <c r="B990" s="79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990" s="79" t="str">
        <f ca="1">IFERROR(__xludf.DUMMYFUNCTION("""COMPUTED_VALUE"""),"5. Inclusión")</f>
        <v>5. Inclusión</v>
      </c>
      <c r="D990" s="79" t="str">
        <f ca="1">IFERROR(__xludf.DUMMYFUNCTION("""COMPUTED_VALUE"""),"Guadalajara sin Barreras")</f>
        <v>Guadalajara sin Barreras</v>
      </c>
      <c r="E990" s="79" t="str">
        <f ca="1">IFERROR(__xludf.DUMMYFUNCTION("""COMPUTED_VALUE"""),"Cultura para la Inclusión")</f>
        <v>Cultura para la Inclusión</v>
      </c>
      <c r="F990" s="79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990" s="79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990" s="79" t="str">
        <f ca="1">IFERROR(__xludf.DUMMYFUNCTION("""COMPUTED_VALUE"""),"Servicio")</f>
        <v>Servicio</v>
      </c>
      <c r="I990" s="79" t="str">
        <f ca="1">IFERROR(__xludf.DUMMYFUNCTION("""COMPUTED_VALUE"""),"Marzo")</f>
        <v>Marzo</v>
      </c>
      <c r="J990" s="79" t="str">
        <f ca="1">IFERROR(__xludf.DUMMYFUNCTION("""COMPUTED_VALUE"""),"N/A")</f>
        <v>N/A</v>
      </c>
      <c r="K990" s="80">
        <f ca="1">IFERROR(__xludf.DUMMYFUNCTION("""COMPUTED_VALUE"""),74)</f>
        <v>74</v>
      </c>
      <c r="L990" s="79" t="str">
        <f ca="1">IFERROR(__xludf.DUMMYFUNCTION("""COMPUTED_VALUE"""),"TRIMESTRE 1")</f>
        <v>TRIMESTRE 1</v>
      </c>
      <c r="M990" s="79" t="str">
        <f ca="1">IFERROR(__xludf.DUMMYFUNCTION("""COMPUTED_VALUE"""),"SERVICIOS")</f>
        <v>SERVICIOS</v>
      </c>
    </row>
    <row r="991" spans="1:13">
      <c r="A991" s="79" t="str">
        <f ca="1">IFERROR(__xludf.DUMMYFUNCTION("""COMPUTED_VALUE"""),"6.1.3.3")</f>
        <v>6.1.3.3</v>
      </c>
      <c r="B991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991" s="79" t="str">
        <f ca="1">IFERROR(__xludf.DUMMYFUNCTION("""COMPUTED_VALUE"""),"5. Inclusión")</f>
        <v>5. Inclusión</v>
      </c>
      <c r="D991" s="79" t="str">
        <f ca="1">IFERROR(__xludf.DUMMYFUNCTION("""COMPUTED_VALUE"""),"Guadalajara sin Barreras")</f>
        <v>Guadalajara sin Barreras</v>
      </c>
      <c r="E991" s="79" t="str">
        <f ca="1">IFERROR(__xludf.DUMMYFUNCTION("""COMPUTED_VALUE"""),"Cultura para la Inclusión")</f>
        <v>Cultura para la Inclusión</v>
      </c>
      <c r="F991" s="79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991" s="79" t="str">
        <f ca="1">IFERROR(__xludf.DUMMYFUNCTION("""COMPUTED_VALUE"""),"Porcentaje de talleres brindados durante el 2024")</f>
        <v>Porcentaje de talleres brindados durante el 2024</v>
      </c>
      <c r="H991" s="79" t="str">
        <f ca="1">IFERROR(__xludf.DUMMYFUNCTION("""COMPUTED_VALUE"""),"Servicio")</f>
        <v>Servicio</v>
      </c>
      <c r="I991" s="79" t="str">
        <f ca="1">IFERROR(__xludf.DUMMYFUNCTION("""COMPUTED_VALUE"""),"Marzo")</f>
        <v>Marzo</v>
      </c>
      <c r="J991" s="79" t="str">
        <f ca="1">IFERROR(__xludf.DUMMYFUNCTION("""COMPUTED_VALUE"""),"N/A")</f>
        <v>N/A</v>
      </c>
      <c r="K991" s="80">
        <f ca="1">IFERROR(__xludf.DUMMYFUNCTION("""COMPUTED_VALUE"""),2)</f>
        <v>2</v>
      </c>
      <c r="L991" s="79" t="str">
        <f ca="1">IFERROR(__xludf.DUMMYFUNCTION("""COMPUTED_VALUE"""),"TRIMESTRE 1")</f>
        <v>TRIMESTRE 1</v>
      </c>
      <c r="M991" s="79" t="str">
        <f ca="1">IFERROR(__xludf.DUMMYFUNCTION("""COMPUTED_VALUE"""),"SERVICIOS")</f>
        <v>SERVICIOS</v>
      </c>
    </row>
    <row r="992" spans="1:13">
      <c r="A992" s="79" t="str">
        <f ca="1">IFERROR(__xludf.DUMMYFUNCTION("""COMPUTED_VALUE"""),"6.1.3.0")</f>
        <v>6.1.3.0</v>
      </c>
      <c r="B992" s="79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992" s="79" t="str">
        <f ca="1">IFERROR(__xludf.DUMMYFUNCTION("""COMPUTED_VALUE"""),"5. Inclusión")</f>
        <v>5. Inclusión</v>
      </c>
      <c r="D992" s="79" t="str">
        <f ca="1">IFERROR(__xludf.DUMMYFUNCTION("""COMPUTED_VALUE"""),"Guadalajara sin Barreras")</f>
        <v>Guadalajara sin Barreras</v>
      </c>
      <c r="E992" s="79" t="str">
        <f ca="1">IFERROR(__xludf.DUMMYFUNCTION("""COMPUTED_VALUE"""),"Cultura para la Inclusión")</f>
        <v>Cultura para la Inclusión</v>
      </c>
      <c r="F992" s="79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992" s="79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992" s="79" t="str">
        <f ca="1">IFERROR(__xludf.DUMMYFUNCTION("""COMPUTED_VALUE"""),"Servicio")</f>
        <v>Servicio</v>
      </c>
      <c r="I992" s="79" t="str">
        <f ca="1">IFERROR(__xludf.DUMMYFUNCTION("""COMPUTED_VALUE"""),"Abril")</f>
        <v>Abril</v>
      </c>
      <c r="J992" s="79" t="str">
        <f ca="1">IFERROR(__xludf.DUMMYFUNCTION("""COMPUTED_VALUE"""),"N/A")</f>
        <v>N/A</v>
      </c>
      <c r="K992" s="80">
        <f ca="1">IFERROR(__xludf.DUMMYFUNCTION("""COMPUTED_VALUE"""),55)</f>
        <v>55</v>
      </c>
      <c r="L992" s="79" t="str">
        <f ca="1">IFERROR(__xludf.DUMMYFUNCTION("""COMPUTED_VALUE"""),"TRIMESTRE 2")</f>
        <v>TRIMESTRE 2</v>
      </c>
      <c r="M992" s="79" t="str">
        <f ca="1">IFERROR(__xludf.DUMMYFUNCTION("""COMPUTED_VALUE"""),"SERVICIOS")</f>
        <v>SERVICIOS</v>
      </c>
    </row>
    <row r="993" spans="1:13">
      <c r="A993" s="79" t="str">
        <f ca="1">IFERROR(__xludf.DUMMYFUNCTION("""COMPUTED_VALUE"""),"6.1.3.3")</f>
        <v>6.1.3.3</v>
      </c>
      <c r="B993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993" s="79" t="str">
        <f ca="1">IFERROR(__xludf.DUMMYFUNCTION("""COMPUTED_VALUE"""),"5. Inclusión")</f>
        <v>5. Inclusión</v>
      </c>
      <c r="D993" s="79" t="str">
        <f ca="1">IFERROR(__xludf.DUMMYFUNCTION("""COMPUTED_VALUE"""),"Guadalajara sin Barreras")</f>
        <v>Guadalajara sin Barreras</v>
      </c>
      <c r="E993" s="79" t="str">
        <f ca="1">IFERROR(__xludf.DUMMYFUNCTION("""COMPUTED_VALUE"""),"Cultura para la Inclusión")</f>
        <v>Cultura para la Inclusión</v>
      </c>
      <c r="F993" s="79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993" s="79" t="str">
        <f ca="1">IFERROR(__xludf.DUMMYFUNCTION("""COMPUTED_VALUE"""),"Porcentaje de talleres brindados durante el 2024")</f>
        <v>Porcentaje de talleres brindados durante el 2024</v>
      </c>
      <c r="H993" s="79" t="str">
        <f ca="1">IFERROR(__xludf.DUMMYFUNCTION("""COMPUTED_VALUE"""),"Servicio")</f>
        <v>Servicio</v>
      </c>
      <c r="I993" s="79" t="str">
        <f ca="1">IFERROR(__xludf.DUMMYFUNCTION("""COMPUTED_VALUE"""),"Abril")</f>
        <v>Abril</v>
      </c>
      <c r="J993" s="79" t="str">
        <f ca="1">IFERROR(__xludf.DUMMYFUNCTION("""COMPUTED_VALUE"""),"N/A")</f>
        <v>N/A</v>
      </c>
      <c r="K993" s="80">
        <f ca="1">IFERROR(__xludf.DUMMYFUNCTION("""COMPUTED_VALUE"""),0)</f>
        <v>0</v>
      </c>
      <c r="L993" s="79" t="str">
        <f ca="1">IFERROR(__xludf.DUMMYFUNCTION("""COMPUTED_VALUE"""),"TRIMESTRE 2")</f>
        <v>TRIMESTRE 2</v>
      </c>
      <c r="M993" s="79" t="str">
        <f ca="1">IFERROR(__xludf.DUMMYFUNCTION("""COMPUTED_VALUE"""),"SERVICIOS")</f>
        <v>SERVICIOS</v>
      </c>
    </row>
    <row r="994" spans="1:13">
      <c r="A994" s="79" t="str">
        <f ca="1">IFERROR(__xludf.DUMMYFUNCTION("""COMPUTED_VALUE"""),"6.1.3.0")</f>
        <v>6.1.3.0</v>
      </c>
      <c r="B994" s="79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994" s="79" t="str">
        <f ca="1">IFERROR(__xludf.DUMMYFUNCTION("""COMPUTED_VALUE"""),"5. Inclusión")</f>
        <v>5. Inclusión</v>
      </c>
      <c r="D994" s="79" t="str">
        <f ca="1">IFERROR(__xludf.DUMMYFUNCTION("""COMPUTED_VALUE"""),"Guadalajara sin Barreras")</f>
        <v>Guadalajara sin Barreras</v>
      </c>
      <c r="E994" s="79" t="str">
        <f ca="1">IFERROR(__xludf.DUMMYFUNCTION("""COMPUTED_VALUE"""),"Cultura para la Inclusión")</f>
        <v>Cultura para la Inclusión</v>
      </c>
      <c r="F994" s="79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994" s="79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994" s="79" t="str">
        <f ca="1">IFERROR(__xludf.DUMMYFUNCTION("""COMPUTED_VALUE"""),"Servicio")</f>
        <v>Servicio</v>
      </c>
      <c r="I994" s="79" t="str">
        <f ca="1">IFERROR(__xludf.DUMMYFUNCTION("""COMPUTED_VALUE"""),"Mayo")</f>
        <v>Mayo</v>
      </c>
      <c r="J994" s="79" t="str">
        <f ca="1">IFERROR(__xludf.DUMMYFUNCTION("""COMPUTED_VALUE"""),"N/A")</f>
        <v>N/A</v>
      </c>
      <c r="K994" s="80">
        <f ca="1">IFERROR(__xludf.DUMMYFUNCTION("""COMPUTED_VALUE"""),95)</f>
        <v>95</v>
      </c>
      <c r="L994" s="79" t="str">
        <f ca="1">IFERROR(__xludf.DUMMYFUNCTION("""COMPUTED_VALUE"""),"TRIMESTRE 2")</f>
        <v>TRIMESTRE 2</v>
      </c>
      <c r="M994" s="79" t="str">
        <f ca="1">IFERROR(__xludf.DUMMYFUNCTION("""COMPUTED_VALUE"""),"SERVICIOS")</f>
        <v>SERVICIOS</v>
      </c>
    </row>
    <row r="995" spans="1:13">
      <c r="A995" s="79" t="str">
        <f ca="1">IFERROR(__xludf.DUMMYFUNCTION("""COMPUTED_VALUE"""),"6.1.3.3")</f>
        <v>6.1.3.3</v>
      </c>
      <c r="B995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995" s="79" t="str">
        <f ca="1">IFERROR(__xludf.DUMMYFUNCTION("""COMPUTED_VALUE"""),"5. Inclusión")</f>
        <v>5. Inclusión</v>
      </c>
      <c r="D995" s="79" t="str">
        <f ca="1">IFERROR(__xludf.DUMMYFUNCTION("""COMPUTED_VALUE"""),"Guadalajara sin Barreras")</f>
        <v>Guadalajara sin Barreras</v>
      </c>
      <c r="E995" s="79" t="str">
        <f ca="1">IFERROR(__xludf.DUMMYFUNCTION("""COMPUTED_VALUE"""),"Cultura para la Inclusión")</f>
        <v>Cultura para la Inclusión</v>
      </c>
      <c r="F995" s="79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995" s="79" t="str">
        <f ca="1">IFERROR(__xludf.DUMMYFUNCTION("""COMPUTED_VALUE"""),"Porcentaje de talleres brindados durante el 2024")</f>
        <v>Porcentaje de talleres brindados durante el 2024</v>
      </c>
      <c r="H995" s="79" t="str">
        <f ca="1">IFERROR(__xludf.DUMMYFUNCTION("""COMPUTED_VALUE"""),"Servicio")</f>
        <v>Servicio</v>
      </c>
      <c r="I995" s="79" t="str">
        <f ca="1">IFERROR(__xludf.DUMMYFUNCTION("""COMPUTED_VALUE"""),"Mayo")</f>
        <v>Mayo</v>
      </c>
      <c r="J995" s="79" t="str">
        <f ca="1">IFERROR(__xludf.DUMMYFUNCTION("""COMPUTED_VALUE"""),"N/A")</f>
        <v>N/A</v>
      </c>
      <c r="K995" s="80">
        <f ca="1">IFERROR(__xludf.DUMMYFUNCTION("""COMPUTED_VALUE"""),0)</f>
        <v>0</v>
      </c>
      <c r="L995" s="79" t="str">
        <f ca="1">IFERROR(__xludf.DUMMYFUNCTION("""COMPUTED_VALUE"""),"TRIMESTRE 2")</f>
        <v>TRIMESTRE 2</v>
      </c>
      <c r="M995" s="79" t="str">
        <f ca="1">IFERROR(__xludf.DUMMYFUNCTION("""COMPUTED_VALUE"""),"SERVICIOS")</f>
        <v>SERVICIOS</v>
      </c>
    </row>
    <row r="996" spans="1:13">
      <c r="A996" s="79" t="str">
        <f ca="1">IFERROR(__xludf.DUMMYFUNCTION("""COMPUTED_VALUE"""),"6.1.3.0")</f>
        <v>6.1.3.0</v>
      </c>
      <c r="B996" s="79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996" s="79" t="str">
        <f ca="1">IFERROR(__xludf.DUMMYFUNCTION("""COMPUTED_VALUE"""),"5. Inclusión")</f>
        <v>5. Inclusión</v>
      </c>
      <c r="D996" s="79" t="str">
        <f ca="1">IFERROR(__xludf.DUMMYFUNCTION("""COMPUTED_VALUE"""),"Guadalajara sin Barreras")</f>
        <v>Guadalajara sin Barreras</v>
      </c>
      <c r="E996" s="79" t="str">
        <f ca="1">IFERROR(__xludf.DUMMYFUNCTION("""COMPUTED_VALUE"""),"Cultura para la Inclusión")</f>
        <v>Cultura para la Inclusión</v>
      </c>
      <c r="F996" s="79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996" s="79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996" s="79" t="str">
        <f ca="1">IFERROR(__xludf.DUMMYFUNCTION("""COMPUTED_VALUE"""),"Servicio")</f>
        <v>Servicio</v>
      </c>
      <c r="I996" s="79" t="str">
        <f ca="1">IFERROR(__xludf.DUMMYFUNCTION("""COMPUTED_VALUE"""),"Junio")</f>
        <v>Junio</v>
      </c>
      <c r="J996" s="79" t="str">
        <f ca="1">IFERROR(__xludf.DUMMYFUNCTION("""COMPUTED_VALUE"""),"N/A")</f>
        <v>N/A</v>
      </c>
      <c r="K996" s="80">
        <f ca="1">IFERROR(__xludf.DUMMYFUNCTION("""COMPUTED_VALUE"""),98)</f>
        <v>98</v>
      </c>
      <c r="L996" s="79" t="str">
        <f ca="1">IFERROR(__xludf.DUMMYFUNCTION("""COMPUTED_VALUE"""),"TRIMESTRE 2")</f>
        <v>TRIMESTRE 2</v>
      </c>
      <c r="M996" s="79" t="str">
        <f ca="1">IFERROR(__xludf.DUMMYFUNCTION("""COMPUTED_VALUE"""),"SERVICIOS")</f>
        <v>SERVICIOS</v>
      </c>
    </row>
    <row r="997" spans="1:13">
      <c r="A997" s="79" t="str">
        <f ca="1">IFERROR(__xludf.DUMMYFUNCTION("""COMPUTED_VALUE"""),"6.1.3.3")</f>
        <v>6.1.3.3</v>
      </c>
      <c r="B997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997" s="79" t="str">
        <f ca="1">IFERROR(__xludf.DUMMYFUNCTION("""COMPUTED_VALUE"""),"5. Inclusión")</f>
        <v>5. Inclusión</v>
      </c>
      <c r="D997" s="79" t="str">
        <f ca="1">IFERROR(__xludf.DUMMYFUNCTION("""COMPUTED_VALUE"""),"Guadalajara sin Barreras")</f>
        <v>Guadalajara sin Barreras</v>
      </c>
      <c r="E997" s="79" t="str">
        <f ca="1">IFERROR(__xludf.DUMMYFUNCTION("""COMPUTED_VALUE"""),"Cultura para la Inclusión")</f>
        <v>Cultura para la Inclusión</v>
      </c>
      <c r="F997" s="79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997" s="79" t="str">
        <f ca="1">IFERROR(__xludf.DUMMYFUNCTION("""COMPUTED_VALUE"""),"Porcentaje de talleres brindados durante el 2024")</f>
        <v>Porcentaje de talleres brindados durante el 2024</v>
      </c>
      <c r="H997" s="79" t="str">
        <f ca="1">IFERROR(__xludf.DUMMYFUNCTION("""COMPUTED_VALUE"""),"Servicio")</f>
        <v>Servicio</v>
      </c>
      <c r="I997" s="79" t="str">
        <f ca="1">IFERROR(__xludf.DUMMYFUNCTION("""COMPUTED_VALUE"""),"Junio")</f>
        <v>Junio</v>
      </c>
      <c r="J997" s="79" t="str">
        <f ca="1">IFERROR(__xludf.DUMMYFUNCTION("""COMPUTED_VALUE"""),"N/A")</f>
        <v>N/A</v>
      </c>
      <c r="K997" s="80">
        <f ca="1">IFERROR(__xludf.DUMMYFUNCTION("""COMPUTED_VALUE"""),2)</f>
        <v>2</v>
      </c>
      <c r="L997" s="79" t="str">
        <f ca="1">IFERROR(__xludf.DUMMYFUNCTION("""COMPUTED_VALUE"""),"TRIMESTRE 2")</f>
        <v>TRIMESTRE 2</v>
      </c>
      <c r="M997" s="79" t="str">
        <f ca="1">IFERROR(__xludf.DUMMYFUNCTION("""COMPUTED_VALUE"""),"SERVICIOS")</f>
        <v>SERVICIOS</v>
      </c>
    </row>
    <row r="998" spans="1:13">
      <c r="A998" s="79" t="str">
        <f ca="1">IFERROR(__xludf.DUMMYFUNCTION("""COMPUTED_VALUE"""),"6.1.3.0")</f>
        <v>6.1.3.0</v>
      </c>
      <c r="B998" s="79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998" s="79" t="str">
        <f ca="1">IFERROR(__xludf.DUMMYFUNCTION("""COMPUTED_VALUE"""),"5. Inclusión")</f>
        <v>5. Inclusión</v>
      </c>
      <c r="D998" s="79" t="str">
        <f ca="1">IFERROR(__xludf.DUMMYFUNCTION("""COMPUTED_VALUE"""),"Guadalajara sin Barreras")</f>
        <v>Guadalajara sin Barreras</v>
      </c>
      <c r="E998" s="79" t="str">
        <f ca="1">IFERROR(__xludf.DUMMYFUNCTION("""COMPUTED_VALUE"""),"Cultura para la Inclusión")</f>
        <v>Cultura para la Inclusión</v>
      </c>
      <c r="F998" s="79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998" s="79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998" s="79" t="str">
        <f ca="1">IFERROR(__xludf.DUMMYFUNCTION("""COMPUTED_VALUE"""),"Servicio")</f>
        <v>Servicio</v>
      </c>
      <c r="I998" s="79" t="str">
        <f ca="1">IFERROR(__xludf.DUMMYFUNCTION("""COMPUTED_VALUE"""),"Julio")</f>
        <v>Julio</v>
      </c>
      <c r="J998" s="79" t="str">
        <f ca="1">IFERROR(__xludf.DUMMYFUNCTION("""COMPUTED_VALUE"""),"N/A")</f>
        <v>N/A</v>
      </c>
      <c r="K998" s="80">
        <f ca="1">IFERROR(__xludf.DUMMYFUNCTION("""COMPUTED_VALUE"""),86)</f>
        <v>86</v>
      </c>
      <c r="L998" s="79" t="str">
        <f ca="1">IFERROR(__xludf.DUMMYFUNCTION("""COMPUTED_VALUE"""),"TRIMESTRE 3")</f>
        <v>TRIMESTRE 3</v>
      </c>
      <c r="M998" s="79" t="str">
        <f ca="1">IFERROR(__xludf.DUMMYFUNCTION("""COMPUTED_VALUE"""),"SERVICIOS")</f>
        <v>SERVICIOS</v>
      </c>
    </row>
    <row r="999" spans="1:13">
      <c r="A999" s="79" t="str">
        <f ca="1">IFERROR(__xludf.DUMMYFUNCTION("""COMPUTED_VALUE"""),"6.1.3.3")</f>
        <v>6.1.3.3</v>
      </c>
      <c r="B999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999" s="79" t="str">
        <f ca="1">IFERROR(__xludf.DUMMYFUNCTION("""COMPUTED_VALUE"""),"5. Inclusión")</f>
        <v>5. Inclusión</v>
      </c>
      <c r="D999" s="79" t="str">
        <f ca="1">IFERROR(__xludf.DUMMYFUNCTION("""COMPUTED_VALUE"""),"Guadalajara sin Barreras")</f>
        <v>Guadalajara sin Barreras</v>
      </c>
      <c r="E999" s="79" t="str">
        <f ca="1">IFERROR(__xludf.DUMMYFUNCTION("""COMPUTED_VALUE"""),"Cultura para la Inclusión")</f>
        <v>Cultura para la Inclusión</v>
      </c>
      <c r="F999" s="79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999" s="79" t="str">
        <f ca="1">IFERROR(__xludf.DUMMYFUNCTION("""COMPUTED_VALUE"""),"Porcentaje de talleres brindados durante el 2024")</f>
        <v>Porcentaje de talleres brindados durante el 2024</v>
      </c>
      <c r="H999" s="79" t="str">
        <f ca="1">IFERROR(__xludf.DUMMYFUNCTION("""COMPUTED_VALUE"""),"Servicio")</f>
        <v>Servicio</v>
      </c>
      <c r="I999" s="79" t="str">
        <f ca="1">IFERROR(__xludf.DUMMYFUNCTION("""COMPUTED_VALUE"""),"Julio")</f>
        <v>Julio</v>
      </c>
      <c r="J999" s="79" t="str">
        <f ca="1">IFERROR(__xludf.DUMMYFUNCTION("""COMPUTED_VALUE"""),"N/A")</f>
        <v>N/A</v>
      </c>
      <c r="K999" s="80">
        <f ca="1">IFERROR(__xludf.DUMMYFUNCTION("""COMPUTED_VALUE"""),1)</f>
        <v>1</v>
      </c>
      <c r="L999" s="79" t="str">
        <f ca="1">IFERROR(__xludf.DUMMYFUNCTION("""COMPUTED_VALUE"""),"TRIMESTRE 3")</f>
        <v>TRIMESTRE 3</v>
      </c>
      <c r="M999" s="79" t="str">
        <f ca="1">IFERROR(__xludf.DUMMYFUNCTION("""COMPUTED_VALUE"""),"SERVICIOS")</f>
        <v>SERVICIOS</v>
      </c>
    </row>
    <row r="1000" spans="1:13">
      <c r="A1000" s="79" t="str">
        <f ca="1">IFERROR(__xludf.DUMMYFUNCTION("""COMPUTED_VALUE"""),"6.1.3.0")</f>
        <v>6.1.3.0</v>
      </c>
      <c r="B1000" s="79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1000" s="79" t="str">
        <f ca="1">IFERROR(__xludf.DUMMYFUNCTION("""COMPUTED_VALUE"""),"5. Inclusión")</f>
        <v>5. Inclusión</v>
      </c>
      <c r="D1000" s="79" t="str">
        <f ca="1">IFERROR(__xludf.DUMMYFUNCTION("""COMPUTED_VALUE"""),"Guadalajara sin Barreras")</f>
        <v>Guadalajara sin Barreras</v>
      </c>
      <c r="E1000" s="79" t="str">
        <f ca="1">IFERROR(__xludf.DUMMYFUNCTION("""COMPUTED_VALUE"""),"Cultura para la Inclusión")</f>
        <v>Cultura para la Inclusión</v>
      </c>
      <c r="F1000" s="79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1000" s="79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1000" s="79" t="str">
        <f ca="1">IFERROR(__xludf.DUMMYFUNCTION("""COMPUTED_VALUE"""),"Servicio")</f>
        <v>Servicio</v>
      </c>
      <c r="I1000" s="79" t="str">
        <f ca="1">IFERROR(__xludf.DUMMYFUNCTION("""COMPUTED_VALUE"""),"Agosto")</f>
        <v>Agosto</v>
      </c>
      <c r="J1000" s="79" t="str">
        <f ca="1">IFERROR(__xludf.DUMMYFUNCTION("""COMPUTED_VALUE"""),"N/A")</f>
        <v>N/A</v>
      </c>
      <c r="K1000" s="80">
        <f ca="1">IFERROR(__xludf.DUMMYFUNCTION("""COMPUTED_VALUE"""),79)</f>
        <v>79</v>
      </c>
      <c r="L1000" s="79" t="str">
        <f ca="1">IFERROR(__xludf.DUMMYFUNCTION("""COMPUTED_VALUE"""),"TRIMESTRE 3")</f>
        <v>TRIMESTRE 3</v>
      </c>
      <c r="M1000" s="79" t="str">
        <f ca="1">IFERROR(__xludf.DUMMYFUNCTION("""COMPUTED_VALUE"""),"SERVICIOS")</f>
        <v>SERVICIOS</v>
      </c>
    </row>
    <row r="1001" spans="1:13">
      <c r="A1001" s="79" t="str">
        <f ca="1">IFERROR(__xludf.DUMMYFUNCTION("""COMPUTED_VALUE"""),"6.1.3.3")</f>
        <v>6.1.3.3</v>
      </c>
      <c r="B1001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1001" s="79" t="str">
        <f ca="1">IFERROR(__xludf.DUMMYFUNCTION("""COMPUTED_VALUE"""),"5. Inclusión")</f>
        <v>5. Inclusión</v>
      </c>
      <c r="D1001" s="79" t="str">
        <f ca="1">IFERROR(__xludf.DUMMYFUNCTION("""COMPUTED_VALUE"""),"Guadalajara sin Barreras")</f>
        <v>Guadalajara sin Barreras</v>
      </c>
      <c r="E1001" s="79" t="str">
        <f ca="1">IFERROR(__xludf.DUMMYFUNCTION("""COMPUTED_VALUE"""),"Cultura para la Inclusión")</f>
        <v>Cultura para la Inclusión</v>
      </c>
      <c r="F1001" s="79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1001" s="79" t="str">
        <f ca="1">IFERROR(__xludf.DUMMYFUNCTION("""COMPUTED_VALUE"""),"Porcentaje de talleres brindados durante el 2024")</f>
        <v>Porcentaje de talleres brindados durante el 2024</v>
      </c>
      <c r="H1001" s="79" t="str">
        <f ca="1">IFERROR(__xludf.DUMMYFUNCTION("""COMPUTED_VALUE"""),"Servicio")</f>
        <v>Servicio</v>
      </c>
      <c r="I1001" s="79" t="str">
        <f ca="1">IFERROR(__xludf.DUMMYFUNCTION("""COMPUTED_VALUE"""),"Agosto")</f>
        <v>Agosto</v>
      </c>
      <c r="J1001" s="79" t="str">
        <f ca="1">IFERROR(__xludf.DUMMYFUNCTION("""COMPUTED_VALUE"""),"N/A")</f>
        <v>N/A</v>
      </c>
      <c r="K1001" s="80">
        <f ca="1">IFERROR(__xludf.DUMMYFUNCTION("""COMPUTED_VALUE"""),13)</f>
        <v>13</v>
      </c>
      <c r="L1001" s="79" t="str">
        <f ca="1">IFERROR(__xludf.DUMMYFUNCTION("""COMPUTED_VALUE"""),"TRIMESTRE 3")</f>
        <v>TRIMESTRE 3</v>
      </c>
      <c r="M1001" s="79" t="str">
        <f ca="1">IFERROR(__xludf.DUMMYFUNCTION("""COMPUTED_VALUE"""),"SERVICIOS")</f>
        <v>SERVICIOS</v>
      </c>
    </row>
    <row r="1002" spans="1:13">
      <c r="A1002" s="79" t="str">
        <f ca="1">IFERROR(__xludf.DUMMYFUNCTION("""COMPUTED_VALUE"""),"6.1.3.0")</f>
        <v>6.1.3.0</v>
      </c>
      <c r="B1002" s="79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1002" s="79" t="str">
        <f ca="1">IFERROR(__xludf.DUMMYFUNCTION("""COMPUTED_VALUE"""),"5. Inclusión")</f>
        <v>5. Inclusión</v>
      </c>
      <c r="D1002" s="79" t="str">
        <f ca="1">IFERROR(__xludf.DUMMYFUNCTION("""COMPUTED_VALUE"""),"Guadalajara sin Barreras")</f>
        <v>Guadalajara sin Barreras</v>
      </c>
      <c r="E1002" s="79" t="str">
        <f ca="1">IFERROR(__xludf.DUMMYFUNCTION("""COMPUTED_VALUE"""),"Cultura para la Inclusión")</f>
        <v>Cultura para la Inclusión</v>
      </c>
      <c r="F1002" s="79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1002" s="79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1002" s="79" t="str">
        <f ca="1">IFERROR(__xludf.DUMMYFUNCTION("""COMPUTED_VALUE"""),"Servicio")</f>
        <v>Servicio</v>
      </c>
      <c r="I1002" s="79" t="str">
        <f ca="1">IFERROR(__xludf.DUMMYFUNCTION("""COMPUTED_VALUE"""),"Septiembre")</f>
        <v>Septiembre</v>
      </c>
      <c r="J1002" s="79" t="str">
        <f ca="1">IFERROR(__xludf.DUMMYFUNCTION("""COMPUTED_VALUE"""),"N/A")</f>
        <v>N/A</v>
      </c>
      <c r="K1002" s="80">
        <f ca="1">IFERROR(__xludf.DUMMYFUNCTION("""COMPUTED_VALUE"""),99)</f>
        <v>99</v>
      </c>
      <c r="L1002" s="79" t="str">
        <f ca="1">IFERROR(__xludf.DUMMYFUNCTION("""COMPUTED_VALUE"""),"TRIMESTRE 3")</f>
        <v>TRIMESTRE 3</v>
      </c>
      <c r="M1002" s="79" t="str">
        <f ca="1">IFERROR(__xludf.DUMMYFUNCTION("""COMPUTED_VALUE"""),"SERVICIOS")</f>
        <v>SERVICIOS</v>
      </c>
    </row>
    <row r="1003" spans="1:13">
      <c r="A1003" s="79" t="str">
        <f ca="1">IFERROR(__xludf.DUMMYFUNCTION("""COMPUTED_VALUE"""),"6.1.3.3")</f>
        <v>6.1.3.3</v>
      </c>
      <c r="B1003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1003" s="79" t="str">
        <f ca="1">IFERROR(__xludf.DUMMYFUNCTION("""COMPUTED_VALUE"""),"5. Inclusión")</f>
        <v>5. Inclusión</v>
      </c>
      <c r="D1003" s="79" t="str">
        <f ca="1">IFERROR(__xludf.DUMMYFUNCTION("""COMPUTED_VALUE"""),"Guadalajara sin Barreras")</f>
        <v>Guadalajara sin Barreras</v>
      </c>
      <c r="E1003" s="79" t="str">
        <f ca="1">IFERROR(__xludf.DUMMYFUNCTION("""COMPUTED_VALUE"""),"Cultura para la Inclusión")</f>
        <v>Cultura para la Inclusión</v>
      </c>
      <c r="F1003" s="79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1003" s="79" t="str">
        <f ca="1">IFERROR(__xludf.DUMMYFUNCTION("""COMPUTED_VALUE"""),"Porcentaje de talleres brindados durante el 2024")</f>
        <v>Porcentaje de talleres brindados durante el 2024</v>
      </c>
      <c r="H1003" s="79" t="str">
        <f ca="1">IFERROR(__xludf.DUMMYFUNCTION("""COMPUTED_VALUE"""),"Servicio")</f>
        <v>Servicio</v>
      </c>
      <c r="I1003" s="79" t="str">
        <f ca="1">IFERROR(__xludf.DUMMYFUNCTION("""COMPUTED_VALUE"""),"Septiembre")</f>
        <v>Septiembre</v>
      </c>
      <c r="J1003" s="79" t="str">
        <f ca="1">IFERROR(__xludf.DUMMYFUNCTION("""COMPUTED_VALUE"""),"N/A")</f>
        <v>N/A</v>
      </c>
      <c r="K1003" s="80">
        <f ca="1">IFERROR(__xludf.DUMMYFUNCTION("""COMPUTED_VALUE"""),0)</f>
        <v>0</v>
      </c>
      <c r="L1003" s="79" t="str">
        <f ca="1">IFERROR(__xludf.DUMMYFUNCTION("""COMPUTED_VALUE"""),"TRIMESTRE 3")</f>
        <v>TRIMESTRE 3</v>
      </c>
      <c r="M1003" s="79" t="str">
        <f ca="1">IFERROR(__xludf.DUMMYFUNCTION("""COMPUTED_VALUE"""),"SERVICIOS")</f>
        <v>SERVICIOS</v>
      </c>
    </row>
    <row r="1004" spans="1:13">
      <c r="A1004" s="79" t="str">
        <f ca="1">IFERROR(__xludf.DUMMYFUNCTION("""COMPUTED_VALUE"""),"6.1.3.0")</f>
        <v>6.1.3.0</v>
      </c>
      <c r="B1004" s="79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1004" s="79" t="str">
        <f ca="1">IFERROR(__xludf.DUMMYFUNCTION("""COMPUTED_VALUE"""),"5. Inclusión")</f>
        <v>5. Inclusión</v>
      </c>
      <c r="D1004" s="79" t="str">
        <f ca="1">IFERROR(__xludf.DUMMYFUNCTION("""COMPUTED_VALUE"""),"Guadalajara sin Barreras")</f>
        <v>Guadalajara sin Barreras</v>
      </c>
      <c r="E1004" s="79" t="str">
        <f ca="1">IFERROR(__xludf.DUMMYFUNCTION("""COMPUTED_VALUE"""),"Cultura para la Inclusión")</f>
        <v>Cultura para la Inclusión</v>
      </c>
      <c r="F1004" s="79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1004" s="79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1004" s="79" t="str">
        <f ca="1">IFERROR(__xludf.DUMMYFUNCTION("""COMPUTED_VALUE"""),"Servicio")</f>
        <v>Servicio</v>
      </c>
      <c r="I1004" s="79" t="str">
        <f ca="1">IFERROR(__xludf.DUMMYFUNCTION("""COMPUTED_VALUE"""),"Octubre")</f>
        <v>Octubre</v>
      </c>
      <c r="J1004" s="79" t="str">
        <f ca="1">IFERROR(__xludf.DUMMYFUNCTION("""COMPUTED_VALUE"""),"N/A")</f>
        <v>N/A</v>
      </c>
      <c r="K1004" s="80">
        <f ca="1">IFERROR(__xludf.DUMMYFUNCTION("""COMPUTED_VALUE"""),80)</f>
        <v>80</v>
      </c>
      <c r="L1004" s="79" t="str">
        <f ca="1">IFERROR(__xludf.DUMMYFUNCTION("""COMPUTED_VALUE"""),"TRIMESTRE 4")</f>
        <v>TRIMESTRE 4</v>
      </c>
      <c r="M1004" s="79" t="str">
        <f ca="1">IFERROR(__xludf.DUMMYFUNCTION("""COMPUTED_VALUE"""),"SERVICIOS")</f>
        <v>SERVICIOS</v>
      </c>
    </row>
    <row r="1005" spans="1:13">
      <c r="A1005" s="79" t="str">
        <f ca="1">IFERROR(__xludf.DUMMYFUNCTION("""COMPUTED_VALUE"""),"6.1.3.3")</f>
        <v>6.1.3.3</v>
      </c>
      <c r="B1005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1005" s="79" t="str">
        <f ca="1">IFERROR(__xludf.DUMMYFUNCTION("""COMPUTED_VALUE"""),"5. Inclusión")</f>
        <v>5. Inclusión</v>
      </c>
      <c r="D1005" s="79" t="str">
        <f ca="1">IFERROR(__xludf.DUMMYFUNCTION("""COMPUTED_VALUE"""),"Guadalajara sin Barreras")</f>
        <v>Guadalajara sin Barreras</v>
      </c>
      <c r="E1005" s="79" t="str">
        <f ca="1">IFERROR(__xludf.DUMMYFUNCTION("""COMPUTED_VALUE"""),"Cultura para la Inclusión")</f>
        <v>Cultura para la Inclusión</v>
      </c>
      <c r="F1005" s="79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1005" s="79" t="str">
        <f ca="1">IFERROR(__xludf.DUMMYFUNCTION("""COMPUTED_VALUE"""),"Porcentaje de talleres brindados durante el 2024")</f>
        <v>Porcentaje de talleres brindados durante el 2024</v>
      </c>
      <c r="H1005" s="79" t="str">
        <f ca="1">IFERROR(__xludf.DUMMYFUNCTION("""COMPUTED_VALUE"""),"Servicio")</f>
        <v>Servicio</v>
      </c>
      <c r="I1005" s="79" t="str">
        <f ca="1">IFERROR(__xludf.DUMMYFUNCTION("""COMPUTED_VALUE"""),"Octubre")</f>
        <v>Octubre</v>
      </c>
      <c r="J1005" s="79" t="str">
        <f ca="1">IFERROR(__xludf.DUMMYFUNCTION("""COMPUTED_VALUE"""),"N/A")</f>
        <v>N/A</v>
      </c>
      <c r="K1005" s="80">
        <f ca="1">IFERROR(__xludf.DUMMYFUNCTION("""COMPUTED_VALUE"""),3)</f>
        <v>3</v>
      </c>
      <c r="L1005" s="79" t="str">
        <f ca="1">IFERROR(__xludf.DUMMYFUNCTION("""COMPUTED_VALUE"""),"TRIMESTRE 4")</f>
        <v>TRIMESTRE 4</v>
      </c>
      <c r="M1005" s="79" t="str">
        <f ca="1">IFERROR(__xludf.DUMMYFUNCTION("""COMPUTED_VALUE"""),"SERVICIOS")</f>
        <v>SERVICIOS</v>
      </c>
    </row>
    <row r="1006" spans="1:13">
      <c r="A1006" s="79" t="str">
        <f ca="1">IFERROR(__xludf.DUMMYFUNCTION("""COMPUTED_VALUE"""),"6.1.3.0")</f>
        <v>6.1.3.0</v>
      </c>
      <c r="B1006" s="79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1006" s="79" t="str">
        <f ca="1">IFERROR(__xludf.DUMMYFUNCTION("""COMPUTED_VALUE"""),"5. Inclusión")</f>
        <v>5. Inclusión</v>
      </c>
      <c r="D1006" s="79" t="str">
        <f ca="1">IFERROR(__xludf.DUMMYFUNCTION("""COMPUTED_VALUE"""),"Guadalajara sin Barreras")</f>
        <v>Guadalajara sin Barreras</v>
      </c>
      <c r="E1006" s="79" t="str">
        <f ca="1">IFERROR(__xludf.DUMMYFUNCTION("""COMPUTED_VALUE"""),"Cultura para la Inclusión")</f>
        <v>Cultura para la Inclusión</v>
      </c>
      <c r="F1006" s="79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1006" s="79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1006" s="79" t="str">
        <f ca="1">IFERROR(__xludf.DUMMYFUNCTION("""COMPUTED_VALUE"""),"Servicio")</f>
        <v>Servicio</v>
      </c>
      <c r="I1006" s="79" t="str">
        <f ca="1">IFERROR(__xludf.DUMMYFUNCTION("""COMPUTED_VALUE"""),"Noviembre")</f>
        <v>Noviembre</v>
      </c>
      <c r="J1006" s="79" t="str">
        <f ca="1">IFERROR(__xludf.DUMMYFUNCTION("""COMPUTED_VALUE"""),"N/A")</f>
        <v>N/A</v>
      </c>
      <c r="K1006" s="80">
        <f ca="1">IFERROR(__xludf.DUMMYFUNCTION("""COMPUTED_VALUE"""),35)</f>
        <v>35</v>
      </c>
      <c r="L1006" s="79" t="str">
        <f ca="1">IFERROR(__xludf.DUMMYFUNCTION("""COMPUTED_VALUE"""),"TRIMESTRE 4")</f>
        <v>TRIMESTRE 4</v>
      </c>
      <c r="M1006" s="79" t="str">
        <f ca="1">IFERROR(__xludf.DUMMYFUNCTION("""COMPUTED_VALUE"""),"SERVICIOS")</f>
        <v>SERVICIOS</v>
      </c>
    </row>
    <row r="1007" spans="1:13">
      <c r="A1007" s="79" t="str">
        <f ca="1">IFERROR(__xludf.DUMMYFUNCTION("""COMPUTED_VALUE"""),"6.1.3.3")</f>
        <v>6.1.3.3</v>
      </c>
      <c r="B1007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1007" s="79" t="str">
        <f ca="1">IFERROR(__xludf.DUMMYFUNCTION("""COMPUTED_VALUE"""),"5. Inclusión")</f>
        <v>5. Inclusión</v>
      </c>
      <c r="D1007" s="79" t="str">
        <f ca="1">IFERROR(__xludf.DUMMYFUNCTION("""COMPUTED_VALUE"""),"Guadalajara sin Barreras")</f>
        <v>Guadalajara sin Barreras</v>
      </c>
      <c r="E1007" s="79" t="str">
        <f ca="1">IFERROR(__xludf.DUMMYFUNCTION("""COMPUTED_VALUE"""),"Cultura para la Inclusión")</f>
        <v>Cultura para la Inclusión</v>
      </c>
      <c r="F1007" s="79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1007" s="79" t="str">
        <f ca="1">IFERROR(__xludf.DUMMYFUNCTION("""COMPUTED_VALUE"""),"Porcentaje de talleres brindados durante el 2024")</f>
        <v>Porcentaje de talleres brindados durante el 2024</v>
      </c>
      <c r="H1007" s="79" t="str">
        <f ca="1">IFERROR(__xludf.DUMMYFUNCTION("""COMPUTED_VALUE"""),"Servicio")</f>
        <v>Servicio</v>
      </c>
      <c r="I1007" s="79" t="str">
        <f ca="1">IFERROR(__xludf.DUMMYFUNCTION("""COMPUTED_VALUE"""),"Noviembre")</f>
        <v>Noviembre</v>
      </c>
      <c r="J1007" s="79" t="str">
        <f ca="1">IFERROR(__xludf.DUMMYFUNCTION("""COMPUTED_VALUE"""),"N/A")</f>
        <v>N/A</v>
      </c>
      <c r="K1007" s="80">
        <f ca="1">IFERROR(__xludf.DUMMYFUNCTION("""COMPUTED_VALUE"""),1)</f>
        <v>1</v>
      </c>
      <c r="L1007" s="79" t="str">
        <f ca="1">IFERROR(__xludf.DUMMYFUNCTION("""COMPUTED_VALUE"""),"TRIMESTRE 4")</f>
        <v>TRIMESTRE 4</v>
      </c>
      <c r="M1007" s="79" t="str">
        <f ca="1">IFERROR(__xludf.DUMMYFUNCTION("""COMPUTED_VALUE"""),"SERVICIOS")</f>
        <v>SERVICIOS</v>
      </c>
    </row>
    <row r="1008" spans="1:13">
      <c r="A1008" s="79" t="str">
        <f ca="1">IFERROR(__xludf.DUMMYFUNCTION("""COMPUTED_VALUE"""),"6.1.3.0")</f>
        <v>6.1.3.0</v>
      </c>
      <c r="B1008" s="79" t="str">
        <f ca="1">IFERROR(__xludf.DUMMYFUNCTION("""COMPUTED_VALUE"""),"Cultura para la Inclusión/Dirección del Área de Centros de Inclusión/Dirección del Área de Centros de Inclusión/Coord.5. Inclusión")</f>
        <v>Cultura para la Inclusión/Dirección del Área de Centros de Inclusión/Dirección del Área de Centros de Inclusión/Coord.5. Inclusión</v>
      </c>
      <c r="C1008" s="79" t="str">
        <f ca="1">IFERROR(__xludf.DUMMYFUNCTION("""COMPUTED_VALUE"""),"5. Inclusión")</f>
        <v>5. Inclusión</v>
      </c>
      <c r="D1008" s="79" t="str">
        <f ca="1">IFERROR(__xludf.DUMMYFUNCTION("""COMPUTED_VALUE"""),"Guadalajara sin Barreras")</f>
        <v>Guadalajara sin Barreras</v>
      </c>
      <c r="E1008" s="79" t="str">
        <f ca="1">IFERROR(__xludf.DUMMYFUNCTION("""COMPUTED_VALUE"""),"Cultura para la Inclusión")</f>
        <v>Cultura para la Inclusión</v>
      </c>
      <c r="F1008" s="79" t="str">
        <f ca="1">IFERROR(__xludf.DUMMYFUNCTION("""COMPUTED_VALUE"""),"C3. Número de apoyos, servicios y actividades de promoción dirigidas a la inclusión y garantía de derechos de personas con discapacidad realizadas en 2024")</f>
        <v>C3. Número de apoyos, servicios y actividades de promoción dirigidas a la inclusión y garantía de derechos de personas con discapacidad realizadas en 2024</v>
      </c>
      <c r="G1008" s="79" t="str">
        <f ca="1">IFERROR(__xludf.DUMMYFUNCTION("""COMPUTED_VALUE"""),"Porcentaje de apoyos, servicios y actividades realizadas y dirigidas a personas con discapacidad, en 2024")</f>
        <v>Porcentaje de apoyos, servicios y actividades realizadas y dirigidas a personas con discapacidad, en 2024</v>
      </c>
      <c r="H1008" s="79" t="str">
        <f ca="1">IFERROR(__xludf.DUMMYFUNCTION("""COMPUTED_VALUE"""),"Servicio")</f>
        <v>Servicio</v>
      </c>
      <c r="I1008" s="79" t="str">
        <f ca="1">IFERROR(__xludf.DUMMYFUNCTION("""COMPUTED_VALUE"""),"Diciembre")</f>
        <v>Diciembre</v>
      </c>
      <c r="J1008" s="79" t="str">
        <f ca="1">IFERROR(__xludf.DUMMYFUNCTION("""COMPUTED_VALUE"""),"N/A")</f>
        <v>N/A</v>
      </c>
      <c r="K1008" s="80">
        <f ca="1">IFERROR(__xludf.DUMMYFUNCTION("""COMPUTED_VALUE"""),70)</f>
        <v>70</v>
      </c>
      <c r="L1008" s="79" t="str">
        <f ca="1">IFERROR(__xludf.DUMMYFUNCTION("""COMPUTED_VALUE"""),"TRIMESTRE 4")</f>
        <v>TRIMESTRE 4</v>
      </c>
      <c r="M1008" s="79" t="str">
        <f ca="1">IFERROR(__xludf.DUMMYFUNCTION("""COMPUTED_VALUE"""),"SERVICIOS")</f>
        <v>SERVICIOS</v>
      </c>
    </row>
    <row r="1009" spans="1:13">
      <c r="A1009" s="79" t="str">
        <f ca="1">IFERROR(__xludf.DUMMYFUNCTION("""COMPUTED_VALUE"""),"6.1.3.3")</f>
        <v>6.1.3.3</v>
      </c>
      <c r="B1009" s="79" t="str">
        <f ca="1">IFERROR(__xludf.DUMMYFUNCTION("""COMPUTED_VALUE"""),"Cultura para la Inclusión/Jefatura del Departamento de Proyectos de Inclusión/Jefatura del Departamento de Proyectos de Inclusión/Coord.5. Inclusión")</f>
        <v>Cultura para la Inclusión/Jefatura del Departamento de Proyectos de Inclusión/Jefatura del Departamento de Proyectos de Inclusión/Coord.5. Inclusión</v>
      </c>
      <c r="C1009" s="79" t="str">
        <f ca="1">IFERROR(__xludf.DUMMYFUNCTION("""COMPUTED_VALUE"""),"5. Inclusión")</f>
        <v>5. Inclusión</v>
      </c>
      <c r="D1009" s="79" t="str">
        <f ca="1">IFERROR(__xludf.DUMMYFUNCTION("""COMPUTED_VALUE"""),"Guadalajara sin Barreras")</f>
        <v>Guadalajara sin Barreras</v>
      </c>
      <c r="E1009" s="79" t="str">
        <f ca="1">IFERROR(__xludf.DUMMYFUNCTION("""COMPUTED_VALUE"""),"Cultura para la Inclusión")</f>
        <v>Cultura para la Inclusión</v>
      </c>
      <c r="F1009" s="79" t="str">
        <f ca="1">IFERROR(__xludf.DUMMYFUNCTION("""COMPUTED_VALUE"""),"A3C3. Impartición de talleres de sensibilización a instituciones y centros laborales del sector público y privado, instituciones escolares y público en general de promoción de la cultura de inclusión durante el 2024.")</f>
        <v>A3C3. Impartición de talleres de sensibilización a instituciones y centros laborales del sector público y privado, instituciones escolares y público en general de promoción de la cultura de inclusión durante el 2024.</v>
      </c>
      <c r="G1009" s="79" t="str">
        <f ca="1">IFERROR(__xludf.DUMMYFUNCTION("""COMPUTED_VALUE"""),"Porcentaje de talleres brindados durante el 2024")</f>
        <v>Porcentaje de talleres brindados durante el 2024</v>
      </c>
      <c r="H1009" s="79" t="str">
        <f ca="1">IFERROR(__xludf.DUMMYFUNCTION("""COMPUTED_VALUE"""),"Servicio")</f>
        <v>Servicio</v>
      </c>
      <c r="I1009" s="79" t="str">
        <f ca="1">IFERROR(__xludf.DUMMYFUNCTION("""COMPUTED_VALUE"""),"Diciembre")</f>
        <v>Diciembre</v>
      </c>
      <c r="J1009" s="79" t="str">
        <f ca="1">IFERROR(__xludf.DUMMYFUNCTION("""COMPUTED_VALUE"""),"N/A")</f>
        <v>N/A</v>
      </c>
      <c r="K1009" s="80">
        <f ca="1">IFERROR(__xludf.DUMMYFUNCTION("""COMPUTED_VALUE"""),0)</f>
        <v>0</v>
      </c>
      <c r="L1009" s="79" t="str">
        <f ca="1">IFERROR(__xludf.DUMMYFUNCTION("""COMPUTED_VALUE"""),"TRIMESTRE 4")</f>
        <v>TRIMESTRE 4</v>
      </c>
      <c r="M1009" s="79" t="str">
        <f ca="1">IFERROR(__xludf.DUMMYFUNCTION("""COMPUTED_VALUE"""),"SERVICIOS")</f>
        <v>SERVICIOS</v>
      </c>
    </row>
    <row r="1010" spans="1:13">
      <c r="A1010" s="79" t="str">
        <f ca="1">IFERROR(__xludf.DUMMYFUNCTION("""COMPUTED_VALUE"""),"6.1.4.1")</f>
        <v>6.1.4.1</v>
      </c>
      <c r="B1010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0" s="79" t="str">
        <f ca="1">IFERROR(__xludf.DUMMYFUNCTION("""COMPUTED_VALUE"""),"5. Inclusión")</f>
        <v>5. Inclusión</v>
      </c>
      <c r="D1010" s="79" t="str">
        <f ca="1">IFERROR(__xludf.DUMMYFUNCTION("""COMPUTED_VALUE"""),"Guadalajara sin Barreras")</f>
        <v>Guadalajara sin Barreras</v>
      </c>
      <c r="E1010" s="79" t="str">
        <f ca="1">IFERROR(__xludf.DUMMYFUNCTION("""COMPUTED_VALUE"""),"Desarrollo Integral de Personas Adultas Mayores")</f>
        <v>Desarrollo Integral de Personas Adultas Mayores</v>
      </c>
      <c r="F1010" s="79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0" s="79" t="str">
        <f ca="1">IFERROR(__xludf.DUMMYFUNCTION("""COMPUTED_VALUE"""),"Porcentaje de encuentros intergeneracionales llevados a cabo en 2024")</f>
        <v>Porcentaje de encuentros intergeneracionales llevados a cabo en 2024</v>
      </c>
      <c r="H1010" s="79" t="str">
        <f ca="1">IFERROR(__xludf.DUMMYFUNCTION("""COMPUTED_VALUE"""),"Servicio")</f>
        <v>Servicio</v>
      </c>
      <c r="I1010" s="79" t="str">
        <f ca="1">IFERROR(__xludf.DUMMYFUNCTION("""COMPUTED_VALUE"""),"Enero")</f>
        <v>Enero</v>
      </c>
      <c r="J1010" s="79" t="str">
        <f ca="1">IFERROR(__xludf.DUMMYFUNCTION("""COMPUTED_VALUE"""),"N/A")</f>
        <v>N/A</v>
      </c>
      <c r="K1010" s="80">
        <f ca="1">IFERROR(__xludf.DUMMYFUNCTION("""COMPUTED_VALUE"""),0)</f>
        <v>0</v>
      </c>
      <c r="L1010" s="79" t="str">
        <f ca="1">IFERROR(__xludf.DUMMYFUNCTION("""COMPUTED_VALUE"""),"TRIMESTRE 1")</f>
        <v>TRIMESTRE 1</v>
      </c>
      <c r="M1010" s="79" t="str">
        <f ca="1">IFERROR(__xludf.DUMMYFUNCTION("""COMPUTED_VALUE"""),"SERVICIOS")</f>
        <v>SERVICIOS</v>
      </c>
    </row>
    <row r="1011" spans="1:13">
      <c r="A1011" s="79" t="str">
        <f ca="1">IFERROR(__xludf.DUMMYFUNCTION("""COMPUTED_VALUE"""),"6.1.4.1")</f>
        <v>6.1.4.1</v>
      </c>
      <c r="B1011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1" s="79" t="str">
        <f ca="1">IFERROR(__xludf.DUMMYFUNCTION("""COMPUTED_VALUE"""),"5. Inclusión")</f>
        <v>5. Inclusión</v>
      </c>
      <c r="D1011" s="79" t="str">
        <f ca="1">IFERROR(__xludf.DUMMYFUNCTION("""COMPUTED_VALUE"""),"Guadalajara sin Barreras")</f>
        <v>Guadalajara sin Barreras</v>
      </c>
      <c r="E1011" s="79" t="str">
        <f ca="1">IFERROR(__xludf.DUMMYFUNCTION("""COMPUTED_VALUE"""),"Desarrollo Integral de Personas Adultas Mayores")</f>
        <v>Desarrollo Integral de Personas Adultas Mayores</v>
      </c>
      <c r="F1011" s="79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1" s="79" t="str">
        <f ca="1">IFERROR(__xludf.DUMMYFUNCTION("""COMPUTED_VALUE"""),"Porcentaje de encuentros intergeneracionales llevados a cabo en 2024")</f>
        <v>Porcentaje de encuentros intergeneracionales llevados a cabo en 2024</v>
      </c>
      <c r="H1011" s="79" t="str">
        <f ca="1">IFERROR(__xludf.DUMMYFUNCTION("""COMPUTED_VALUE"""),"Servicio")</f>
        <v>Servicio</v>
      </c>
      <c r="I1011" s="79" t="str">
        <f ca="1">IFERROR(__xludf.DUMMYFUNCTION("""COMPUTED_VALUE"""),"Febrero")</f>
        <v>Febrero</v>
      </c>
      <c r="J1011" s="79" t="str">
        <f ca="1">IFERROR(__xludf.DUMMYFUNCTION("""COMPUTED_VALUE"""),"N/A")</f>
        <v>N/A</v>
      </c>
      <c r="K1011" s="80">
        <f ca="1">IFERROR(__xludf.DUMMYFUNCTION("""COMPUTED_VALUE"""),1)</f>
        <v>1</v>
      </c>
      <c r="L1011" s="79" t="str">
        <f ca="1">IFERROR(__xludf.DUMMYFUNCTION("""COMPUTED_VALUE"""),"TRIMESTRE 1")</f>
        <v>TRIMESTRE 1</v>
      </c>
      <c r="M1011" s="79" t="str">
        <f ca="1">IFERROR(__xludf.DUMMYFUNCTION("""COMPUTED_VALUE"""),"SERVICIOS")</f>
        <v>SERVICIOS</v>
      </c>
    </row>
    <row r="1012" spans="1:13">
      <c r="A1012" s="79" t="str">
        <f ca="1">IFERROR(__xludf.DUMMYFUNCTION("""COMPUTED_VALUE"""),"6.1.4.1")</f>
        <v>6.1.4.1</v>
      </c>
      <c r="B1012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2" s="79" t="str">
        <f ca="1">IFERROR(__xludf.DUMMYFUNCTION("""COMPUTED_VALUE"""),"5. Inclusión")</f>
        <v>5. Inclusión</v>
      </c>
      <c r="D1012" s="79" t="str">
        <f ca="1">IFERROR(__xludf.DUMMYFUNCTION("""COMPUTED_VALUE"""),"Guadalajara sin Barreras")</f>
        <v>Guadalajara sin Barreras</v>
      </c>
      <c r="E1012" s="79" t="str">
        <f ca="1">IFERROR(__xludf.DUMMYFUNCTION("""COMPUTED_VALUE"""),"Desarrollo Integral de Personas Adultas Mayores")</f>
        <v>Desarrollo Integral de Personas Adultas Mayores</v>
      </c>
      <c r="F1012" s="79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2" s="79" t="str">
        <f ca="1">IFERROR(__xludf.DUMMYFUNCTION("""COMPUTED_VALUE"""),"Porcentaje de encuentros intergeneracionales llevados a cabo en 2024")</f>
        <v>Porcentaje de encuentros intergeneracionales llevados a cabo en 2024</v>
      </c>
      <c r="H1012" s="79" t="str">
        <f ca="1">IFERROR(__xludf.DUMMYFUNCTION("""COMPUTED_VALUE"""),"Servicio")</f>
        <v>Servicio</v>
      </c>
      <c r="I1012" s="79" t="str">
        <f ca="1">IFERROR(__xludf.DUMMYFUNCTION("""COMPUTED_VALUE"""),"Marzo")</f>
        <v>Marzo</v>
      </c>
      <c r="J1012" s="79" t="str">
        <f ca="1">IFERROR(__xludf.DUMMYFUNCTION("""COMPUTED_VALUE"""),"N/A")</f>
        <v>N/A</v>
      </c>
      <c r="K1012" s="80">
        <f ca="1">IFERROR(__xludf.DUMMYFUNCTION("""COMPUTED_VALUE"""),3)</f>
        <v>3</v>
      </c>
      <c r="L1012" s="79" t="str">
        <f ca="1">IFERROR(__xludf.DUMMYFUNCTION("""COMPUTED_VALUE"""),"TRIMESTRE 1")</f>
        <v>TRIMESTRE 1</v>
      </c>
      <c r="M1012" s="79" t="str">
        <f ca="1">IFERROR(__xludf.DUMMYFUNCTION("""COMPUTED_VALUE"""),"SERVICIOS")</f>
        <v>SERVICIOS</v>
      </c>
    </row>
    <row r="1013" spans="1:13">
      <c r="A1013" s="79" t="str">
        <f ca="1">IFERROR(__xludf.DUMMYFUNCTION("""COMPUTED_VALUE"""),"6.1.4.1")</f>
        <v>6.1.4.1</v>
      </c>
      <c r="B1013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3" s="79" t="str">
        <f ca="1">IFERROR(__xludf.DUMMYFUNCTION("""COMPUTED_VALUE"""),"5. Inclusión")</f>
        <v>5. Inclusión</v>
      </c>
      <c r="D1013" s="79" t="str">
        <f ca="1">IFERROR(__xludf.DUMMYFUNCTION("""COMPUTED_VALUE"""),"Guadalajara sin Barreras")</f>
        <v>Guadalajara sin Barreras</v>
      </c>
      <c r="E1013" s="79" t="str">
        <f ca="1">IFERROR(__xludf.DUMMYFUNCTION("""COMPUTED_VALUE"""),"Desarrollo Integral de Personas Adultas Mayores")</f>
        <v>Desarrollo Integral de Personas Adultas Mayores</v>
      </c>
      <c r="F1013" s="79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3" s="79" t="str">
        <f ca="1">IFERROR(__xludf.DUMMYFUNCTION("""COMPUTED_VALUE"""),"Porcentaje de encuentros intergeneracionales llevados a cabo en 2024")</f>
        <v>Porcentaje de encuentros intergeneracionales llevados a cabo en 2024</v>
      </c>
      <c r="H1013" s="79" t="str">
        <f ca="1">IFERROR(__xludf.DUMMYFUNCTION("""COMPUTED_VALUE"""),"Servicio")</f>
        <v>Servicio</v>
      </c>
      <c r="I1013" s="79" t="str">
        <f ca="1">IFERROR(__xludf.DUMMYFUNCTION("""COMPUTED_VALUE"""),"Abril")</f>
        <v>Abril</v>
      </c>
      <c r="J1013" s="79" t="str">
        <f ca="1">IFERROR(__xludf.DUMMYFUNCTION("""COMPUTED_VALUE"""),"N/A")</f>
        <v>N/A</v>
      </c>
      <c r="K1013" s="80">
        <f ca="1">IFERROR(__xludf.DUMMYFUNCTION("""COMPUTED_VALUE"""),3)</f>
        <v>3</v>
      </c>
      <c r="L1013" s="79" t="str">
        <f ca="1">IFERROR(__xludf.DUMMYFUNCTION("""COMPUTED_VALUE"""),"TRIMESTRE 2")</f>
        <v>TRIMESTRE 2</v>
      </c>
      <c r="M1013" s="79" t="str">
        <f ca="1">IFERROR(__xludf.DUMMYFUNCTION("""COMPUTED_VALUE"""),"SERVICIOS")</f>
        <v>SERVICIOS</v>
      </c>
    </row>
    <row r="1014" spans="1:13">
      <c r="A1014" s="79" t="str">
        <f ca="1">IFERROR(__xludf.DUMMYFUNCTION("""COMPUTED_VALUE"""),"6.1.4.1")</f>
        <v>6.1.4.1</v>
      </c>
      <c r="B1014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4" s="79" t="str">
        <f ca="1">IFERROR(__xludf.DUMMYFUNCTION("""COMPUTED_VALUE"""),"5. Inclusión")</f>
        <v>5. Inclusión</v>
      </c>
      <c r="D1014" s="79" t="str">
        <f ca="1">IFERROR(__xludf.DUMMYFUNCTION("""COMPUTED_VALUE"""),"Guadalajara sin Barreras")</f>
        <v>Guadalajara sin Barreras</v>
      </c>
      <c r="E1014" s="79" t="str">
        <f ca="1">IFERROR(__xludf.DUMMYFUNCTION("""COMPUTED_VALUE"""),"Desarrollo Integral de Personas Adultas Mayores")</f>
        <v>Desarrollo Integral de Personas Adultas Mayores</v>
      </c>
      <c r="F1014" s="79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4" s="79" t="str">
        <f ca="1">IFERROR(__xludf.DUMMYFUNCTION("""COMPUTED_VALUE"""),"Porcentaje de encuentros intergeneracionales llevados a cabo en 2024")</f>
        <v>Porcentaje de encuentros intergeneracionales llevados a cabo en 2024</v>
      </c>
      <c r="H1014" s="79" t="str">
        <f ca="1">IFERROR(__xludf.DUMMYFUNCTION("""COMPUTED_VALUE"""),"Servicio")</f>
        <v>Servicio</v>
      </c>
      <c r="I1014" s="79" t="str">
        <f ca="1">IFERROR(__xludf.DUMMYFUNCTION("""COMPUTED_VALUE"""),"Mayo")</f>
        <v>Mayo</v>
      </c>
      <c r="J1014" s="79" t="str">
        <f ca="1">IFERROR(__xludf.DUMMYFUNCTION("""COMPUTED_VALUE"""),"N/A")</f>
        <v>N/A</v>
      </c>
      <c r="K1014" s="80">
        <f ca="1">IFERROR(__xludf.DUMMYFUNCTION("""COMPUTED_VALUE"""),3)</f>
        <v>3</v>
      </c>
      <c r="L1014" s="79" t="str">
        <f ca="1">IFERROR(__xludf.DUMMYFUNCTION("""COMPUTED_VALUE"""),"TRIMESTRE 2")</f>
        <v>TRIMESTRE 2</v>
      </c>
      <c r="M1014" s="79" t="str">
        <f ca="1">IFERROR(__xludf.DUMMYFUNCTION("""COMPUTED_VALUE"""),"SERVICIOS")</f>
        <v>SERVICIOS</v>
      </c>
    </row>
    <row r="1015" spans="1:13">
      <c r="A1015" s="79" t="str">
        <f ca="1">IFERROR(__xludf.DUMMYFUNCTION("""COMPUTED_VALUE"""),"6.1.4.1")</f>
        <v>6.1.4.1</v>
      </c>
      <c r="B1015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5" s="79" t="str">
        <f ca="1">IFERROR(__xludf.DUMMYFUNCTION("""COMPUTED_VALUE"""),"5. Inclusión")</f>
        <v>5. Inclusión</v>
      </c>
      <c r="D1015" s="79" t="str">
        <f ca="1">IFERROR(__xludf.DUMMYFUNCTION("""COMPUTED_VALUE"""),"Guadalajara sin Barreras")</f>
        <v>Guadalajara sin Barreras</v>
      </c>
      <c r="E1015" s="79" t="str">
        <f ca="1">IFERROR(__xludf.DUMMYFUNCTION("""COMPUTED_VALUE"""),"Desarrollo Integral de Personas Adultas Mayores")</f>
        <v>Desarrollo Integral de Personas Adultas Mayores</v>
      </c>
      <c r="F1015" s="79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5" s="79" t="str">
        <f ca="1">IFERROR(__xludf.DUMMYFUNCTION("""COMPUTED_VALUE"""),"Porcentaje de encuentros intergeneracionales llevados a cabo en 2024")</f>
        <v>Porcentaje de encuentros intergeneracionales llevados a cabo en 2024</v>
      </c>
      <c r="H1015" s="79" t="str">
        <f ca="1">IFERROR(__xludf.DUMMYFUNCTION("""COMPUTED_VALUE"""),"Servicio")</f>
        <v>Servicio</v>
      </c>
      <c r="I1015" s="79" t="str">
        <f ca="1">IFERROR(__xludf.DUMMYFUNCTION("""COMPUTED_VALUE"""),"Junio")</f>
        <v>Junio</v>
      </c>
      <c r="J1015" s="79" t="str">
        <f ca="1">IFERROR(__xludf.DUMMYFUNCTION("""COMPUTED_VALUE"""),"N/A")</f>
        <v>N/A</v>
      </c>
      <c r="K1015" s="80">
        <f ca="1">IFERROR(__xludf.DUMMYFUNCTION("""COMPUTED_VALUE"""),3)</f>
        <v>3</v>
      </c>
      <c r="L1015" s="79" t="str">
        <f ca="1">IFERROR(__xludf.DUMMYFUNCTION("""COMPUTED_VALUE"""),"TRIMESTRE 2")</f>
        <v>TRIMESTRE 2</v>
      </c>
      <c r="M1015" s="79" t="str">
        <f ca="1">IFERROR(__xludf.DUMMYFUNCTION("""COMPUTED_VALUE"""),"SERVICIOS")</f>
        <v>SERVICIOS</v>
      </c>
    </row>
    <row r="1016" spans="1:13">
      <c r="A1016" s="79" t="str">
        <f ca="1">IFERROR(__xludf.DUMMYFUNCTION("""COMPUTED_VALUE"""),"6.1.4.1")</f>
        <v>6.1.4.1</v>
      </c>
      <c r="B1016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6" s="79" t="str">
        <f ca="1">IFERROR(__xludf.DUMMYFUNCTION("""COMPUTED_VALUE"""),"5. Inclusión")</f>
        <v>5. Inclusión</v>
      </c>
      <c r="D1016" s="79" t="str">
        <f ca="1">IFERROR(__xludf.DUMMYFUNCTION("""COMPUTED_VALUE"""),"Guadalajara sin Barreras")</f>
        <v>Guadalajara sin Barreras</v>
      </c>
      <c r="E1016" s="79" t="str">
        <f ca="1">IFERROR(__xludf.DUMMYFUNCTION("""COMPUTED_VALUE"""),"Desarrollo Integral de Personas Adultas Mayores")</f>
        <v>Desarrollo Integral de Personas Adultas Mayores</v>
      </c>
      <c r="F1016" s="79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6" s="79" t="str">
        <f ca="1">IFERROR(__xludf.DUMMYFUNCTION("""COMPUTED_VALUE"""),"Porcentaje de encuentros intergeneracionales llevados a cabo en 2024")</f>
        <v>Porcentaje de encuentros intergeneracionales llevados a cabo en 2024</v>
      </c>
      <c r="H1016" s="79" t="str">
        <f ca="1">IFERROR(__xludf.DUMMYFUNCTION("""COMPUTED_VALUE"""),"Servicio")</f>
        <v>Servicio</v>
      </c>
      <c r="I1016" s="79" t="str">
        <f ca="1">IFERROR(__xludf.DUMMYFUNCTION("""COMPUTED_VALUE"""),"Julio")</f>
        <v>Julio</v>
      </c>
      <c r="J1016" s="79" t="str">
        <f ca="1">IFERROR(__xludf.DUMMYFUNCTION("""COMPUTED_VALUE"""),"N/A")</f>
        <v>N/A</v>
      </c>
      <c r="K1016" s="80">
        <f ca="1">IFERROR(__xludf.DUMMYFUNCTION("""COMPUTED_VALUE"""),1)</f>
        <v>1</v>
      </c>
      <c r="L1016" s="79" t="str">
        <f ca="1">IFERROR(__xludf.DUMMYFUNCTION("""COMPUTED_VALUE"""),"TRIMESTRE 3")</f>
        <v>TRIMESTRE 3</v>
      </c>
      <c r="M1016" s="79" t="str">
        <f ca="1">IFERROR(__xludf.DUMMYFUNCTION("""COMPUTED_VALUE"""),"SERVICIOS")</f>
        <v>SERVICIOS</v>
      </c>
    </row>
    <row r="1017" spans="1:13">
      <c r="A1017" s="79" t="str">
        <f ca="1">IFERROR(__xludf.DUMMYFUNCTION("""COMPUTED_VALUE"""),"6.1.4.1")</f>
        <v>6.1.4.1</v>
      </c>
      <c r="B1017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7" s="79" t="str">
        <f ca="1">IFERROR(__xludf.DUMMYFUNCTION("""COMPUTED_VALUE"""),"5. Inclusión")</f>
        <v>5. Inclusión</v>
      </c>
      <c r="D1017" s="79" t="str">
        <f ca="1">IFERROR(__xludf.DUMMYFUNCTION("""COMPUTED_VALUE"""),"Guadalajara sin Barreras")</f>
        <v>Guadalajara sin Barreras</v>
      </c>
      <c r="E1017" s="79" t="str">
        <f ca="1">IFERROR(__xludf.DUMMYFUNCTION("""COMPUTED_VALUE"""),"Desarrollo Integral de Personas Adultas Mayores")</f>
        <v>Desarrollo Integral de Personas Adultas Mayores</v>
      </c>
      <c r="F1017" s="79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7" s="79" t="str">
        <f ca="1">IFERROR(__xludf.DUMMYFUNCTION("""COMPUTED_VALUE"""),"Porcentaje de encuentros intergeneracionales llevados a cabo en 2024")</f>
        <v>Porcentaje de encuentros intergeneracionales llevados a cabo en 2024</v>
      </c>
      <c r="H1017" s="79" t="str">
        <f ca="1">IFERROR(__xludf.DUMMYFUNCTION("""COMPUTED_VALUE"""),"Servicio")</f>
        <v>Servicio</v>
      </c>
      <c r="I1017" s="79" t="str">
        <f ca="1">IFERROR(__xludf.DUMMYFUNCTION("""COMPUTED_VALUE"""),"Agosto")</f>
        <v>Agosto</v>
      </c>
      <c r="J1017" s="79" t="str">
        <f ca="1">IFERROR(__xludf.DUMMYFUNCTION("""COMPUTED_VALUE"""),"N/A")</f>
        <v>N/A</v>
      </c>
      <c r="K1017" s="80">
        <f ca="1">IFERROR(__xludf.DUMMYFUNCTION("""COMPUTED_VALUE"""),8)</f>
        <v>8</v>
      </c>
      <c r="L1017" s="79" t="str">
        <f ca="1">IFERROR(__xludf.DUMMYFUNCTION("""COMPUTED_VALUE"""),"TRIMESTRE 3")</f>
        <v>TRIMESTRE 3</v>
      </c>
      <c r="M1017" s="79" t="str">
        <f ca="1">IFERROR(__xludf.DUMMYFUNCTION("""COMPUTED_VALUE"""),"SERVICIOS")</f>
        <v>SERVICIOS</v>
      </c>
    </row>
    <row r="1018" spans="1:13">
      <c r="A1018" s="79" t="str">
        <f ca="1">IFERROR(__xludf.DUMMYFUNCTION("""COMPUTED_VALUE"""),"6.1.4.1")</f>
        <v>6.1.4.1</v>
      </c>
      <c r="B1018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8" s="79" t="str">
        <f ca="1">IFERROR(__xludf.DUMMYFUNCTION("""COMPUTED_VALUE"""),"5. Inclusión")</f>
        <v>5. Inclusión</v>
      </c>
      <c r="D1018" s="79" t="str">
        <f ca="1">IFERROR(__xludf.DUMMYFUNCTION("""COMPUTED_VALUE"""),"Guadalajara sin Barreras")</f>
        <v>Guadalajara sin Barreras</v>
      </c>
      <c r="E1018" s="79" t="str">
        <f ca="1">IFERROR(__xludf.DUMMYFUNCTION("""COMPUTED_VALUE"""),"Desarrollo Integral de Personas Adultas Mayores")</f>
        <v>Desarrollo Integral de Personas Adultas Mayores</v>
      </c>
      <c r="F1018" s="79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8" s="79" t="str">
        <f ca="1">IFERROR(__xludf.DUMMYFUNCTION("""COMPUTED_VALUE"""),"Porcentaje de encuentros intergeneracionales llevados a cabo en 2024")</f>
        <v>Porcentaje de encuentros intergeneracionales llevados a cabo en 2024</v>
      </c>
      <c r="H1018" s="79" t="str">
        <f ca="1">IFERROR(__xludf.DUMMYFUNCTION("""COMPUTED_VALUE"""),"Servicio")</f>
        <v>Servicio</v>
      </c>
      <c r="I1018" s="79" t="str">
        <f ca="1">IFERROR(__xludf.DUMMYFUNCTION("""COMPUTED_VALUE"""),"Septiembre")</f>
        <v>Septiembre</v>
      </c>
      <c r="J1018" s="79" t="str">
        <f ca="1">IFERROR(__xludf.DUMMYFUNCTION("""COMPUTED_VALUE"""),"N/A")</f>
        <v>N/A</v>
      </c>
      <c r="K1018" s="80">
        <f ca="1">IFERROR(__xludf.DUMMYFUNCTION("""COMPUTED_VALUE"""),0)</f>
        <v>0</v>
      </c>
      <c r="L1018" s="79" t="str">
        <f ca="1">IFERROR(__xludf.DUMMYFUNCTION("""COMPUTED_VALUE"""),"TRIMESTRE 3")</f>
        <v>TRIMESTRE 3</v>
      </c>
      <c r="M1018" s="79" t="str">
        <f ca="1">IFERROR(__xludf.DUMMYFUNCTION("""COMPUTED_VALUE"""),"SERVICIOS")</f>
        <v>SERVICIOS</v>
      </c>
    </row>
    <row r="1019" spans="1:13">
      <c r="A1019" s="79" t="str">
        <f ca="1">IFERROR(__xludf.DUMMYFUNCTION("""COMPUTED_VALUE"""),"6.1.4.1")</f>
        <v>6.1.4.1</v>
      </c>
      <c r="B1019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19" s="79" t="str">
        <f ca="1">IFERROR(__xludf.DUMMYFUNCTION("""COMPUTED_VALUE"""),"5. Inclusión")</f>
        <v>5. Inclusión</v>
      </c>
      <c r="D1019" s="79" t="str">
        <f ca="1">IFERROR(__xludf.DUMMYFUNCTION("""COMPUTED_VALUE"""),"Guadalajara sin Barreras")</f>
        <v>Guadalajara sin Barreras</v>
      </c>
      <c r="E1019" s="79" t="str">
        <f ca="1">IFERROR(__xludf.DUMMYFUNCTION("""COMPUTED_VALUE"""),"Desarrollo Integral de Personas Adultas Mayores")</f>
        <v>Desarrollo Integral de Personas Adultas Mayores</v>
      </c>
      <c r="F1019" s="79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19" s="79" t="str">
        <f ca="1">IFERROR(__xludf.DUMMYFUNCTION("""COMPUTED_VALUE"""),"Porcentaje de encuentros intergeneracionales llevados a cabo en 2024")</f>
        <v>Porcentaje de encuentros intergeneracionales llevados a cabo en 2024</v>
      </c>
      <c r="H1019" s="79" t="str">
        <f ca="1">IFERROR(__xludf.DUMMYFUNCTION("""COMPUTED_VALUE"""),"Servicio")</f>
        <v>Servicio</v>
      </c>
      <c r="I1019" s="79" t="str">
        <f ca="1">IFERROR(__xludf.DUMMYFUNCTION("""COMPUTED_VALUE"""),"Octubre")</f>
        <v>Octubre</v>
      </c>
      <c r="J1019" s="79" t="str">
        <f ca="1">IFERROR(__xludf.DUMMYFUNCTION("""COMPUTED_VALUE"""),"N/A")</f>
        <v>N/A</v>
      </c>
      <c r="K1019" s="80">
        <f ca="1">IFERROR(__xludf.DUMMYFUNCTION("""COMPUTED_VALUE"""),2)</f>
        <v>2</v>
      </c>
      <c r="L1019" s="79" t="str">
        <f ca="1">IFERROR(__xludf.DUMMYFUNCTION("""COMPUTED_VALUE"""),"TRIMESTRE 4")</f>
        <v>TRIMESTRE 4</v>
      </c>
      <c r="M1019" s="79" t="str">
        <f ca="1">IFERROR(__xludf.DUMMYFUNCTION("""COMPUTED_VALUE"""),"SERVICIOS")</f>
        <v>SERVICIOS</v>
      </c>
    </row>
    <row r="1020" spans="1:13">
      <c r="A1020" s="79" t="str">
        <f ca="1">IFERROR(__xludf.DUMMYFUNCTION("""COMPUTED_VALUE"""),"6.1.4.1")</f>
        <v>6.1.4.1</v>
      </c>
      <c r="B1020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20" s="79" t="str">
        <f ca="1">IFERROR(__xludf.DUMMYFUNCTION("""COMPUTED_VALUE"""),"5. Inclusión")</f>
        <v>5. Inclusión</v>
      </c>
      <c r="D1020" s="79" t="str">
        <f ca="1">IFERROR(__xludf.DUMMYFUNCTION("""COMPUTED_VALUE"""),"Guadalajara sin Barreras")</f>
        <v>Guadalajara sin Barreras</v>
      </c>
      <c r="E1020" s="79" t="str">
        <f ca="1">IFERROR(__xludf.DUMMYFUNCTION("""COMPUTED_VALUE"""),"Desarrollo Integral de Personas Adultas Mayores")</f>
        <v>Desarrollo Integral de Personas Adultas Mayores</v>
      </c>
      <c r="F1020" s="79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20" s="79" t="str">
        <f ca="1">IFERROR(__xludf.DUMMYFUNCTION("""COMPUTED_VALUE"""),"Porcentaje de encuentros intergeneracionales llevados a cabo en 2024")</f>
        <v>Porcentaje de encuentros intergeneracionales llevados a cabo en 2024</v>
      </c>
      <c r="H1020" s="79" t="str">
        <f ca="1">IFERROR(__xludf.DUMMYFUNCTION("""COMPUTED_VALUE"""),"Servicio")</f>
        <v>Servicio</v>
      </c>
      <c r="I1020" s="79" t="str">
        <f ca="1">IFERROR(__xludf.DUMMYFUNCTION("""COMPUTED_VALUE"""),"Noviembre")</f>
        <v>Noviembre</v>
      </c>
      <c r="J1020" s="79" t="str">
        <f ca="1">IFERROR(__xludf.DUMMYFUNCTION("""COMPUTED_VALUE"""),"N/A")</f>
        <v>N/A</v>
      </c>
      <c r="K1020" s="80">
        <f ca="1">IFERROR(__xludf.DUMMYFUNCTION("""COMPUTED_VALUE"""),3)</f>
        <v>3</v>
      </c>
      <c r="L1020" s="79" t="str">
        <f ca="1">IFERROR(__xludf.DUMMYFUNCTION("""COMPUTED_VALUE"""),"TRIMESTRE 4")</f>
        <v>TRIMESTRE 4</v>
      </c>
      <c r="M1020" s="79" t="str">
        <f ca="1">IFERROR(__xludf.DUMMYFUNCTION("""COMPUTED_VALUE"""),"SERVICIOS")</f>
        <v>SERVICIOS</v>
      </c>
    </row>
    <row r="1021" spans="1:13">
      <c r="A1021" s="79" t="str">
        <f ca="1">IFERROR(__xludf.DUMMYFUNCTION("""COMPUTED_VALUE"""),"6.1.4.1")</f>
        <v>6.1.4.1</v>
      </c>
      <c r="B1021" s="79" t="str">
        <f ca="1">IFERROR(__xludf.DUMMYFUNCTION("""COMPUTED_VALUE"""),"Desarrollo Integral de Personas Adultas Mayores/Jefatura del Departamento de Desarrollo Integral de Personas Adultas Mayores/Jefatura del Departamento de Desarrollo Integral de Personas Adultas Mayores/Coord.5. Inclusión")</f>
        <v>Desarrollo Integral de Personas Adultas Mayores/Jefatura del Departamento de Desarrollo Integral de Personas Adultas Mayores/Jefatura del Departamento de Desarrollo Integral de Personas Adultas Mayores/Coord.5. Inclusión</v>
      </c>
      <c r="C1021" s="79" t="str">
        <f ca="1">IFERROR(__xludf.DUMMYFUNCTION("""COMPUTED_VALUE"""),"5. Inclusión")</f>
        <v>5. Inclusión</v>
      </c>
      <c r="D1021" s="79" t="str">
        <f ca="1">IFERROR(__xludf.DUMMYFUNCTION("""COMPUTED_VALUE"""),"Guadalajara sin Barreras")</f>
        <v>Guadalajara sin Barreras</v>
      </c>
      <c r="E1021" s="79" t="str">
        <f ca="1">IFERROR(__xludf.DUMMYFUNCTION("""COMPUTED_VALUE"""),"Desarrollo Integral de Personas Adultas Mayores")</f>
        <v>Desarrollo Integral de Personas Adultas Mayores</v>
      </c>
      <c r="F1021" s="79" t="str">
        <f ca="1">IFERROR(__xludf.DUMMYFUNCTION("""COMPUTED_VALUE"""),"A1C4. Encuentros intergeneracionales realizados en el Programa DIPAM en 2024")</f>
        <v>A1C4. Encuentros intergeneracionales realizados en el Programa DIPAM en 2024</v>
      </c>
      <c r="G1021" s="79" t="str">
        <f ca="1">IFERROR(__xludf.DUMMYFUNCTION("""COMPUTED_VALUE"""),"Porcentaje de encuentros intergeneracionales llevados a cabo en 2024")</f>
        <v>Porcentaje de encuentros intergeneracionales llevados a cabo en 2024</v>
      </c>
      <c r="H1021" s="79" t="str">
        <f ca="1">IFERROR(__xludf.DUMMYFUNCTION("""COMPUTED_VALUE"""),"Servicio")</f>
        <v>Servicio</v>
      </c>
      <c r="I1021" s="79" t="str">
        <f ca="1">IFERROR(__xludf.DUMMYFUNCTION("""COMPUTED_VALUE"""),"Diciembre")</f>
        <v>Diciembre</v>
      </c>
      <c r="J1021" s="79" t="str">
        <f ca="1">IFERROR(__xludf.DUMMYFUNCTION("""COMPUTED_VALUE"""),"N/A")</f>
        <v>N/A</v>
      </c>
      <c r="K1021" s="80">
        <f ca="1">IFERROR(__xludf.DUMMYFUNCTION("""COMPUTED_VALUE"""),0)</f>
        <v>0</v>
      </c>
      <c r="L1021" s="79" t="str">
        <f ca="1">IFERROR(__xludf.DUMMYFUNCTION("""COMPUTED_VALUE"""),"TRIMESTRE 4")</f>
        <v>TRIMESTRE 4</v>
      </c>
      <c r="M1021" s="79" t="str">
        <f ca="1">IFERROR(__xludf.DUMMYFUNCTION("""COMPUTED_VALUE"""),"SERVICIOS")</f>
        <v>SERVICIOS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MIR DIF GDL 2024</vt:lpstr>
      <vt:lpstr>Hoja 3</vt:lpstr>
      <vt:lpstr>Glosario KEY</vt:lpstr>
      <vt:lpstr>ESTADÍSTICAS (DINÁMICO)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Pilar Luna Padilla</cp:lastModifiedBy>
  <dcterms:modified xsi:type="dcterms:W3CDTF">2025-01-20T20:10:32Z</dcterms:modified>
</cp:coreProperties>
</file>